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IANZ" sheetId="1" r:id="rId4"/>
    <sheet state="visible" name="BASF" sheetId="2" r:id="rId5"/>
    <sheet state="visible" name="BMW" sheetId="3" r:id="rId6"/>
    <sheet state="visible" name="DELIVERY HERO" sheetId="4" r:id="rId7"/>
    <sheet state="visible" name="DEUTSCHEBANK" sheetId="5" r:id="rId8"/>
    <sheet state="visible" name="DEUTSCHE TELEKOM" sheetId="6" r:id="rId9"/>
    <sheet state="visible" name="HELLOFRESH" sheetId="7" r:id="rId10"/>
    <sheet state="visible" name="HENKEL" sheetId="8" r:id="rId11"/>
    <sheet state="visible" name="HUGO BOSS" sheetId="9" r:id="rId12"/>
    <sheet state="visible" name="LUFTHANSA" sheetId="10" r:id="rId13"/>
    <sheet state="visible" name="SAP" sheetId="11" r:id="rId14"/>
    <sheet state="visible" name="SIEMENS" sheetId="12" r:id="rId15"/>
    <sheet state="visible" name="UNILEVER" sheetId="13" r:id="rId16"/>
    <sheet state="visible" name="VOLKSWAGEN" sheetId="14" r:id="rId17"/>
    <sheet state="visible" name="ZALANDO" sheetId="15" r:id="rId18"/>
  </sheets>
  <definedNames/>
  <calcPr/>
</workbook>
</file>

<file path=xl/sharedStrings.xml><?xml version="1.0" encoding="utf-8"?>
<sst xmlns="http://schemas.openxmlformats.org/spreadsheetml/2006/main" count="5945" uniqueCount="16">
  <si>
    <t>COMP</t>
  </si>
  <si>
    <t>ALLIANZ</t>
  </si>
  <si>
    <t>BASF</t>
  </si>
  <si>
    <t>BMW</t>
  </si>
  <si>
    <t>DELIVERY HERO</t>
  </si>
  <si>
    <t>DEUTSCHEBANK</t>
  </si>
  <si>
    <t>DEUTSCHE TELEKOM</t>
  </si>
  <si>
    <t>HELLOFRESH</t>
  </si>
  <si>
    <t>HENKEL</t>
  </si>
  <si>
    <t>HUGO BOSS</t>
  </si>
  <si>
    <t>LUFTHANSA</t>
  </si>
  <si>
    <t>SAP</t>
  </si>
  <si>
    <t>SIEMENS</t>
  </si>
  <si>
    <t>UNILEVER</t>
  </si>
  <si>
    <t>VOLKSWAGEN</t>
  </si>
  <si>
    <t>ZALANDO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</si>
</sst>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IFERROR(__xludf.DUMMYFUNCTION("GOOGLEFINANCE(""ALV"",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IFERROR(__xludf.DUMMYFUNCTION("""COMPUTED_VALUE"""),44564.66666666667)</f>
        <v>44564.66667</v>
      </c>
      <c r="B2" s="1">
        <f>IFERROR(__xludf.DUMMYFUNCTION("""COMPUTED_VALUE"""),103.93)</f>
        <v>103.93</v>
      </c>
      <c r="C2" s="1">
        <f>IFERROR(__xludf.DUMMYFUNCTION("""COMPUTED_VALUE"""),104.84)</f>
        <v>104.84</v>
      </c>
      <c r="D2" s="1">
        <f>IFERROR(__xludf.DUMMYFUNCTION("""COMPUTED_VALUE"""),103.39)</f>
        <v>103.39</v>
      </c>
      <c r="E2" s="1">
        <f>IFERROR(__xludf.DUMMYFUNCTION("""COMPUTED_VALUE"""),104.32)</f>
        <v>104.32</v>
      </c>
      <c r="F2" s="1">
        <f>IFERROR(__xludf.DUMMYFUNCTION("""COMPUTED_VALUE"""),370022.0)</f>
        <v>370022</v>
      </c>
      <c r="G2" s="2" t="s">
        <v>1</v>
      </c>
    </row>
    <row r="3">
      <c r="A3" s="3">
        <f>IFERROR(__xludf.DUMMYFUNCTION("""COMPUTED_VALUE"""),44565.66666666667)</f>
        <v>44565.66667</v>
      </c>
      <c r="B3" s="1">
        <f>IFERROR(__xludf.DUMMYFUNCTION("""COMPUTED_VALUE"""),105.3)</f>
        <v>105.3</v>
      </c>
      <c r="C3" s="1">
        <f>IFERROR(__xludf.DUMMYFUNCTION("""COMPUTED_VALUE"""),107.44)</f>
        <v>107.44</v>
      </c>
      <c r="D3" s="1">
        <f>IFERROR(__xludf.DUMMYFUNCTION("""COMPUTED_VALUE"""),105.18)</f>
        <v>105.18</v>
      </c>
      <c r="E3" s="1">
        <f>IFERROR(__xludf.DUMMYFUNCTION("""COMPUTED_VALUE"""),106.8)</f>
        <v>106.8</v>
      </c>
      <c r="F3" s="1">
        <f>IFERROR(__xludf.DUMMYFUNCTION("""COMPUTED_VALUE"""),468235.0)</f>
        <v>468235</v>
      </c>
      <c r="G3" s="2" t="s">
        <v>1</v>
      </c>
    </row>
    <row r="4">
      <c r="A4" s="3">
        <f>IFERROR(__xludf.DUMMYFUNCTION("""COMPUTED_VALUE"""),44566.66666666667)</f>
        <v>44566.66667</v>
      </c>
      <c r="B4" s="1">
        <f>IFERROR(__xludf.DUMMYFUNCTION("""COMPUTED_VALUE"""),107.44)</f>
        <v>107.44</v>
      </c>
      <c r="C4" s="1">
        <f>IFERROR(__xludf.DUMMYFUNCTION("""COMPUTED_VALUE"""),108.31)</f>
        <v>108.31</v>
      </c>
      <c r="D4" s="1">
        <f>IFERROR(__xludf.DUMMYFUNCTION("""COMPUTED_VALUE"""),105.38)</f>
        <v>105.38</v>
      </c>
      <c r="E4" s="1">
        <f>IFERROR(__xludf.DUMMYFUNCTION("""COMPUTED_VALUE"""),105.62)</f>
        <v>105.62</v>
      </c>
      <c r="F4" s="1">
        <f>IFERROR(__xludf.DUMMYFUNCTION("""COMPUTED_VALUE"""),423511.0)</f>
        <v>423511</v>
      </c>
      <c r="G4" s="2" t="s">
        <v>1</v>
      </c>
    </row>
    <row r="5">
      <c r="A5" s="3">
        <f>IFERROR(__xludf.DUMMYFUNCTION("""COMPUTED_VALUE"""),44567.66666666667)</f>
        <v>44567.66667</v>
      </c>
      <c r="B5" s="1">
        <f>IFERROR(__xludf.DUMMYFUNCTION("""COMPUTED_VALUE"""),105.26)</f>
        <v>105.26</v>
      </c>
      <c r="C5" s="1">
        <f>IFERROR(__xludf.DUMMYFUNCTION("""COMPUTED_VALUE"""),105.87)</f>
        <v>105.87</v>
      </c>
      <c r="D5" s="1">
        <f>IFERROR(__xludf.DUMMYFUNCTION("""COMPUTED_VALUE"""),103.52)</f>
        <v>103.52</v>
      </c>
      <c r="E5" s="1">
        <f>IFERROR(__xludf.DUMMYFUNCTION("""COMPUTED_VALUE"""),105.31)</f>
        <v>105.31</v>
      </c>
      <c r="F5" s="1">
        <f>IFERROR(__xludf.DUMMYFUNCTION("""COMPUTED_VALUE"""),455105.0)</f>
        <v>455105</v>
      </c>
      <c r="G5" s="2" t="s">
        <v>1</v>
      </c>
    </row>
    <row r="6">
      <c r="A6" s="3">
        <f>IFERROR(__xludf.DUMMYFUNCTION("""COMPUTED_VALUE"""),44568.66666666667)</f>
        <v>44568.66667</v>
      </c>
      <c r="B6" s="1">
        <f>IFERROR(__xludf.DUMMYFUNCTION("""COMPUTED_VALUE"""),106.46)</f>
        <v>106.46</v>
      </c>
      <c r="C6" s="1">
        <f>IFERROR(__xludf.DUMMYFUNCTION("""COMPUTED_VALUE"""),106.71)</f>
        <v>106.71</v>
      </c>
      <c r="D6" s="1">
        <f>IFERROR(__xludf.DUMMYFUNCTION("""COMPUTED_VALUE"""),104.3)</f>
        <v>104.3</v>
      </c>
      <c r="E6" s="1">
        <f>IFERROR(__xludf.DUMMYFUNCTION("""COMPUTED_VALUE"""),105.66)</f>
        <v>105.66</v>
      </c>
      <c r="F6" s="1">
        <f>IFERROR(__xludf.DUMMYFUNCTION("""COMPUTED_VALUE"""),446650.0)</f>
        <v>446650</v>
      </c>
      <c r="G6" s="2" t="s">
        <v>1</v>
      </c>
    </row>
    <row r="7">
      <c r="A7" s="3">
        <f>IFERROR(__xludf.DUMMYFUNCTION("""COMPUTED_VALUE"""),44571.66666666667)</f>
        <v>44571.66667</v>
      </c>
      <c r="B7" s="1">
        <f>IFERROR(__xludf.DUMMYFUNCTION("""COMPUTED_VALUE"""),105.89)</f>
        <v>105.89</v>
      </c>
      <c r="C7" s="1">
        <f>IFERROR(__xludf.DUMMYFUNCTION("""COMPUTED_VALUE"""),106.96)</f>
        <v>106.96</v>
      </c>
      <c r="D7" s="1">
        <f>IFERROR(__xludf.DUMMYFUNCTION("""COMPUTED_VALUE"""),104.07)</f>
        <v>104.07</v>
      </c>
      <c r="E7" s="1">
        <f>IFERROR(__xludf.DUMMYFUNCTION("""COMPUTED_VALUE"""),106.29)</f>
        <v>106.29</v>
      </c>
      <c r="F7" s="1">
        <f>IFERROR(__xludf.DUMMYFUNCTION("""COMPUTED_VALUE"""),759046.0)</f>
        <v>759046</v>
      </c>
      <c r="G7" s="2" t="s">
        <v>1</v>
      </c>
    </row>
    <row r="8">
      <c r="A8" s="3">
        <f>IFERROR(__xludf.DUMMYFUNCTION("""COMPUTED_VALUE"""),44572.66666666667)</f>
        <v>44572.66667</v>
      </c>
      <c r="B8" s="1">
        <f>IFERROR(__xludf.DUMMYFUNCTION("""COMPUTED_VALUE"""),104.5)</f>
        <v>104.5</v>
      </c>
      <c r="C8" s="1">
        <f>IFERROR(__xludf.DUMMYFUNCTION("""COMPUTED_VALUE"""),107.3)</f>
        <v>107.3</v>
      </c>
      <c r="D8" s="1">
        <f>IFERROR(__xludf.DUMMYFUNCTION("""COMPUTED_VALUE"""),104.02)</f>
        <v>104.02</v>
      </c>
      <c r="E8" s="1">
        <f>IFERROR(__xludf.DUMMYFUNCTION("""COMPUTED_VALUE"""),107.14)</f>
        <v>107.14</v>
      </c>
      <c r="F8" s="1">
        <f>IFERROR(__xludf.DUMMYFUNCTION("""COMPUTED_VALUE"""),641890.0)</f>
        <v>641890</v>
      </c>
      <c r="G8" s="2" t="s">
        <v>1</v>
      </c>
    </row>
    <row r="9">
      <c r="A9" s="3">
        <f>IFERROR(__xludf.DUMMYFUNCTION("""COMPUTED_VALUE"""),44573.66666666667)</f>
        <v>44573.66667</v>
      </c>
      <c r="B9" s="1">
        <f>IFERROR(__xludf.DUMMYFUNCTION("""COMPUTED_VALUE"""),105.06)</f>
        <v>105.06</v>
      </c>
      <c r="C9" s="1">
        <f>IFERROR(__xludf.DUMMYFUNCTION("""COMPUTED_VALUE"""),106.52)</f>
        <v>106.52</v>
      </c>
      <c r="D9" s="1">
        <f>IFERROR(__xludf.DUMMYFUNCTION("""COMPUTED_VALUE"""),104.57)</f>
        <v>104.57</v>
      </c>
      <c r="E9" s="1">
        <f>IFERROR(__xludf.DUMMYFUNCTION("""COMPUTED_VALUE"""),105.52)</f>
        <v>105.52</v>
      </c>
      <c r="F9" s="1">
        <f>IFERROR(__xludf.DUMMYFUNCTION("""COMPUTED_VALUE"""),498496.0)</f>
        <v>498496</v>
      </c>
      <c r="G9" s="2" t="s">
        <v>1</v>
      </c>
    </row>
    <row r="10">
      <c r="A10" s="3">
        <f>IFERROR(__xludf.DUMMYFUNCTION("""COMPUTED_VALUE"""),44574.66666666667)</f>
        <v>44574.66667</v>
      </c>
      <c r="B10" s="1">
        <f>IFERROR(__xludf.DUMMYFUNCTION("""COMPUTED_VALUE"""),107.1)</f>
        <v>107.1</v>
      </c>
      <c r="C10" s="1">
        <f>IFERROR(__xludf.DUMMYFUNCTION("""COMPUTED_VALUE"""),108.62)</f>
        <v>108.62</v>
      </c>
      <c r="D10" s="1">
        <f>IFERROR(__xludf.DUMMYFUNCTION("""COMPUTED_VALUE"""),106.5)</f>
        <v>106.5</v>
      </c>
      <c r="E10" s="1">
        <f>IFERROR(__xludf.DUMMYFUNCTION("""COMPUTED_VALUE"""),106.84)</f>
        <v>106.84</v>
      </c>
      <c r="F10" s="1">
        <f>IFERROR(__xludf.DUMMYFUNCTION("""COMPUTED_VALUE"""),439768.0)</f>
        <v>439768</v>
      </c>
      <c r="G10" s="2" t="s">
        <v>1</v>
      </c>
    </row>
    <row r="11">
      <c r="A11" s="3">
        <f>IFERROR(__xludf.DUMMYFUNCTION("""COMPUTED_VALUE"""),44575.66666666667)</f>
        <v>44575.66667</v>
      </c>
      <c r="B11" s="1">
        <f>IFERROR(__xludf.DUMMYFUNCTION("""COMPUTED_VALUE"""),106.29)</f>
        <v>106.29</v>
      </c>
      <c r="C11" s="1">
        <f>IFERROR(__xludf.DUMMYFUNCTION("""COMPUTED_VALUE"""),108.15)</f>
        <v>108.15</v>
      </c>
      <c r="D11" s="1">
        <f>IFERROR(__xludf.DUMMYFUNCTION("""COMPUTED_VALUE"""),105.86)</f>
        <v>105.86</v>
      </c>
      <c r="E11" s="1">
        <f>IFERROR(__xludf.DUMMYFUNCTION("""COMPUTED_VALUE"""),108.03)</f>
        <v>108.03</v>
      </c>
      <c r="F11" s="1">
        <f>IFERROR(__xludf.DUMMYFUNCTION("""COMPUTED_VALUE"""),418487.0)</f>
        <v>418487</v>
      </c>
      <c r="G11" s="2" t="s">
        <v>1</v>
      </c>
    </row>
    <row r="12">
      <c r="A12" s="3">
        <f>IFERROR(__xludf.DUMMYFUNCTION("""COMPUTED_VALUE"""),44579.66666666667)</f>
        <v>44579.66667</v>
      </c>
      <c r="B12" s="1">
        <f>IFERROR(__xludf.DUMMYFUNCTION("""COMPUTED_VALUE"""),104.48)</f>
        <v>104.48</v>
      </c>
      <c r="C12" s="1">
        <f>IFERROR(__xludf.DUMMYFUNCTION("""COMPUTED_VALUE"""),105.6)</f>
        <v>105.6</v>
      </c>
      <c r="D12" s="1">
        <f>IFERROR(__xludf.DUMMYFUNCTION("""COMPUTED_VALUE"""),103.7)</f>
        <v>103.7</v>
      </c>
      <c r="E12" s="1">
        <f>IFERROR(__xludf.DUMMYFUNCTION("""COMPUTED_VALUE"""),104.38)</f>
        <v>104.38</v>
      </c>
      <c r="F12" s="1">
        <f>IFERROR(__xludf.DUMMYFUNCTION("""COMPUTED_VALUE"""),572767.0)</f>
        <v>572767</v>
      </c>
      <c r="G12" s="2" t="s">
        <v>1</v>
      </c>
    </row>
    <row r="13">
      <c r="A13" s="3">
        <f>IFERROR(__xludf.DUMMYFUNCTION("""COMPUTED_VALUE"""),44580.66666666667)</f>
        <v>44580.66667</v>
      </c>
      <c r="B13" s="1">
        <f>IFERROR(__xludf.DUMMYFUNCTION("""COMPUTED_VALUE"""),105.02)</f>
        <v>105.02</v>
      </c>
      <c r="C13" s="1">
        <f>IFERROR(__xludf.DUMMYFUNCTION("""COMPUTED_VALUE"""),105.33)</f>
        <v>105.33</v>
      </c>
      <c r="D13" s="1">
        <f>IFERROR(__xludf.DUMMYFUNCTION("""COMPUTED_VALUE"""),101.91)</f>
        <v>101.91</v>
      </c>
      <c r="E13" s="1">
        <f>IFERROR(__xludf.DUMMYFUNCTION("""COMPUTED_VALUE"""),102.27)</f>
        <v>102.27</v>
      </c>
      <c r="F13" s="1">
        <f>IFERROR(__xludf.DUMMYFUNCTION("""COMPUTED_VALUE"""),610233.0)</f>
        <v>610233</v>
      </c>
      <c r="G13" s="2" t="s">
        <v>1</v>
      </c>
    </row>
    <row r="14">
      <c r="A14" s="3">
        <f>IFERROR(__xludf.DUMMYFUNCTION("""COMPUTED_VALUE"""),44581.66666666667)</f>
        <v>44581.66667</v>
      </c>
      <c r="B14" s="1">
        <f>IFERROR(__xludf.DUMMYFUNCTION("""COMPUTED_VALUE"""),101.99)</f>
        <v>101.99</v>
      </c>
      <c r="C14" s="1">
        <f>IFERROR(__xludf.DUMMYFUNCTION("""COMPUTED_VALUE"""),102.82)</f>
        <v>102.82</v>
      </c>
      <c r="D14" s="1">
        <f>IFERROR(__xludf.DUMMYFUNCTION("""COMPUTED_VALUE"""),98.86)</f>
        <v>98.86</v>
      </c>
      <c r="E14" s="1">
        <f>IFERROR(__xludf.DUMMYFUNCTION("""COMPUTED_VALUE"""),99.0)</f>
        <v>99</v>
      </c>
      <c r="F14" s="1">
        <f>IFERROR(__xludf.DUMMYFUNCTION("""COMPUTED_VALUE"""),464965.0)</f>
        <v>464965</v>
      </c>
      <c r="G14" s="2" t="s">
        <v>1</v>
      </c>
    </row>
    <row r="15">
      <c r="A15" s="3">
        <f>IFERROR(__xludf.DUMMYFUNCTION("""COMPUTED_VALUE"""),44582.66666666667)</f>
        <v>44582.66667</v>
      </c>
      <c r="B15" s="1">
        <f>IFERROR(__xludf.DUMMYFUNCTION("""COMPUTED_VALUE"""),98.9)</f>
        <v>98.9</v>
      </c>
      <c r="C15" s="1">
        <f>IFERROR(__xludf.DUMMYFUNCTION("""COMPUTED_VALUE"""),100.58)</f>
        <v>100.58</v>
      </c>
      <c r="D15" s="1">
        <f>IFERROR(__xludf.DUMMYFUNCTION("""COMPUTED_VALUE"""),98.26)</f>
        <v>98.26</v>
      </c>
      <c r="E15" s="1">
        <f>IFERROR(__xludf.DUMMYFUNCTION("""COMPUTED_VALUE"""),98.74)</f>
        <v>98.74</v>
      </c>
      <c r="F15" s="1">
        <f>IFERROR(__xludf.DUMMYFUNCTION("""COMPUTED_VALUE"""),584095.0)</f>
        <v>584095</v>
      </c>
      <c r="G15" s="2" t="s">
        <v>1</v>
      </c>
    </row>
    <row r="16">
      <c r="A16" s="3">
        <f>IFERROR(__xludf.DUMMYFUNCTION("""COMPUTED_VALUE"""),44585.66666666667)</f>
        <v>44585.66667</v>
      </c>
      <c r="B16" s="1">
        <f>IFERROR(__xludf.DUMMYFUNCTION("""COMPUTED_VALUE"""),95.72)</f>
        <v>95.72</v>
      </c>
      <c r="C16" s="1">
        <f>IFERROR(__xludf.DUMMYFUNCTION("""COMPUTED_VALUE"""),97.92)</f>
        <v>97.92</v>
      </c>
      <c r="D16" s="1">
        <f>IFERROR(__xludf.DUMMYFUNCTION("""COMPUTED_VALUE"""),93.53)</f>
        <v>93.53</v>
      </c>
      <c r="E16" s="1">
        <f>IFERROR(__xludf.DUMMYFUNCTION("""COMPUTED_VALUE"""),97.79)</f>
        <v>97.79</v>
      </c>
      <c r="F16" s="1">
        <f>IFERROR(__xludf.DUMMYFUNCTION("""COMPUTED_VALUE"""),810411.0)</f>
        <v>810411</v>
      </c>
      <c r="G16" s="2" t="s">
        <v>1</v>
      </c>
    </row>
    <row r="17">
      <c r="A17" s="3">
        <f>IFERROR(__xludf.DUMMYFUNCTION("""COMPUTED_VALUE"""),44586.66666666667)</f>
        <v>44586.66667</v>
      </c>
      <c r="B17" s="1">
        <f>IFERROR(__xludf.DUMMYFUNCTION("""COMPUTED_VALUE"""),96.74)</f>
        <v>96.74</v>
      </c>
      <c r="C17" s="1">
        <f>IFERROR(__xludf.DUMMYFUNCTION("""COMPUTED_VALUE"""),99.36)</f>
        <v>99.36</v>
      </c>
      <c r="D17" s="1">
        <f>IFERROR(__xludf.DUMMYFUNCTION("""COMPUTED_VALUE"""),94.71)</f>
        <v>94.71</v>
      </c>
      <c r="E17" s="1">
        <f>IFERROR(__xludf.DUMMYFUNCTION("""COMPUTED_VALUE"""),97.85)</f>
        <v>97.85</v>
      </c>
      <c r="F17" s="1">
        <f>IFERROR(__xludf.DUMMYFUNCTION("""COMPUTED_VALUE"""),579586.0)</f>
        <v>579586</v>
      </c>
      <c r="G17" s="2" t="s">
        <v>1</v>
      </c>
    </row>
    <row r="18">
      <c r="A18" s="3">
        <f>IFERROR(__xludf.DUMMYFUNCTION("""COMPUTED_VALUE"""),44587.66666666667)</f>
        <v>44587.66667</v>
      </c>
      <c r="B18" s="1">
        <f>IFERROR(__xludf.DUMMYFUNCTION("""COMPUTED_VALUE"""),97.93)</f>
        <v>97.93</v>
      </c>
      <c r="C18" s="1">
        <f>IFERROR(__xludf.DUMMYFUNCTION("""COMPUTED_VALUE"""),100.45)</f>
        <v>100.45</v>
      </c>
      <c r="D18" s="1">
        <f>IFERROR(__xludf.DUMMYFUNCTION("""COMPUTED_VALUE"""),96.47)</f>
        <v>96.47</v>
      </c>
      <c r="E18" s="1">
        <f>IFERROR(__xludf.DUMMYFUNCTION("""COMPUTED_VALUE"""),97.91)</f>
        <v>97.91</v>
      </c>
      <c r="F18" s="1">
        <f>IFERROR(__xludf.DUMMYFUNCTION("""COMPUTED_VALUE"""),971575.0)</f>
        <v>971575</v>
      </c>
      <c r="G18" s="2" t="s">
        <v>1</v>
      </c>
    </row>
    <row r="19">
      <c r="A19" s="3">
        <f>IFERROR(__xludf.DUMMYFUNCTION("""COMPUTED_VALUE"""),44588.66666666667)</f>
        <v>44588.66667</v>
      </c>
      <c r="B19" s="1">
        <f>IFERROR(__xludf.DUMMYFUNCTION("""COMPUTED_VALUE"""),98.49)</f>
        <v>98.49</v>
      </c>
      <c r="C19" s="1">
        <f>IFERROR(__xludf.DUMMYFUNCTION("""COMPUTED_VALUE"""),99.11)</f>
        <v>99.11</v>
      </c>
      <c r="D19" s="1">
        <f>IFERROR(__xludf.DUMMYFUNCTION("""COMPUTED_VALUE"""),94.54)</f>
        <v>94.54</v>
      </c>
      <c r="E19" s="1">
        <f>IFERROR(__xludf.DUMMYFUNCTION("""COMPUTED_VALUE"""),95.92)</f>
        <v>95.92</v>
      </c>
      <c r="F19" s="1">
        <f>IFERROR(__xludf.DUMMYFUNCTION("""COMPUTED_VALUE"""),864204.0)</f>
        <v>864204</v>
      </c>
      <c r="G19" s="2" t="s">
        <v>1</v>
      </c>
    </row>
    <row r="20">
      <c r="A20" s="3">
        <f>IFERROR(__xludf.DUMMYFUNCTION("""COMPUTED_VALUE"""),44589.66666666667)</f>
        <v>44589.66667</v>
      </c>
      <c r="B20" s="1">
        <f>IFERROR(__xludf.DUMMYFUNCTION("""COMPUTED_VALUE"""),96.79)</f>
        <v>96.79</v>
      </c>
      <c r="C20" s="1">
        <f>IFERROR(__xludf.DUMMYFUNCTION("""COMPUTED_VALUE"""),97.43)</f>
        <v>97.43</v>
      </c>
      <c r="D20" s="1">
        <f>IFERROR(__xludf.DUMMYFUNCTION("""COMPUTED_VALUE"""),93.08)</f>
        <v>93.08</v>
      </c>
      <c r="E20" s="1">
        <f>IFERROR(__xludf.DUMMYFUNCTION("""COMPUTED_VALUE"""),96.79)</f>
        <v>96.79</v>
      </c>
      <c r="F20" s="1">
        <f>IFERROR(__xludf.DUMMYFUNCTION("""COMPUTED_VALUE"""),1361896.0)</f>
        <v>1361896</v>
      </c>
      <c r="G20" s="2" t="s">
        <v>1</v>
      </c>
    </row>
    <row r="21">
      <c r="A21" s="3">
        <f>IFERROR(__xludf.DUMMYFUNCTION("""COMPUTED_VALUE"""),44592.66666666667)</f>
        <v>44592.66667</v>
      </c>
      <c r="B21" s="1">
        <f>IFERROR(__xludf.DUMMYFUNCTION("""COMPUTED_VALUE"""),96.13)</f>
        <v>96.13</v>
      </c>
      <c r="C21" s="1">
        <f>IFERROR(__xludf.DUMMYFUNCTION("""COMPUTED_VALUE"""),99.06)</f>
        <v>99.06</v>
      </c>
      <c r="D21" s="1">
        <f>IFERROR(__xludf.DUMMYFUNCTION("""COMPUTED_VALUE"""),94.48)</f>
        <v>94.48</v>
      </c>
      <c r="E21" s="1">
        <f>IFERROR(__xludf.DUMMYFUNCTION("""COMPUTED_VALUE"""),99.04)</f>
        <v>99.04</v>
      </c>
      <c r="F21" s="1">
        <f>IFERROR(__xludf.DUMMYFUNCTION("""COMPUTED_VALUE"""),1199109.0)</f>
        <v>1199109</v>
      </c>
      <c r="G21" s="2" t="s">
        <v>1</v>
      </c>
    </row>
    <row r="22">
      <c r="A22" s="3">
        <f>IFERROR(__xludf.DUMMYFUNCTION("""COMPUTED_VALUE"""),44593.66666666667)</f>
        <v>44593.66667</v>
      </c>
      <c r="B22" s="1">
        <f>IFERROR(__xludf.DUMMYFUNCTION("""COMPUTED_VALUE"""),100.45)</f>
        <v>100.45</v>
      </c>
      <c r="C22" s="1">
        <f>IFERROR(__xludf.DUMMYFUNCTION("""COMPUTED_VALUE"""),101.67)</f>
        <v>101.67</v>
      </c>
      <c r="D22" s="1">
        <f>IFERROR(__xludf.DUMMYFUNCTION("""COMPUTED_VALUE"""),99.48)</f>
        <v>99.48</v>
      </c>
      <c r="E22" s="1">
        <f>IFERROR(__xludf.DUMMYFUNCTION("""COMPUTED_VALUE"""),101.42)</f>
        <v>101.42</v>
      </c>
      <c r="F22" s="1">
        <f>IFERROR(__xludf.DUMMYFUNCTION("""COMPUTED_VALUE"""),688982.0)</f>
        <v>688982</v>
      </c>
      <c r="G22" s="2" t="s">
        <v>1</v>
      </c>
    </row>
    <row r="23">
      <c r="A23" s="3">
        <f>IFERROR(__xludf.DUMMYFUNCTION("""COMPUTED_VALUE"""),44594.66666666667)</f>
        <v>44594.66667</v>
      </c>
      <c r="B23" s="1">
        <f>IFERROR(__xludf.DUMMYFUNCTION("""COMPUTED_VALUE"""),100.48)</f>
        <v>100.48</v>
      </c>
      <c r="C23" s="1">
        <f>IFERROR(__xludf.DUMMYFUNCTION("""COMPUTED_VALUE"""),103.49)</f>
        <v>103.49</v>
      </c>
      <c r="D23" s="1">
        <f>IFERROR(__xludf.DUMMYFUNCTION("""COMPUTED_VALUE"""),99.93)</f>
        <v>99.93</v>
      </c>
      <c r="E23" s="1">
        <f>IFERROR(__xludf.DUMMYFUNCTION("""COMPUTED_VALUE"""),102.95)</f>
        <v>102.95</v>
      </c>
      <c r="F23" s="1">
        <f>IFERROR(__xludf.DUMMYFUNCTION("""COMPUTED_VALUE"""),881667.0)</f>
        <v>881667</v>
      </c>
      <c r="G23" s="2" t="s">
        <v>1</v>
      </c>
    </row>
    <row r="24">
      <c r="A24" s="3">
        <f>IFERROR(__xludf.DUMMYFUNCTION("""COMPUTED_VALUE"""),44595.66666666667)</f>
        <v>44595.66667</v>
      </c>
      <c r="B24" s="1">
        <f>IFERROR(__xludf.DUMMYFUNCTION("""COMPUTED_VALUE"""),101.98)</f>
        <v>101.98</v>
      </c>
      <c r="C24" s="1">
        <f>IFERROR(__xludf.DUMMYFUNCTION("""COMPUTED_VALUE"""),102.88)</f>
        <v>102.88</v>
      </c>
      <c r="D24" s="1">
        <f>IFERROR(__xludf.DUMMYFUNCTION("""COMPUTED_VALUE"""),100.63)</f>
        <v>100.63</v>
      </c>
      <c r="E24" s="1">
        <f>IFERROR(__xludf.DUMMYFUNCTION("""COMPUTED_VALUE"""),100.98)</f>
        <v>100.98</v>
      </c>
      <c r="F24" s="1">
        <f>IFERROR(__xludf.DUMMYFUNCTION("""COMPUTED_VALUE"""),450720.0)</f>
        <v>450720</v>
      </c>
      <c r="G24" s="2" t="s">
        <v>1</v>
      </c>
    </row>
    <row r="25">
      <c r="A25" s="3">
        <f>IFERROR(__xludf.DUMMYFUNCTION("""COMPUTED_VALUE"""),44596.66666666667)</f>
        <v>44596.66667</v>
      </c>
      <c r="B25" s="1">
        <f>IFERROR(__xludf.DUMMYFUNCTION("""COMPUTED_VALUE"""),99.4)</f>
        <v>99.4</v>
      </c>
      <c r="C25" s="1">
        <f>IFERROR(__xludf.DUMMYFUNCTION("""COMPUTED_VALUE"""),102.3)</f>
        <v>102.3</v>
      </c>
      <c r="D25" s="1">
        <f>IFERROR(__xludf.DUMMYFUNCTION("""COMPUTED_VALUE"""),99.27)</f>
        <v>99.27</v>
      </c>
      <c r="E25" s="1">
        <f>IFERROR(__xludf.DUMMYFUNCTION("""COMPUTED_VALUE"""),101.61)</f>
        <v>101.61</v>
      </c>
      <c r="F25" s="1">
        <f>IFERROR(__xludf.DUMMYFUNCTION("""COMPUTED_VALUE"""),522317.0)</f>
        <v>522317</v>
      </c>
      <c r="G25" s="2" t="s">
        <v>1</v>
      </c>
    </row>
    <row r="26">
      <c r="A26" s="3">
        <f>IFERROR(__xludf.DUMMYFUNCTION("""COMPUTED_VALUE"""),44599.66666666667)</f>
        <v>44599.66667</v>
      </c>
      <c r="B26" s="1">
        <f>IFERROR(__xludf.DUMMYFUNCTION("""COMPUTED_VALUE"""),101.84)</f>
        <v>101.84</v>
      </c>
      <c r="C26" s="1">
        <f>IFERROR(__xludf.DUMMYFUNCTION("""COMPUTED_VALUE"""),102.22)</f>
        <v>102.22</v>
      </c>
      <c r="D26" s="1">
        <f>IFERROR(__xludf.DUMMYFUNCTION("""COMPUTED_VALUE"""),100.96)</f>
        <v>100.96</v>
      </c>
      <c r="E26" s="1">
        <f>IFERROR(__xludf.DUMMYFUNCTION("""COMPUTED_VALUE"""),101.53)</f>
        <v>101.53</v>
      </c>
      <c r="F26" s="1">
        <f>IFERROR(__xludf.DUMMYFUNCTION("""COMPUTED_VALUE"""),328300.0)</f>
        <v>328300</v>
      </c>
      <c r="G26" s="2" t="s">
        <v>1</v>
      </c>
    </row>
    <row r="27">
      <c r="A27" s="3">
        <f>IFERROR(__xludf.DUMMYFUNCTION("""COMPUTED_VALUE"""),44600.66666666667)</f>
        <v>44600.66667</v>
      </c>
      <c r="B27" s="1">
        <f>IFERROR(__xludf.DUMMYFUNCTION("""COMPUTED_VALUE"""),101.77)</f>
        <v>101.77</v>
      </c>
      <c r="C27" s="1">
        <f>IFERROR(__xludf.DUMMYFUNCTION("""COMPUTED_VALUE"""),103.71)</f>
        <v>103.71</v>
      </c>
      <c r="D27" s="1">
        <f>IFERROR(__xludf.DUMMYFUNCTION("""COMPUTED_VALUE"""),101.18)</f>
        <v>101.18</v>
      </c>
      <c r="E27" s="1">
        <f>IFERROR(__xludf.DUMMYFUNCTION("""COMPUTED_VALUE"""),103.42)</f>
        <v>103.42</v>
      </c>
      <c r="F27" s="1">
        <f>IFERROR(__xludf.DUMMYFUNCTION("""COMPUTED_VALUE"""),571136.0)</f>
        <v>571136</v>
      </c>
      <c r="G27" s="2" t="s">
        <v>1</v>
      </c>
    </row>
    <row r="28">
      <c r="A28" s="3">
        <f>IFERROR(__xludf.DUMMYFUNCTION("""COMPUTED_VALUE"""),44601.66666666667)</f>
        <v>44601.66667</v>
      </c>
      <c r="B28" s="1">
        <f>IFERROR(__xludf.DUMMYFUNCTION("""COMPUTED_VALUE"""),104.23)</f>
        <v>104.23</v>
      </c>
      <c r="C28" s="1">
        <f>IFERROR(__xludf.DUMMYFUNCTION("""COMPUTED_VALUE"""),105.51)</f>
        <v>105.51</v>
      </c>
      <c r="D28" s="1">
        <f>IFERROR(__xludf.DUMMYFUNCTION("""COMPUTED_VALUE"""),103.68)</f>
        <v>103.68</v>
      </c>
      <c r="E28" s="1">
        <f>IFERROR(__xludf.DUMMYFUNCTION("""COMPUTED_VALUE"""),103.88)</f>
        <v>103.88</v>
      </c>
      <c r="F28" s="1">
        <f>IFERROR(__xludf.DUMMYFUNCTION("""COMPUTED_VALUE"""),389456.0)</f>
        <v>389456</v>
      </c>
      <c r="G28" s="2" t="s">
        <v>1</v>
      </c>
    </row>
    <row r="29">
      <c r="A29" s="3">
        <f>IFERROR(__xludf.DUMMYFUNCTION("""COMPUTED_VALUE"""),44602.66666666667)</f>
        <v>44602.66667</v>
      </c>
      <c r="B29" s="1">
        <f>IFERROR(__xludf.DUMMYFUNCTION("""COMPUTED_VALUE"""),102.62)</f>
        <v>102.62</v>
      </c>
      <c r="C29" s="1">
        <f>IFERROR(__xludf.DUMMYFUNCTION("""COMPUTED_VALUE"""),103.98)</f>
        <v>103.98</v>
      </c>
      <c r="D29" s="1">
        <f>IFERROR(__xludf.DUMMYFUNCTION("""COMPUTED_VALUE"""),100.63)</f>
        <v>100.63</v>
      </c>
      <c r="E29" s="1">
        <f>IFERROR(__xludf.DUMMYFUNCTION("""COMPUTED_VALUE"""),101.17)</f>
        <v>101.17</v>
      </c>
      <c r="F29" s="1">
        <f>IFERROR(__xludf.DUMMYFUNCTION("""COMPUTED_VALUE"""),468908.0)</f>
        <v>468908</v>
      </c>
      <c r="G29" s="2" t="s">
        <v>1</v>
      </c>
    </row>
    <row r="30">
      <c r="A30" s="3">
        <f>IFERROR(__xludf.DUMMYFUNCTION("""COMPUTED_VALUE"""),44603.66666666667)</f>
        <v>44603.66667</v>
      </c>
      <c r="B30" s="1">
        <f>IFERROR(__xludf.DUMMYFUNCTION("""COMPUTED_VALUE"""),101.65)</f>
        <v>101.65</v>
      </c>
      <c r="C30" s="1">
        <f>IFERROR(__xludf.DUMMYFUNCTION("""COMPUTED_VALUE"""),102.21)</f>
        <v>102.21</v>
      </c>
      <c r="D30" s="1">
        <f>IFERROR(__xludf.DUMMYFUNCTION("""COMPUTED_VALUE"""),97.8)</f>
        <v>97.8</v>
      </c>
      <c r="E30" s="1">
        <f>IFERROR(__xludf.DUMMYFUNCTION("""COMPUTED_VALUE"""),98.69)</f>
        <v>98.69</v>
      </c>
      <c r="F30" s="1">
        <f>IFERROR(__xludf.DUMMYFUNCTION("""COMPUTED_VALUE"""),820631.0)</f>
        <v>820631</v>
      </c>
      <c r="G30" s="2" t="s">
        <v>1</v>
      </c>
    </row>
    <row r="31">
      <c r="A31" s="3">
        <f>IFERROR(__xludf.DUMMYFUNCTION("""COMPUTED_VALUE"""),44606.66666666667)</f>
        <v>44606.66667</v>
      </c>
      <c r="B31" s="1">
        <f>IFERROR(__xludf.DUMMYFUNCTION("""COMPUTED_VALUE"""),98.75)</f>
        <v>98.75</v>
      </c>
      <c r="C31" s="1">
        <f>IFERROR(__xludf.DUMMYFUNCTION("""COMPUTED_VALUE"""),100.38)</f>
        <v>100.38</v>
      </c>
      <c r="D31" s="1">
        <f>IFERROR(__xludf.DUMMYFUNCTION("""COMPUTED_VALUE"""),98.24)</f>
        <v>98.24</v>
      </c>
      <c r="E31" s="1">
        <f>IFERROR(__xludf.DUMMYFUNCTION("""COMPUTED_VALUE"""),98.73)</f>
        <v>98.73</v>
      </c>
      <c r="F31" s="1">
        <f>IFERROR(__xludf.DUMMYFUNCTION("""COMPUTED_VALUE"""),426147.0)</f>
        <v>426147</v>
      </c>
      <c r="G31" s="2" t="s">
        <v>1</v>
      </c>
    </row>
    <row r="32">
      <c r="A32" s="3">
        <f>IFERROR(__xludf.DUMMYFUNCTION("""COMPUTED_VALUE"""),44607.66666666667)</f>
        <v>44607.66667</v>
      </c>
      <c r="B32" s="1">
        <f>IFERROR(__xludf.DUMMYFUNCTION("""COMPUTED_VALUE"""),100.26)</f>
        <v>100.26</v>
      </c>
      <c r="C32" s="1">
        <f>IFERROR(__xludf.DUMMYFUNCTION("""COMPUTED_VALUE"""),102.58)</f>
        <v>102.58</v>
      </c>
      <c r="D32" s="1">
        <f>IFERROR(__xludf.DUMMYFUNCTION("""COMPUTED_VALUE"""),99.99)</f>
        <v>99.99</v>
      </c>
      <c r="E32" s="1">
        <f>IFERROR(__xludf.DUMMYFUNCTION("""COMPUTED_VALUE"""),102.14)</f>
        <v>102.14</v>
      </c>
      <c r="F32" s="1">
        <f>IFERROR(__xludf.DUMMYFUNCTION("""COMPUTED_VALUE"""),334473.0)</f>
        <v>334473</v>
      </c>
      <c r="G32" s="2" t="s">
        <v>1</v>
      </c>
    </row>
    <row r="33">
      <c r="A33" s="3">
        <f>IFERROR(__xludf.DUMMYFUNCTION("""COMPUTED_VALUE"""),44608.66666666667)</f>
        <v>44608.66667</v>
      </c>
      <c r="B33" s="1">
        <f>IFERROR(__xludf.DUMMYFUNCTION("""COMPUTED_VALUE"""),100.88)</f>
        <v>100.88</v>
      </c>
      <c r="C33" s="1">
        <f>IFERROR(__xludf.DUMMYFUNCTION("""COMPUTED_VALUE"""),103.9)</f>
        <v>103.9</v>
      </c>
      <c r="D33" s="1">
        <f>IFERROR(__xludf.DUMMYFUNCTION("""COMPUTED_VALUE"""),100.82)</f>
        <v>100.82</v>
      </c>
      <c r="E33" s="1">
        <f>IFERROR(__xludf.DUMMYFUNCTION("""COMPUTED_VALUE"""),103.18)</f>
        <v>103.18</v>
      </c>
      <c r="F33" s="1">
        <f>IFERROR(__xludf.DUMMYFUNCTION("""COMPUTED_VALUE"""),503888.0)</f>
        <v>503888</v>
      </c>
      <c r="G33" s="2" t="s">
        <v>1</v>
      </c>
    </row>
    <row r="34">
      <c r="A34" s="3">
        <f>IFERROR(__xludf.DUMMYFUNCTION("""COMPUTED_VALUE"""),44609.66666666667)</f>
        <v>44609.66667</v>
      </c>
      <c r="B34" s="1">
        <f>IFERROR(__xludf.DUMMYFUNCTION("""COMPUTED_VALUE"""),101.9)</f>
        <v>101.9</v>
      </c>
      <c r="C34" s="1">
        <f>IFERROR(__xludf.DUMMYFUNCTION("""COMPUTED_VALUE"""),101.93)</f>
        <v>101.93</v>
      </c>
      <c r="D34" s="1">
        <f>IFERROR(__xludf.DUMMYFUNCTION("""COMPUTED_VALUE"""),99.85)</f>
        <v>99.85</v>
      </c>
      <c r="E34" s="1">
        <f>IFERROR(__xludf.DUMMYFUNCTION("""COMPUTED_VALUE"""),100.34)</f>
        <v>100.34</v>
      </c>
      <c r="F34" s="1">
        <f>IFERROR(__xludf.DUMMYFUNCTION("""COMPUTED_VALUE"""),419119.0)</f>
        <v>419119</v>
      </c>
      <c r="G34" s="2" t="s">
        <v>1</v>
      </c>
    </row>
    <row r="35">
      <c r="A35" s="3">
        <f>IFERROR(__xludf.DUMMYFUNCTION("""COMPUTED_VALUE"""),44610.66666666667)</f>
        <v>44610.66667</v>
      </c>
      <c r="B35" s="1">
        <f>IFERROR(__xludf.DUMMYFUNCTION("""COMPUTED_VALUE"""),100.26)</f>
        <v>100.26</v>
      </c>
      <c r="C35" s="1">
        <f>IFERROR(__xludf.DUMMYFUNCTION("""COMPUTED_VALUE"""),100.83)</f>
        <v>100.83</v>
      </c>
      <c r="D35" s="1">
        <f>IFERROR(__xludf.DUMMYFUNCTION("""COMPUTED_VALUE"""),98.71)</f>
        <v>98.71</v>
      </c>
      <c r="E35" s="1">
        <f>IFERROR(__xludf.DUMMYFUNCTION("""COMPUTED_VALUE"""),99.3)</f>
        <v>99.3</v>
      </c>
      <c r="F35" s="1">
        <f>IFERROR(__xludf.DUMMYFUNCTION("""COMPUTED_VALUE"""),283534.0)</f>
        <v>283534</v>
      </c>
      <c r="G35" s="2" t="s">
        <v>1</v>
      </c>
    </row>
    <row r="36">
      <c r="A36" s="3">
        <f>IFERROR(__xludf.DUMMYFUNCTION("""COMPUTED_VALUE"""),44614.66666666667)</f>
        <v>44614.66667</v>
      </c>
      <c r="B36" s="1">
        <f>IFERROR(__xludf.DUMMYFUNCTION("""COMPUTED_VALUE"""),97.37)</f>
        <v>97.37</v>
      </c>
      <c r="C36" s="1">
        <f>IFERROR(__xludf.DUMMYFUNCTION("""COMPUTED_VALUE"""),98.43)</f>
        <v>98.43</v>
      </c>
      <c r="D36" s="1">
        <f>IFERROR(__xludf.DUMMYFUNCTION("""COMPUTED_VALUE"""),95.28)</f>
        <v>95.28</v>
      </c>
      <c r="E36" s="1">
        <f>IFERROR(__xludf.DUMMYFUNCTION("""COMPUTED_VALUE"""),96.11)</f>
        <v>96.11</v>
      </c>
      <c r="F36" s="1">
        <f>IFERROR(__xludf.DUMMYFUNCTION("""COMPUTED_VALUE"""),520132.0)</f>
        <v>520132</v>
      </c>
      <c r="G36" s="2" t="s">
        <v>1</v>
      </c>
    </row>
    <row r="37">
      <c r="A37" s="3">
        <f>IFERROR(__xludf.DUMMYFUNCTION("""COMPUTED_VALUE"""),44615.66666666667)</f>
        <v>44615.66667</v>
      </c>
      <c r="B37" s="1">
        <f>IFERROR(__xludf.DUMMYFUNCTION("""COMPUTED_VALUE"""),97.33)</f>
        <v>97.33</v>
      </c>
      <c r="C37" s="1">
        <f>IFERROR(__xludf.DUMMYFUNCTION("""COMPUTED_VALUE"""),97.69)</f>
        <v>97.69</v>
      </c>
      <c r="D37" s="1">
        <f>IFERROR(__xludf.DUMMYFUNCTION("""COMPUTED_VALUE"""),95.03)</f>
        <v>95.03</v>
      </c>
      <c r="E37" s="1">
        <f>IFERROR(__xludf.DUMMYFUNCTION("""COMPUTED_VALUE"""),95.3)</f>
        <v>95.3</v>
      </c>
      <c r="F37" s="1">
        <f>IFERROR(__xludf.DUMMYFUNCTION("""COMPUTED_VALUE"""),362213.0)</f>
        <v>362213</v>
      </c>
      <c r="G37" s="2" t="s">
        <v>1</v>
      </c>
    </row>
    <row r="38">
      <c r="A38" s="3">
        <f>IFERROR(__xludf.DUMMYFUNCTION("""COMPUTED_VALUE"""),44616.66666666667)</f>
        <v>44616.66667</v>
      </c>
      <c r="B38" s="1">
        <f>IFERROR(__xludf.DUMMYFUNCTION("""COMPUTED_VALUE"""),88.18)</f>
        <v>88.18</v>
      </c>
      <c r="C38" s="1">
        <f>IFERROR(__xludf.DUMMYFUNCTION("""COMPUTED_VALUE"""),91.09)</f>
        <v>91.09</v>
      </c>
      <c r="D38" s="1">
        <f>IFERROR(__xludf.DUMMYFUNCTION("""COMPUTED_VALUE"""),87.5)</f>
        <v>87.5</v>
      </c>
      <c r="E38" s="1">
        <f>IFERROR(__xludf.DUMMYFUNCTION("""COMPUTED_VALUE"""),91.0)</f>
        <v>91</v>
      </c>
      <c r="F38" s="1">
        <f>IFERROR(__xludf.DUMMYFUNCTION("""COMPUTED_VALUE"""),1102884.0)</f>
        <v>1102884</v>
      </c>
      <c r="G38" s="2" t="s">
        <v>1</v>
      </c>
    </row>
    <row r="39">
      <c r="A39" s="3">
        <f>IFERROR(__xludf.DUMMYFUNCTION("""COMPUTED_VALUE"""),44617.66666666667)</f>
        <v>44617.66667</v>
      </c>
      <c r="B39" s="1">
        <f>IFERROR(__xludf.DUMMYFUNCTION("""COMPUTED_VALUE"""),90.38)</f>
        <v>90.38</v>
      </c>
      <c r="C39" s="1">
        <f>IFERROR(__xludf.DUMMYFUNCTION("""COMPUTED_VALUE"""),92.82)</f>
        <v>92.82</v>
      </c>
      <c r="D39" s="1">
        <f>IFERROR(__xludf.DUMMYFUNCTION("""COMPUTED_VALUE"""),90.3)</f>
        <v>90.3</v>
      </c>
      <c r="E39" s="1">
        <f>IFERROR(__xludf.DUMMYFUNCTION("""COMPUTED_VALUE"""),92.05)</f>
        <v>92.05</v>
      </c>
      <c r="F39" s="1">
        <f>IFERROR(__xludf.DUMMYFUNCTION("""COMPUTED_VALUE"""),840981.0)</f>
        <v>840981</v>
      </c>
      <c r="G39" s="2" t="s">
        <v>1</v>
      </c>
    </row>
    <row r="40">
      <c r="A40" s="3">
        <f>IFERROR(__xludf.DUMMYFUNCTION("""COMPUTED_VALUE"""),44620.66666666667)</f>
        <v>44620.66667</v>
      </c>
      <c r="B40" s="1">
        <f>IFERROR(__xludf.DUMMYFUNCTION("""COMPUTED_VALUE"""),87.54)</f>
        <v>87.54</v>
      </c>
      <c r="C40" s="1">
        <f>IFERROR(__xludf.DUMMYFUNCTION("""COMPUTED_VALUE"""),89.88)</f>
        <v>89.88</v>
      </c>
      <c r="D40" s="1">
        <f>IFERROR(__xludf.DUMMYFUNCTION("""COMPUTED_VALUE"""),87.11)</f>
        <v>87.11</v>
      </c>
      <c r="E40" s="1">
        <f>IFERROR(__xludf.DUMMYFUNCTION("""COMPUTED_VALUE"""),88.01)</f>
        <v>88.01</v>
      </c>
      <c r="F40" s="1">
        <f>IFERROR(__xludf.DUMMYFUNCTION("""COMPUTED_VALUE"""),850197.0)</f>
        <v>850197</v>
      </c>
      <c r="G40" s="2" t="s">
        <v>1</v>
      </c>
    </row>
    <row r="41">
      <c r="A41" s="3">
        <f>IFERROR(__xludf.DUMMYFUNCTION("""COMPUTED_VALUE"""),44621.66666666667)</f>
        <v>44621.66667</v>
      </c>
      <c r="B41" s="1">
        <f>IFERROR(__xludf.DUMMYFUNCTION("""COMPUTED_VALUE"""),86.04)</f>
        <v>86.04</v>
      </c>
      <c r="C41" s="1">
        <f>IFERROR(__xludf.DUMMYFUNCTION("""COMPUTED_VALUE"""),86.11)</f>
        <v>86.11</v>
      </c>
      <c r="D41" s="1">
        <f>IFERROR(__xludf.DUMMYFUNCTION("""COMPUTED_VALUE"""),80.46)</f>
        <v>80.46</v>
      </c>
      <c r="E41" s="1">
        <f>IFERROR(__xludf.DUMMYFUNCTION("""COMPUTED_VALUE"""),81.59)</f>
        <v>81.59</v>
      </c>
      <c r="F41" s="1">
        <f>IFERROR(__xludf.DUMMYFUNCTION("""COMPUTED_VALUE"""),1147449.0)</f>
        <v>1147449</v>
      </c>
      <c r="G41" s="2" t="s">
        <v>1</v>
      </c>
    </row>
    <row r="42">
      <c r="A42" s="3">
        <f>IFERROR(__xludf.DUMMYFUNCTION("""COMPUTED_VALUE"""),44622.66666666667)</f>
        <v>44622.66667</v>
      </c>
      <c r="B42" s="1">
        <f>IFERROR(__xludf.DUMMYFUNCTION("""COMPUTED_VALUE"""),81.86)</f>
        <v>81.86</v>
      </c>
      <c r="C42" s="1">
        <f>IFERROR(__xludf.DUMMYFUNCTION("""COMPUTED_VALUE"""),83.84)</f>
        <v>83.84</v>
      </c>
      <c r="D42" s="1">
        <f>IFERROR(__xludf.DUMMYFUNCTION("""COMPUTED_VALUE"""),81.12)</f>
        <v>81.12</v>
      </c>
      <c r="E42" s="1">
        <f>IFERROR(__xludf.DUMMYFUNCTION("""COMPUTED_VALUE"""),83.38)</f>
        <v>83.38</v>
      </c>
      <c r="F42" s="1">
        <f>IFERROR(__xludf.DUMMYFUNCTION("""COMPUTED_VALUE"""),820801.0)</f>
        <v>820801</v>
      </c>
      <c r="G42" s="2" t="s">
        <v>1</v>
      </c>
    </row>
    <row r="43">
      <c r="A43" s="3">
        <f>IFERROR(__xludf.DUMMYFUNCTION("""COMPUTED_VALUE"""),44623.66666666667)</f>
        <v>44623.66667</v>
      </c>
      <c r="B43" s="1">
        <f>IFERROR(__xludf.DUMMYFUNCTION("""COMPUTED_VALUE"""),80.8)</f>
        <v>80.8</v>
      </c>
      <c r="C43" s="1">
        <f>IFERROR(__xludf.DUMMYFUNCTION("""COMPUTED_VALUE"""),82.25)</f>
        <v>82.25</v>
      </c>
      <c r="D43" s="1">
        <f>IFERROR(__xludf.DUMMYFUNCTION("""COMPUTED_VALUE"""),78.94)</f>
        <v>78.94</v>
      </c>
      <c r="E43" s="1">
        <f>IFERROR(__xludf.DUMMYFUNCTION("""COMPUTED_VALUE"""),80.62)</f>
        <v>80.62</v>
      </c>
      <c r="F43" s="1">
        <f>IFERROR(__xludf.DUMMYFUNCTION("""COMPUTED_VALUE"""),1735304.0)</f>
        <v>1735304</v>
      </c>
      <c r="G43" s="2" t="s">
        <v>1</v>
      </c>
    </row>
    <row r="44">
      <c r="A44" s="3">
        <f>IFERROR(__xludf.DUMMYFUNCTION("""COMPUTED_VALUE"""),44624.66666666667)</f>
        <v>44624.66667</v>
      </c>
      <c r="B44" s="1">
        <f>IFERROR(__xludf.DUMMYFUNCTION("""COMPUTED_VALUE"""),77.44)</f>
        <v>77.44</v>
      </c>
      <c r="C44" s="1">
        <f>IFERROR(__xludf.DUMMYFUNCTION("""COMPUTED_VALUE"""),77.89)</f>
        <v>77.89</v>
      </c>
      <c r="D44" s="1">
        <f>IFERROR(__xludf.DUMMYFUNCTION("""COMPUTED_VALUE"""),75.77)</f>
        <v>75.77</v>
      </c>
      <c r="E44" s="1">
        <f>IFERROR(__xludf.DUMMYFUNCTION("""COMPUTED_VALUE"""),76.53)</f>
        <v>76.53</v>
      </c>
      <c r="F44" s="1">
        <f>IFERROR(__xludf.DUMMYFUNCTION("""COMPUTED_VALUE"""),1180669.0)</f>
        <v>1180669</v>
      </c>
      <c r="G44" s="2" t="s">
        <v>1</v>
      </c>
    </row>
    <row r="45">
      <c r="A45" s="3">
        <f>IFERROR(__xludf.DUMMYFUNCTION("""COMPUTED_VALUE"""),44627.66666666667)</f>
        <v>44627.66667</v>
      </c>
      <c r="B45" s="1">
        <f>IFERROR(__xludf.DUMMYFUNCTION("""COMPUTED_VALUE"""),75.38)</f>
        <v>75.38</v>
      </c>
      <c r="C45" s="1">
        <f>IFERROR(__xludf.DUMMYFUNCTION("""COMPUTED_VALUE"""),75.72)</f>
        <v>75.72</v>
      </c>
      <c r="D45" s="1">
        <f>IFERROR(__xludf.DUMMYFUNCTION("""COMPUTED_VALUE"""),70.15)</f>
        <v>70.15</v>
      </c>
      <c r="E45" s="1">
        <f>IFERROR(__xludf.DUMMYFUNCTION("""COMPUTED_VALUE"""),70.25)</f>
        <v>70.25</v>
      </c>
      <c r="F45" s="1">
        <f>IFERROR(__xludf.DUMMYFUNCTION("""COMPUTED_VALUE"""),918136.0)</f>
        <v>918136</v>
      </c>
      <c r="G45" s="2" t="s">
        <v>1</v>
      </c>
    </row>
    <row r="46">
      <c r="A46" s="3">
        <f>IFERROR(__xludf.DUMMYFUNCTION("""COMPUTED_VALUE"""),44628.66666666667)</f>
        <v>44628.66667</v>
      </c>
      <c r="B46" s="1">
        <f>IFERROR(__xludf.DUMMYFUNCTION("""COMPUTED_VALUE"""),71.43)</f>
        <v>71.43</v>
      </c>
      <c r="C46" s="1">
        <f>IFERROR(__xludf.DUMMYFUNCTION("""COMPUTED_VALUE"""),76.14)</f>
        <v>76.14</v>
      </c>
      <c r="D46" s="1">
        <f>IFERROR(__xludf.DUMMYFUNCTION("""COMPUTED_VALUE"""),70.31)</f>
        <v>70.31</v>
      </c>
      <c r="E46" s="1">
        <f>IFERROR(__xludf.DUMMYFUNCTION("""COMPUTED_VALUE"""),73.05)</f>
        <v>73.05</v>
      </c>
      <c r="F46" s="1">
        <f>IFERROR(__xludf.DUMMYFUNCTION("""COMPUTED_VALUE"""),1483316.0)</f>
        <v>1483316</v>
      </c>
      <c r="G46" s="2" t="s">
        <v>1</v>
      </c>
    </row>
    <row r="47">
      <c r="A47" s="3">
        <f>IFERROR(__xludf.DUMMYFUNCTION("""COMPUTED_VALUE"""),44629.66666666667)</f>
        <v>44629.66667</v>
      </c>
      <c r="B47" s="1">
        <f>IFERROR(__xludf.DUMMYFUNCTION("""COMPUTED_VALUE"""),76.14)</f>
        <v>76.14</v>
      </c>
      <c r="C47" s="1">
        <f>IFERROR(__xludf.DUMMYFUNCTION("""COMPUTED_VALUE"""),77.6)</f>
        <v>77.6</v>
      </c>
      <c r="D47" s="1">
        <f>IFERROR(__xludf.DUMMYFUNCTION("""COMPUTED_VALUE"""),74.96)</f>
        <v>74.96</v>
      </c>
      <c r="E47" s="1">
        <f>IFERROR(__xludf.DUMMYFUNCTION("""COMPUTED_VALUE"""),75.38)</f>
        <v>75.38</v>
      </c>
      <c r="F47" s="1">
        <f>IFERROR(__xludf.DUMMYFUNCTION("""COMPUTED_VALUE"""),1045005.0)</f>
        <v>1045005</v>
      </c>
      <c r="G47" s="2" t="s">
        <v>1</v>
      </c>
    </row>
    <row r="48">
      <c r="A48" s="3">
        <f>IFERROR(__xludf.DUMMYFUNCTION("""COMPUTED_VALUE"""),44630.66666666667)</f>
        <v>44630.66667</v>
      </c>
      <c r="B48" s="1">
        <f>IFERROR(__xludf.DUMMYFUNCTION("""COMPUTED_VALUE"""),72.91)</f>
        <v>72.91</v>
      </c>
      <c r="C48" s="1">
        <f>IFERROR(__xludf.DUMMYFUNCTION("""COMPUTED_VALUE"""),75.32)</f>
        <v>75.32</v>
      </c>
      <c r="D48" s="1">
        <f>IFERROR(__xludf.DUMMYFUNCTION("""COMPUTED_VALUE"""),72.7)</f>
        <v>72.7</v>
      </c>
      <c r="E48" s="1">
        <f>IFERROR(__xludf.DUMMYFUNCTION("""COMPUTED_VALUE"""),74.03)</f>
        <v>74.03</v>
      </c>
      <c r="F48" s="1">
        <f>IFERROR(__xludf.DUMMYFUNCTION("""COMPUTED_VALUE"""),781486.0)</f>
        <v>781486</v>
      </c>
      <c r="G48" s="2" t="s">
        <v>1</v>
      </c>
    </row>
    <row r="49">
      <c r="A49" s="3">
        <f>IFERROR(__xludf.DUMMYFUNCTION("""COMPUTED_VALUE"""),44631.66666666667)</f>
        <v>44631.66667</v>
      </c>
      <c r="B49" s="1">
        <f>IFERROR(__xludf.DUMMYFUNCTION("""COMPUTED_VALUE"""),74.29)</f>
        <v>74.29</v>
      </c>
      <c r="C49" s="1">
        <f>IFERROR(__xludf.DUMMYFUNCTION("""COMPUTED_VALUE"""),74.71)</f>
        <v>74.71</v>
      </c>
      <c r="D49" s="1">
        <f>IFERROR(__xludf.DUMMYFUNCTION("""COMPUTED_VALUE"""),73.21)</f>
        <v>73.21</v>
      </c>
      <c r="E49" s="1">
        <f>IFERROR(__xludf.DUMMYFUNCTION("""COMPUTED_VALUE"""),73.72)</f>
        <v>73.72</v>
      </c>
      <c r="F49" s="1">
        <f>IFERROR(__xludf.DUMMYFUNCTION("""COMPUTED_VALUE"""),709835.0)</f>
        <v>709835</v>
      </c>
      <c r="G49" s="2" t="s">
        <v>1</v>
      </c>
    </row>
    <row r="50">
      <c r="A50" s="3">
        <f>IFERROR(__xludf.DUMMYFUNCTION("""COMPUTED_VALUE"""),44634.66666666667)</f>
        <v>44634.66667</v>
      </c>
      <c r="B50" s="1">
        <f>IFERROR(__xludf.DUMMYFUNCTION("""COMPUTED_VALUE"""),74.95)</f>
        <v>74.95</v>
      </c>
      <c r="C50" s="1">
        <f>IFERROR(__xludf.DUMMYFUNCTION("""COMPUTED_VALUE"""),76.96)</f>
        <v>76.96</v>
      </c>
      <c r="D50" s="1">
        <f>IFERROR(__xludf.DUMMYFUNCTION("""COMPUTED_VALUE"""),74.05)</f>
        <v>74.05</v>
      </c>
      <c r="E50" s="1">
        <f>IFERROR(__xludf.DUMMYFUNCTION("""COMPUTED_VALUE"""),74.81)</f>
        <v>74.81</v>
      </c>
      <c r="F50" s="1">
        <f>IFERROR(__xludf.DUMMYFUNCTION("""COMPUTED_VALUE"""),865677.0)</f>
        <v>865677</v>
      </c>
      <c r="G50" s="2" t="s">
        <v>1</v>
      </c>
    </row>
    <row r="51">
      <c r="A51" s="3">
        <f>IFERROR(__xludf.DUMMYFUNCTION("""COMPUTED_VALUE"""),44635.66666666667)</f>
        <v>44635.66667</v>
      </c>
      <c r="B51" s="1">
        <f>IFERROR(__xludf.DUMMYFUNCTION("""COMPUTED_VALUE"""),75.68)</f>
        <v>75.68</v>
      </c>
      <c r="C51" s="1">
        <f>IFERROR(__xludf.DUMMYFUNCTION("""COMPUTED_VALUE"""),77.32)</f>
        <v>77.32</v>
      </c>
      <c r="D51" s="1">
        <f>IFERROR(__xludf.DUMMYFUNCTION("""COMPUTED_VALUE"""),75.33)</f>
        <v>75.33</v>
      </c>
      <c r="E51" s="1">
        <f>IFERROR(__xludf.DUMMYFUNCTION("""COMPUTED_VALUE"""),75.7)</f>
        <v>75.7</v>
      </c>
      <c r="F51" s="1">
        <f>IFERROR(__xludf.DUMMYFUNCTION("""COMPUTED_VALUE"""),540824.0)</f>
        <v>540824</v>
      </c>
      <c r="G51" s="2" t="s">
        <v>1</v>
      </c>
    </row>
    <row r="52">
      <c r="A52" s="3">
        <f>IFERROR(__xludf.DUMMYFUNCTION("""COMPUTED_VALUE"""),44636.66666666667)</f>
        <v>44636.66667</v>
      </c>
      <c r="B52" s="1">
        <f>IFERROR(__xludf.DUMMYFUNCTION("""COMPUTED_VALUE"""),77.63)</f>
        <v>77.63</v>
      </c>
      <c r="C52" s="1">
        <f>IFERROR(__xludf.DUMMYFUNCTION("""COMPUTED_VALUE"""),80.75)</f>
        <v>80.75</v>
      </c>
      <c r="D52" s="1">
        <f>IFERROR(__xludf.DUMMYFUNCTION("""COMPUTED_VALUE"""),77.56)</f>
        <v>77.56</v>
      </c>
      <c r="E52" s="1">
        <f>IFERROR(__xludf.DUMMYFUNCTION("""COMPUTED_VALUE"""),80.1)</f>
        <v>80.1</v>
      </c>
      <c r="F52" s="1">
        <f>IFERROR(__xludf.DUMMYFUNCTION("""COMPUTED_VALUE"""),797959.0)</f>
        <v>797959</v>
      </c>
      <c r="G52" s="2" t="s">
        <v>1</v>
      </c>
    </row>
    <row r="53">
      <c r="A53" s="3">
        <f>IFERROR(__xludf.DUMMYFUNCTION("""COMPUTED_VALUE"""),44637.66666666667)</f>
        <v>44637.66667</v>
      </c>
      <c r="B53" s="1">
        <f>IFERROR(__xludf.DUMMYFUNCTION("""COMPUTED_VALUE"""),77.2)</f>
        <v>77.2</v>
      </c>
      <c r="C53" s="1">
        <f>IFERROR(__xludf.DUMMYFUNCTION("""COMPUTED_VALUE"""),78.64)</f>
        <v>78.64</v>
      </c>
      <c r="D53" s="1">
        <f>IFERROR(__xludf.DUMMYFUNCTION("""COMPUTED_VALUE"""),76.75)</f>
        <v>76.75</v>
      </c>
      <c r="E53" s="1">
        <f>IFERROR(__xludf.DUMMYFUNCTION("""COMPUTED_VALUE"""),78.0)</f>
        <v>78</v>
      </c>
      <c r="F53" s="1">
        <f>IFERROR(__xludf.DUMMYFUNCTION("""COMPUTED_VALUE"""),775377.0)</f>
        <v>775377</v>
      </c>
      <c r="G53" s="2" t="s">
        <v>1</v>
      </c>
    </row>
    <row r="54">
      <c r="A54" s="3">
        <f>IFERROR(__xludf.DUMMYFUNCTION("""COMPUTED_VALUE"""),44638.66666666667)</f>
        <v>44638.66667</v>
      </c>
      <c r="B54" s="1">
        <f>IFERROR(__xludf.DUMMYFUNCTION("""COMPUTED_VALUE"""),75.82)</f>
        <v>75.82</v>
      </c>
      <c r="C54" s="1">
        <f>IFERROR(__xludf.DUMMYFUNCTION("""COMPUTED_VALUE"""),78.88)</f>
        <v>78.88</v>
      </c>
      <c r="D54" s="1">
        <f>IFERROR(__xludf.DUMMYFUNCTION("""COMPUTED_VALUE"""),75.36)</f>
        <v>75.36</v>
      </c>
      <c r="E54" s="1">
        <f>IFERROR(__xludf.DUMMYFUNCTION("""COMPUTED_VALUE"""),78.71)</f>
        <v>78.71</v>
      </c>
      <c r="F54" s="1">
        <f>IFERROR(__xludf.DUMMYFUNCTION("""COMPUTED_VALUE"""),1436815.0)</f>
        <v>1436815</v>
      </c>
      <c r="G54" s="2" t="s">
        <v>1</v>
      </c>
    </row>
    <row r="55">
      <c r="A55" s="3">
        <f>IFERROR(__xludf.DUMMYFUNCTION("""COMPUTED_VALUE"""),44641.66666666667)</f>
        <v>44641.66667</v>
      </c>
      <c r="B55" s="1">
        <f>IFERROR(__xludf.DUMMYFUNCTION("""COMPUTED_VALUE"""),78.35)</f>
        <v>78.35</v>
      </c>
      <c r="C55" s="1">
        <f>IFERROR(__xludf.DUMMYFUNCTION("""COMPUTED_VALUE"""),78.92)</f>
        <v>78.92</v>
      </c>
      <c r="D55" s="1">
        <f>IFERROR(__xludf.DUMMYFUNCTION("""COMPUTED_VALUE"""),76.79)</f>
        <v>76.79</v>
      </c>
      <c r="E55" s="1">
        <f>IFERROR(__xludf.DUMMYFUNCTION("""COMPUTED_VALUE"""),77.41)</f>
        <v>77.41</v>
      </c>
      <c r="F55" s="1">
        <f>IFERROR(__xludf.DUMMYFUNCTION("""COMPUTED_VALUE"""),626949.0)</f>
        <v>626949</v>
      </c>
      <c r="G55" s="2" t="s">
        <v>1</v>
      </c>
    </row>
    <row r="56">
      <c r="A56" s="3">
        <f>IFERROR(__xludf.DUMMYFUNCTION("""COMPUTED_VALUE"""),44642.66666666667)</f>
        <v>44642.66667</v>
      </c>
      <c r="B56" s="1">
        <f>IFERROR(__xludf.DUMMYFUNCTION("""COMPUTED_VALUE"""),78.07)</f>
        <v>78.07</v>
      </c>
      <c r="C56" s="1">
        <f>IFERROR(__xludf.DUMMYFUNCTION("""COMPUTED_VALUE"""),78.71)</f>
        <v>78.71</v>
      </c>
      <c r="D56" s="1">
        <f>IFERROR(__xludf.DUMMYFUNCTION("""COMPUTED_VALUE"""),77.16)</f>
        <v>77.16</v>
      </c>
      <c r="E56" s="1">
        <f>IFERROR(__xludf.DUMMYFUNCTION("""COMPUTED_VALUE"""),77.69)</f>
        <v>77.69</v>
      </c>
      <c r="F56" s="1">
        <f>IFERROR(__xludf.DUMMYFUNCTION("""COMPUTED_VALUE"""),455827.0)</f>
        <v>455827</v>
      </c>
      <c r="G56" s="2" t="s">
        <v>1</v>
      </c>
    </row>
    <row r="57">
      <c r="A57" s="3">
        <f>IFERROR(__xludf.DUMMYFUNCTION("""COMPUTED_VALUE"""),44643.66666666667)</f>
        <v>44643.66667</v>
      </c>
      <c r="B57" s="1">
        <f>IFERROR(__xludf.DUMMYFUNCTION("""COMPUTED_VALUE"""),76.74)</f>
        <v>76.74</v>
      </c>
      <c r="C57" s="1">
        <f>IFERROR(__xludf.DUMMYFUNCTION("""COMPUTED_VALUE"""),77.67)</f>
        <v>77.67</v>
      </c>
      <c r="D57" s="1">
        <f>IFERROR(__xludf.DUMMYFUNCTION("""COMPUTED_VALUE"""),76.31)</f>
        <v>76.31</v>
      </c>
      <c r="E57" s="1">
        <f>IFERROR(__xludf.DUMMYFUNCTION("""COMPUTED_VALUE"""),76.75)</f>
        <v>76.75</v>
      </c>
      <c r="F57" s="1">
        <f>IFERROR(__xludf.DUMMYFUNCTION("""COMPUTED_VALUE"""),450476.0)</f>
        <v>450476</v>
      </c>
      <c r="G57" s="2" t="s">
        <v>1</v>
      </c>
    </row>
    <row r="58">
      <c r="A58" s="3">
        <f>IFERROR(__xludf.DUMMYFUNCTION("""COMPUTED_VALUE"""),44644.66666666667)</f>
        <v>44644.66667</v>
      </c>
      <c r="B58" s="1">
        <f>IFERROR(__xludf.DUMMYFUNCTION("""COMPUTED_VALUE"""),77.09)</f>
        <v>77.09</v>
      </c>
      <c r="C58" s="1">
        <f>IFERROR(__xludf.DUMMYFUNCTION("""COMPUTED_VALUE"""),78.4)</f>
        <v>78.4</v>
      </c>
      <c r="D58" s="1">
        <f>IFERROR(__xludf.DUMMYFUNCTION("""COMPUTED_VALUE"""),76.75)</f>
        <v>76.75</v>
      </c>
      <c r="E58" s="1">
        <f>IFERROR(__xludf.DUMMYFUNCTION("""COMPUTED_VALUE"""),77.47)</f>
        <v>77.47</v>
      </c>
      <c r="F58" s="1">
        <f>IFERROR(__xludf.DUMMYFUNCTION("""COMPUTED_VALUE"""),961002.0)</f>
        <v>961002</v>
      </c>
      <c r="G58" s="2" t="s">
        <v>1</v>
      </c>
    </row>
    <row r="59">
      <c r="A59" s="3">
        <f>IFERROR(__xludf.DUMMYFUNCTION("""COMPUTED_VALUE"""),44645.66666666667)</f>
        <v>44645.66667</v>
      </c>
      <c r="B59" s="1">
        <f>IFERROR(__xludf.DUMMYFUNCTION("""COMPUTED_VALUE"""),77.73)</f>
        <v>77.73</v>
      </c>
      <c r="C59" s="1">
        <f>IFERROR(__xludf.DUMMYFUNCTION("""COMPUTED_VALUE"""),78.11)</f>
        <v>78.11</v>
      </c>
      <c r="D59" s="1">
        <f>IFERROR(__xludf.DUMMYFUNCTION("""COMPUTED_VALUE"""),76.27)</f>
        <v>76.27</v>
      </c>
      <c r="E59" s="1">
        <f>IFERROR(__xludf.DUMMYFUNCTION("""COMPUTED_VALUE"""),76.64)</f>
        <v>76.64</v>
      </c>
      <c r="F59" s="1">
        <f>IFERROR(__xludf.DUMMYFUNCTION("""COMPUTED_VALUE"""),830877.0)</f>
        <v>830877</v>
      </c>
      <c r="G59" s="2" t="s">
        <v>1</v>
      </c>
    </row>
    <row r="60">
      <c r="A60" s="3">
        <f>IFERROR(__xludf.DUMMYFUNCTION("""COMPUTED_VALUE"""),44648.66666666667)</f>
        <v>44648.66667</v>
      </c>
      <c r="B60" s="1">
        <f>IFERROR(__xludf.DUMMYFUNCTION("""COMPUTED_VALUE"""),76.52)</f>
        <v>76.52</v>
      </c>
      <c r="C60" s="1">
        <f>IFERROR(__xludf.DUMMYFUNCTION("""COMPUTED_VALUE"""),76.65)</f>
        <v>76.65</v>
      </c>
      <c r="D60" s="1">
        <f>IFERROR(__xludf.DUMMYFUNCTION("""COMPUTED_VALUE"""),75.48)</f>
        <v>75.48</v>
      </c>
      <c r="E60" s="1">
        <f>IFERROR(__xludf.DUMMYFUNCTION("""COMPUTED_VALUE"""),76.41)</f>
        <v>76.41</v>
      </c>
      <c r="F60" s="1">
        <f>IFERROR(__xludf.DUMMYFUNCTION("""COMPUTED_VALUE"""),810200.0)</f>
        <v>810200</v>
      </c>
      <c r="G60" s="2" t="s">
        <v>1</v>
      </c>
    </row>
    <row r="61">
      <c r="A61" s="3">
        <f>IFERROR(__xludf.DUMMYFUNCTION("""COMPUTED_VALUE"""),44649.66666666667)</f>
        <v>44649.66667</v>
      </c>
      <c r="B61" s="1">
        <f>IFERROR(__xludf.DUMMYFUNCTION("""COMPUTED_VALUE"""),81.24)</f>
        <v>81.24</v>
      </c>
      <c r="C61" s="1">
        <f>IFERROR(__xludf.DUMMYFUNCTION("""COMPUTED_VALUE"""),82.38)</f>
        <v>82.38</v>
      </c>
      <c r="D61" s="1">
        <f>IFERROR(__xludf.DUMMYFUNCTION("""COMPUTED_VALUE"""),80.26)</f>
        <v>80.26</v>
      </c>
      <c r="E61" s="1">
        <f>IFERROR(__xludf.DUMMYFUNCTION("""COMPUTED_VALUE"""),80.69)</f>
        <v>80.69</v>
      </c>
      <c r="F61" s="1">
        <f>IFERROR(__xludf.DUMMYFUNCTION("""COMPUTED_VALUE"""),969826.0)</f>
        <v>969826</v>
      </c>
      <c r="G61" s="2" t="s">
        <v>1</v>
      </c>
    </row>
    <row r="62">
      <c r="A62" s="3">
        <f>IFERROR(__xludf.DUMMYFUNCTION("""COMPUTED_VALUE"""),44650.66666666667)</f>
        <v>44650.66667</v>
      </c>
      <c r="B62" s="1">
        <f>IFERROR(__xludf.DUMMYFUNCTION("""COMPUTED_VALUE"""),79.21)</f>
        <v>79.21</v>
      </c>
      <c r="C62" s="1">
        <f>IFERROR(__xludf.DUMMYFUNCTION("""COMPUTED_VALUE"""),79.27)</f>
        <v>79.27</v>
      </c>
      <c r="D62" s="1">
        <f>IFERROR(__xludf.DUMMYFUNCTION("""COMPUTED_VALUE"""),77.01)</f>
        <v>77.01</v>
      </c>
      <c r="E62" s="1">
        <f>IFERROR(__xludf.DUMMYFUNCTION("""COMPUTED_VALUE"""),77.47)</f>
        <v>77.47</v>
      </c>
      <c r="F62" s="1">
        <f>IFERROR(__xludf.DUMMYFUNCTION("""COMPUTED_VALUE"""),866290.0)</f>
        <v>866290</v>
      </c>
      <c r="G62" s="2" t="s">
        <v>1</v>
      </c>
    </row>
    <row r="63">
      <c r="A63" s="3">
        <f>IFERROR(__xludf.DUMMYFUNCTION("""COMPUTED_VALUE"""),44651.66666666667)</f>
        <v>44651.66667</v>
      </c>
      <c r="B63" s="1">
        <f>IFERROR(__xludf.DUMMYFUNCTION("""COMPUTED_VALUE"""),76.82)</f>
        <v>76.82</v>
      </c>
      <c r="C63" s="1">
        <f>IFERROR(__xludf.DUMMYFUNCTION("""COMPUTED_VALUE"""),77.69)</f>
        <v>77.69</v>
      </c>
      <c r="D63" s="1">
        <f>IFERROR(__xludf.DUMMYFUNCTION("""COMPUTED_VALUE"""),76.32)</f>
        <v>76.32</v>
      </c>
      <c r="E63" s="1">
        <f>IFERROR(__xludf.DUMMYFUNCTION("""COMPUTED_VALUE"""),76.44)</f>
        <v>76.44</v>
      </c>
      <c r="F63" s="1">
        <f>IFERROR(__xludf.DUMMYFUNCTION("""COMPUTED_VALUE"""),696455.0)</f>
        <v>696455</v>
      </c>
      <c r="G63" s="2" t="s">
        <v>1</v>
      </c>
    </row>
    <row r="64">
      <c r="A64" s="3">
        <f>IFERROR(__xludf.DUMMYFUNCTION("""COMPUTED_VALUE"""),44652.66666666667)</f>
        <v>44652.66667</v>
      </c>
      <c r="B64" s="1">
        <f>IFERROR(__xludf.DUMMYFUNCTION("""COMPUTED_VALUE"""),77.66)</f>
        <v>77.66</v>
      </c>
      <c r="C64" s="1">
        <f>IFERROR(__xludf.DUMMYFUNCTION("""COMPUTED_VALUE"""),78.07)</f>
        <v>78.07</v>
      </c>
      <c r="D64" s="1">
        <f>IFERROR(__xludf.DUMMYFUNCTION("""COMPUTED_VALUE"""),75.96)</f>
        <v>75.96</v>
      </c>
      <c r="E64" s="1">
        <f>IFERROR(__xludf.DUMMYFUNCTION("""COMPUTED_VALUE"""),76.99)</f>
        <v>76.99</v>
      </c>
      <c r="F64" s="1">
        <f>IFERROR(__xludf.DUMMYFUNCTION("""COMPUTED_VALUE"""),1130876.0)</f>
        <v>1130876</v>
      </c>
      <c r="G64" s="2" t="s">
        <v>1</v>
      </c>
    </row>
    <row r="65">
      <c r="A65" s="3">
        <f>IFERROR(__xludf.DUMMYFUNCTION("""COMPUTED_VALUE"""),44655.66666666667)</f>
        <v>44655.66667</v>
      </c>
      <c r="B65" s="1">
        <f>IFERROR(__xludf.DUMMYFUNCTION("""COMPUTED_VALUE"""),76.85)</f>
        <v>76.85</v>
      </c>
      <c r="C65" s="1">
        <f>IFERROR(__xludf.DUMMYFUNCTION("""COMPUTED_VALUE"""),78.05)</f>
        <v>78.05</v>
      </c>
      <c r="D65" s="1">
        <f>IFERROR(__xludf.DUMMYFUNCTION("""COMPUTED_VALUE"""),76.2)</f>
        <v>76.2</v>
      </c>
      <c r="E65" s="1">
        <f>IFERROR(__xludf.DUMMYFUNCTION("""COMPUTED_VALUE"""),77.04)</f>
        <v>77.04</v>
      </c>
      <c r="F65" s="1">
        <f>IFERROR(__xludf.DUMMYFUNCTION("""COMPUTED_VALUE"""),648570.0)</f>
        <v>648570</v>
      </c>
      <c r="G65" s="2" t="s">
        <v>1</v>
      </c>
    </row>
    <row r="66">
      <c r="A66" s="3">
        <f>IFERROR(__xludf.DUMMYFUNCTION("""COMPUTED_VALUE"""),44656.66666666667)</f>
        <v>44656.66667</v>
      </c>
      <c r="B66" s="1">
        <f>IFERROR(__xludf.DUMMYFUNCTION("""COMPUTED_VALUE"""),76.11)</f>
        <v>76.11</v>
      </c>
      <c r="C66" s="1">
        <f>IFERROR(__xludf.DUMMYFUNCTION("""COMPUTED_VALUE"""),76.34)</f>
        <v>76.34</v>
      </c>
      <c r="D66" s="1">
        <f>IFERROR(__xludf.DUMMYFUNCTION("""COMPUTED_VALUE"""),73.59)</f>
        <v>73.59</v>
      </c>
      <c r="E66" s="1">
        <f>IFERROR(__xludf.DUMMYFUNCTION("""COMPUTED_VALUE"""),73.78)</f>
        <v>73.78</v>
      </c>
      <c r="F66" s="1">
        <f>IFERROR(__xludf.DUMMYFUNCTION("""COMPUTED_VALUE"""),501407.0)</f>
        <v>501407</v>
      </c>
      <c r="G66" s="2" t="s">
        <v>1</v>
      </c>
    </row>
    <row r="67">
      <c r="A67" s="3">
        <f>IFERROR(__xludf.DUMMYFUNCTION("""COMPUTED_VALUE"""),44657.66666666667)</f>
        <v>44657.66667</v>
      </c>
      <c r="B67" s="1">
        <f>IFERROR(__xludf.DUMMYFUNCTION("""COMPUTED_VALUE"""),72.91)</f>
        <v>72.91</v>
      </c>
      <c r="C67" s="1">
        <f>IFERROR(__xludf.DUMMYFUNCTION("""COMPUTED_VALUE"""),73.26)</f>
        <v>73.26</v>
      </c>
      <c r="D67" s="1">
        <f>IFERROR(__xludf.DUMMYFUNCTION("""COMPUTED_VALUE"""),72.2)</f>
        <v>72.2</v>
      </c>
      <c r="E67" s="1">
        <f>IFERROR(__xludf.DUMMYFUNCTION("""COMPUTED_VALUE"""),72.67)</f>
        <v>72.67</v>
      </c>
      <c r="F67" s="1">
        <f>IFERROR(__xludf.DUMMYFUNCTION("""COMPUTED_VALUE"""),530825.0)</f>
        <v>530825</v>
      </c>
      <c r="G67" s="2" t="s">
        <v>1</v>
      </c>
    </row>
    <row r="68">
      <c r="A68" s="3">
        <f>IFERROR(__xludf.DUMMYFUNCTION("""COMPUTED_VALUE"""),44658.66666666667)</f>
        <v>44658.66667</v>
      </c>
      <c r="B68" s="1">
        <f>IFERROR(__xludf.DUMMYFUNCTION("""COMPUTED_VALUE"""),72.43)</f>
        <v>72.43</v>
      </c>
      <c r="C68" s="1">
        <f>IFERROR(__xludf.DUMMYFUNCTION("""COMPUTED_VALUE"""),73.73)</f>
        <v>73.73</v>
      </c>
      <c r="D68" s="1">
        <f>IFERROR(__xludf.DUMMYFUNCTION("""COMPUTED_VALUE"""),71.24)</f>
        <v>71.24</v>
      </c>
      <c r="E68" s="1">
        <f>IFERROR(__xludf.DUMMYFUNCTION("""COMPUTED_VALUE"""),73.66)</f>
        <v>73.66</v>
      </c>
      <c r="F68" s="1">
        <f>IFERROR(__xludf.DUMMYFUNCTION("""COMPUTED_VALUE"""),1304275.0)</f>
        <v>1304275</v>
      </c>
      <c r="G68" s="2" t="s">
        <v>1</v>
      </c>
    </row>
    <row r="69">
      <c r="A69" s="3">
        <f>IFERROR(__xludf.DUMMYFUNCTION("""COMPUTED_VALUE"""),44659.66666666667)</f>
        <v>44659.66667</v>
      </c>
      <c r="B69" s="1">
        <f>IFERROR(__xludf.DUMMYFUNCTION("""COMPUTED_VALUE"""),73.6)</f>
        <v>73.6</v>
      </c>
      <c r="C69" s="1">
        <f>IFERROR(__xludf.DUMMYFUNCTION("""COMPUTED_VALUE"""),75.31)</f>
        <v>75.31</v>
      </c>
      <c r="D69" s="1">
        <f>IFERROR(__xludf.DUMMYFUNCTION("""COMPUTED_VALUE"""),73.37)</f>
        <v>73.37</v>
      </c>
      <c r="E69" s="1">
        <f>IFERROR(__xludf.DUMMYFUNCTION("""COMPUTED_VALUE"""),73.47)</f>
        <v>73.47</v>
      </c>
      <c r="F69" s="1">
        <f>IFERROR(__xludf.DUMMYFUNCTION("""COMPUTED_VALUE"""),697537.0)</f>
        <v>697537</v>
      </c>
      <c r="G69" s="2" t="s">
        <v>1</v>
      </c>
    </row>
    <row r="70">
      <c r="A70" s="3">
        <f>IFERROR(__xludf.DUMMYFUNCTION("""COMPUTED_VALUE"""),44662.66666666667)</f>
        <v>44662.66667</v>
      </c>
      <c r="B70" s="1">
        <f>IFERROR(__xludf.DUMMYFUNCTION("""COMPUTED_VALUE"""),73.26)</f>
        <v>73.26</v>
      </c>
      <c r="C70" s="1">
        <f>IFERROR(__xludf.DUMMYFUNCTION("""COMPUTED_VALUE"""),74.91)</f>
        <v>74.91</v>
      </c>
      <c r="D70" s="1">
        <f>IFERROR(__xludf.DUMMYFUNCTION("""COMPUTED_VALUE"""),73.06)</f>
        <v>73.06</v>
      </c>
      <c r="E70" s="1">
        <f>IFERROR(__xludf.DUMMYFUNCTION("""COMPUTED_VALUE"""),73.25)</f>
        <v>73.25</v>
      </c>
      <c r="F70" s="1">
        <f>IFERROR(__xludf.DUMMYFUNCTION("""COMPUTED_VALUE"""),333275.0)</f>
        <v>333275</v>
      </c>
      <c r="G70" s="2" t="s">
        <v>1</v>
      </c>
    </row>
    <row r="71">
      <c r="A71" s="3">
        <f>IFERROR(__xludf.DUMMYFUNCTION("""COMPUTED_VALUE"""),44663.66666666667)</f>
        <v>44663.66667</v>
      </c>
      <c r="B71" s="1">
        <f>IFERROR(__xludf.DUMMYFUNCTION("""COMPUTED_VALUE"""),74.62)</f>
        <v>74.62</v>
      </c>
      <c r="C71" s="1">
        <f>IFERROR(__xludf.DUMMYFUNCTION("""COMPUTED_VALUE"""),75.38)</f>
        <v>75.38</v>
      </c>
      <c r="D71" s="1">
        <f>IFERROR(__xludf.DUMMYFUNCTION("""COMPUTED_VALUE"""),73.39)</f>
        <v>73.39</v>
      </c>
      <c r="E71" s="1">
        <f>IFERROR(__xludf.DUMMYFUNCTION("""COMPUTED_VALUE"""),73.75)</f>
        <v>73.75</v>
      </c>
      <c r="F71" s="1">
        <f>IFERROR(__xludf.DUMMYFUNCTION("""COMPUTED_VALUE"""),572011.0)</f>
        <v>572011</v>
      </c>
      <c r="G71" s="2" t="s">
        <v>1</v>
      </c>
    </row>
    <row r="72">
      <c r="A72" s="3">
        <f>IFERROR(__xludf.DUMMYFUNCTION("""COMPUTED_VALUE"""),44664.66666666667)</f>
        <v>44664.66667</v>
      </c>
      <c r="B72" s="1">
        <f>IFERROR(__xludf.DUMMYFUNCTION("""COMPUTED_VALUE"""),73.55)</f>
        <v>73.55</v>
      </c>
      <c r="C72" s="1">
        <f>IFERROR(__xludf.DUMMYFUNCTION("""COMPUTED_VALUE"""),74.4)</f>
        <v>74.4</v>
      </c>
      <c r="D72" s="1">
        <f>IFERROR(__xludf.DUMMYFUNCTION("""COMPUTED_VALUE"""),73.32)</f>
        <v>73.32</v>
      </c>
      <c r="E72" s="1">
        <f>IFERROR(__xludf.DUMMYFUNCTION("""COMPUTED_VALUE"""),73.44)</f>
        <v>73.44</v>
      </c>
      <c r="F72" s="1">
        <f>IFERROR(__xludf.DUMMYFUNCTION("""COMPUTED_VALUE"""),485526.0)</f>
        <v>485526</v>
      </c>
      <c r="G72" s="2" t="s">
        <v>1</v>
      </c>
    </row>
    <row r="73">
      <c r="A73" s="3">
        <f>IFERROR(__xludf.DUMMYFUNCTION("""COMPUTED_VALUE"""),44665.66666666667)</f>
        <v>44665.66667</v>
      </c>
      <c r="B73" s="1">
        <f>IFERROR(__xludf.DUMMYFUNCTION("""COMPUTED_VALUE"""),73.34)</f>
        <v>73.34</v>
      </c>
      <c r="C73" s="1">
        <f>IFERROR(__xludf.DUMMYFUNCTION("""COMPUTED_VALUE"""),74.29)</f>
        <v>74.29</v>
      </c>
      <c r="D73" s="1">
        <f>IFERROR(__xludf.DUMMYFUNCTION("""COMPUTED_VALUE"""),72.56)</f>
        <v>72.56</v>
      </c>
      <c r="E73" s="1">
        <f>IFERROR(__xludf.DUMMYFUNCTION("""COMPUTED_VALUE"""),72.72)</f>
        <v>72.72</v>
      </c>
      <c r="F73" s="1">
        <f>IFERROR(__xludf.DUMMYFUNCTION("""COMPUTED_VALUE"""),361250.0)</f>
        <v>361250</v>
      </c>
      <c r="G73" s="2" t="s">
        <v>1</v>
      </c>
    </row>
    <row r="74">
      <c r="A74" s="3">
        <f>IFERROR(__xludf.DUMMYFUNCTION("""COMPUTED_VALUE"""),44669.66666666667)</f>
        <v>44669.66667</v>
      </c>
      <c r="B74" s="1">
        <f>IFERROR(__xludf.DUMMYFUNCTION("""COMPUTED_VALUE"""),72.34)</f>
        <v>72.34</v>
      </c>
      <c r="C74" s="1">
        <f>IFERROR(__xludf.DUMMYFUNCTION("""COMPUTED_VALUE"""),73.24)</f>
        <v>73.24</v>
      </c>
      <c r="D74" s="1">
        <f>IFERROR(__xludf.DUMMYFUNCTION("""COMPUTED_VALUE"""),71.63)</f>
        <v>71.63</v>
      </c>
      <c r="E74" s="1">
        <f>IFERROR(__xludf.DUMMYFUNCTION("""COMPUTED_VALUE"""),72.76)</f>
        <v>72.76</v>
      </c>
      <c r="F74" s="1">
        <f>IFERROR(__xludf.DUMMYFUNCTION("""COMPUTED_VALUE"""),476664.0)</f>
        <v>476664</v>
      </c>
      <c r="G74" s="2" t="s">
        <v>1</v>
      </c>
    </row>
    <row r="75">
      <c r="A75" s="3">
        <f>IFERROR(__xludf.DUMMYFUNCTION("""COMPUTED_VALUE"""),44670.66666666667)</f>
        <v>44670.66667</v>
      </c>
      <c r="B75" s="1">
        <f>IFERROR(__xludf.DUMMYFUNCTION("""COMPUTED_VALUE"""),73.73)</f>
        <v>73.73</v>
      </c>
      <c r="C75" s="1">
        <f>IFERROR(__xludf.DUMMYFUNCTION("""COMPUTED_VALUE"""),75.98)</f>
        <v>75.98</v>
      </c>
      <c r="D75" s="1">
        <f>IFERROR(__xludf.DUMMYFUNCTION("""COMPUTED_VALUE"""),73.71)</f>
        <v>73.71</v>
      </c>
      <c r="E75" s="1">
        <f>IFERROR(__xludf.DUMMYFUNCTION("""COMPUTED_VALUE"""),75.79)</f>
        <v>75.79</v>
      </c>
      <c r="F75" s="1">
        <f>IFERROR(__xludf.DUMMYFUNCTION("""COMPUTED_VALUE"""),661897.0)</f>
        <v>661897</v>
      </c>
      <c r="G75" s="2" t="s">
        <v>1</v>
      </c>
    </row>
    <row r="76">
      <c r="A76" s="3">
        <f>IFERROR(__xludf.DUMMYFUNCTION("""COMPUTED_VALUE"""),44671.66666666667)</f>
        <v>44671.66667</v>
      </c>
      <c r="B76" s="1">
        <f>IFERROR(__xludf.DUMMYFUNCTION("""COMPUTED_VALUE"""),79.28)</f>
        <v>79.28</v>
      </c>
      <c r="C76" s="1">
        <f>IFERROR(__xludf.DUMMYFUNCTION("""COMPUTED_VALUE"""),79.44)</f>
        <v>79.44</v>
      </c>
      <c r="D76" s="1">
        <f>IFERROR(__xludf.DUMMYFUNCTION("""COMPUTED_VALUE"""),77.14)</f>
        <v>77.14</v>
      </c>
      <c r="E76" s="1">
        <f>IFERROR(__xludf.DUMMYFUNCTION("""COMPUTED_VALUE"""),77.72)</f>
        <v>77.72</v>
      </c>
      <c r="F76" s="1">
        <f>IFERROR(__xludf.DUMMYFUNCTION("""COMPUTED_VALUE"""),944444.0)</f>
        <v>944444</v>
      </c>
      <c r="G76" s="2" t="s">
        <v>1</v>
      </c>
    </row>
    <row r="77">
      <c r="A77" s="3">
        <f>IFERROR(__xludf.DUMMYFUNCTION("""COMPUTED_VALUE"""),44672.66666666667)</f>
        <v>44672.66667</v>
      </c>
      <c r="B77" s="1">
        <f>IFERROR(__xludf.DUMMYFUNCTION("""COMPUTED_VALUE"""),81.23)</f>
        <v>81.23</v>
      </c>
      <c r="C77" s="1">
        <f>IFERROR(__xludf.DUMMYFUNCTION("""COMPUTED_VALUE"""),81.91)</f>
        <v>81.91</v>
      </c>
      <c r="D77" s="1">
        <f>IFERROR(__xludf.DUMMYFUNCTION("""COMPUTED_VALUE"""),77.56)</f>
        <v>77.56</v>
      </c>
      <c r="E77" s="1">
        <f>IFERROR(__xludf.DUMMYFUNCTION("""COMPUTED_VALUE"""),77.56)</f>
        <v>77.56</v>
      </c>
      <c r="F77" s="1">
        <f>IFERROR(__xludf.DUMMYFUNCTION("""COMPUTED_VALUE"""),1384472.0)</f>
        <v>1384472</v>
      </c>
      <c r="G77" s="2" t="s">
        <v>1</v>
      </c>
    </row>
    <row r="78">
      <c r="A78" s="3">
        <f>IFERROR(__xludf.DUMMYFUNCTION("""COMPUTED_VALUE"""),44673.66666666667)</f>
        <v>44673.66667</v>
      </c>
      <c r="B78" s="1">
        <f>IFERROR(__xludf.DUMMYFUNCTION("""COMPUTED_VALUE"""),71.7)</f>
        <v>71.7</v>
      </c>
      <c r="C78" s="1">
        <f>IFERROR(__xludf.DUMMYFUNCTION("""COMPUTED_VALUE"""),73.99)</f>
        <v>73.99</v>
      </c>
      <c r="D78" s="1">
        <f>IFERROR(__xludf.DUMMYFUNCTION("""COMPUTED_VALUE"""),71.09)</f>
        <v>71.09</v>
      </c>
      <c r="E78" s="1">
        <f>IFERROR(__xludf.DUMMYFUNCTION("""COMPUTED_VALUE"""),71.91)</f>
        <v>71.91</v>
      </c>
      <c r="F78" s="1">
        <f>IFERROR(__xludf.DUMMYFUNCTION("""COMPUTED_VALUE"""),2232268.0)</f>
        <v>2232268</v>
      </c>
      <c r="G78" s="2" t="s">
        <v>1</v>
      </c>
    </row>
    <row r="79">
      <c r="A79" s="3">
        <f>IFERROR(__xludf.DUMMYFUNCTION("""COMPUTED_VALUE"""),44676.66666666667)</f>
        <v>44676.66667</v>
      </c>
      <c r="B79" s="1">
        <f>IFERROR(__xludf.DUMMYFUNCTION("""COMPUTED_VALUE"""),71.4)</f>
        <v>71.4</v>
      </c>
      <c r="C79" s="1">
        <f>IFERROR(__xludf.DUMMYFUNCTION("""COMPUTED_VALUE"""),73.81)</f>
        <v>73.81</v>
      </c>
      <c r="D79" s="1">
        <f>IFERROR(__xludf.DUMMYFUNCTION("""COMPUTED_VALUE"""),70.41)</f>
        <v>70.41</v>
      </c>
      <c r="E79" s="1">
        <f>IFERROR(__xludf.DUMMYFUNCTION("""COMPUTED_VALUE"""),73.4)</f>
        <v>73.4</v>
      </c>
      <c r="F79" s="1">
        <f>IFERROR(__xludf.DUMMYFUNCTION("""COMPUTED_VALUE"""),1053703.0)</f>
        <v>1053703</v>
      </c>
      <c r="G79" s="2" t="s">
        <v>1</v>
      </c>
    </row>
    <row r="80">
      <c r="A80" s="3">
        <f>IFERROR(__xludf.DUMMYFUNCTION("""COMPUTED_VALUE"""),44677.66666666667)</f>
        <v>44677.66667</v>
      </c>
      <c r="B80" s="1">
        <f>IFERROR(__xludf.DUMMYFUNCTION("""COMPUTED_VALUE"""),72.28)</f>
        <v>72.28</v>
      </c>
      <c r="C80" s="1">
        <f>IFERROR(__xludf.DUMMYFUNCTION("""COMPUTED_VALUE"""),72.5)</f>
        <v>72.5</v>
      </c>
      <c r="D80" s="1">
        <f>IFERROR(__xludf.DUMMYFUNCTION("""COMPUTED_VALUE"""),69.96)</f>
        <v>69.96</v>
      </c>
      <c r="E80" s="1">
        <f>IFERROR(__xludf.DUMMYFUNCTION("""COMPUTED_VALUE"""),70.4)</f>
        <v>70.4</v>
      </c>
      <c r="F80" s="1">
        <f>IFERROR(__xludf.DUMMYFUNCTION("""COMPUTED_VALUE"""),1212332.0)</f>
        <v>1212332</v>
      </c>
      <c r="G80" s="2" t="s">
        <v>1</v>
      </c>
    </row>
    <row r="81">
      <c r="A81" s="3">
        <f>IFERROR(__xludf.DUMMYFUNCTION("""COMPUTED_VALUE"""),44678.66666666667)</f>
        <v>44678.66667</v>
      </c>
      <c r="B81" s="1">
        <f>IFERROR(__xludf.DUMMYFUNCTION("""COMPUTED_VALUE"""),70.41)</f>
        <v>70.41</v>
      </c>
      <c r="C81" s="1">
        <f>IFERROR(__xludf.DUMMYFUNCTION("""COMPUTED_VALUE"""),73.28)</f>
        <v>73.28</v>
      </c>
      <c r="D81" s="1">
        <f>IFERROR(__xludf.DUMMYFUNCTION("""COMPUTED_VALUE"""),70.41)</f>
        <v>70.41</v>
      </c>
      <c r="E81" s="1">
        <f>IFERROR(__xludf.DUMMYFUNCTION("""COMPUTED_VALUE"""),72.35)</f>
        <v>72.35</v>
      </c>
      <c r="F81" s="1">
        <f>IFERROR(__xludf.DUMMYFUNCTION("""COMPUTED_VALUE"""),776312.0)</f>
        <v>776312</v>
      </c>
      <c r="G81" s="2" t="s">
        <v>1</v>
      </c>
    </row>
    <row r="82">
      <c r="A82" s="3">
        <f>IFERROR(__xludf.DUMMYFUNCTION("""COMPUTED_VALUE"""),44679.66666666667)</f>
        <v>44679.66667</v>
      </c>
      <c r="B82" s="1">
        <f>IFERROR(__xludf.DUMMYFUNCTION("""COMPUTED_VALUE"""),74.0)</f>
        <v>74</v>
      </c>
      <c r="C82" s="1">
        <f>IFERROR(__xludf.DUMMYFUNCTION("""COMPUTED_VALUE"""),75.24)</f>
        <v>75.24</v>
      </c>
      <c r="D82" s="1">
        <f>IFERROR(__xludf.DUMMYFUNCTION("""COMPUTED_VALUE"""),72.7)</f>
        <v>72.7</v>
      </c>
      <c r="E82" s="1">
        <f>IFERROR(__xludf.DUMMYFUNCTION("""COMPUTED_VALUE"""),74.52)</f>
        <v>74.52</v>
      </c>
      <c r="F82" s="1">
        <f>IFERROR(__xludf.DUMMYFUNCTION("""COMPUTED_VALUE"""),753027.0)</f>
        <v>753027</v>
      </c>
      <c r="G82" s="2" t="s">
        <v>1</v>
      </c>
    </row>
    <row r="83">
      <c r="A83" s="3">
        <f>IFERROR(__xludf.DUMMYFUNCTION("""COMPUTED_VALUE"""),44680.66666666667)</f>
        <v>44680.66667</v>
      </c>
      <c r="B83" s="1">
        <f>IFERROR(__xludf.DUMMYFUNCTION("""COMPUTED_VALUE"""),75.14)</f>
        <v>75.14</v>
      </c>
      <c r="C83" s="1">
        <f>IFERROR(__xludf.DUMMYFUNCTION("""COMPUTED_VALUE"""),76.19)</f>
        <v>76.19</v>
      </c>
      <c r="D83" s="1">
        <f>IFERROR(__xludf.DUMMYFUNCTION("""COMPUTED_VALUE"""),73.51)</f>
        <v>73.51</v>
      </c>
      <c r="E83" s="1">
        <f>IFERROR(__xludf.DUMMYFUNCTION("""COMPUTED_VALUE"""),73.68)</f>
        <v>73.68</v>
      </c>
      <c r="F83" s="1">
        <f>IFERROR(__xludf.DUMMYFUNCTION("""COMPUTED_VALUE"""),737925.0)</f>
        <v>737925</v>
      </c>
      <c r="G83" s="2" t="s">
        <v>1</v>
      </c>
    </row>
    <row r="84">
      <c r="A84" s="3">
        <f>IFERROR(__xludf.DUMMYFUNCTION("""COMPUTED_VALUE"""),44683.66666666667)</f>
        <v>44683.66667</v>
      </c>
      <c r="B84" s="1">
        <f>IFERROR(__xludf.DUMMYFUNCTION("""COMPUTED_VALUE"""),73.03)</f>
        <v>73.03</v>
      </c>
      <c r="C84" s="1">
        <f>IFERROR(__xludf.DUMMYFUNCTION("""COMPUTED_VALUE"""),74.98)</f>
        <v>74.98</v>
      </c>
      <c r="D84" s="1">
        <f>IFERROR(__xludf.DUMMYFUNCTION("""COMPUTED_VALUE"""),72.12)</f>
        <v>72.12</v>
      </c>
      <c r="E84" s="1">
        <f>IFERROR(__xludf.DUMMYFUNCTION("""COMPUTED_VALUE"""),74.85)</f>
        <v>74.85</v>
      </c>
      <c r="F84" s="1">
        <f>IFERROR(__xludf.DUMMYFUNCTION("""COMPUTED_VALUE"""),803187.0)</f>
        <v>803187</v>
      </c>
      <c r="G84" s="2" t="s">
        <v>1</v>
      </c>
    </row>
    <row r="85">
      <c r="A85" s="3">
        <f>IFERROR(__xludf.DUMMYFUNCTION("""COMPUTED_VALUE"""),44684.66666666667)</f>
        <v>44684.66667</v>
      </c>
      <c r="B85" s="1">
        <f>IFERROR(__xludf.DUMMYFUNCTION("""COMPUTED_VALUE"""),74.38)</f>
        <v>74.38</v>
      </c>
      <c r="C85" s="1">
        <f>IFERROR(__xludf.DUMMYFUNCTION("""COMPUTED_VALUE"""),75.51)</f>
        <v>75.51</v>
      </c>
      <c r="D85" s="1">
        <f>IFERROR(__xludf.DUMMYFUNCTION("""COMPUTED_VALUE"""),73.63)</f>
        <v>73.63</v>
      </c>
      <c r="E85" s="1">
        <f>IFERROR(__xludf.DUMMYFUNCTION("""COMPUTED_VALUE"""),74.66)</f>
        <v>74.66</v>
      </c>
      <c r="F85" s="1">
        <f>IFERROR(__xludf.DUMMYFUNCTION("""COMPUTED_VALUE"""),717078.0)</f>
        <v>717078</v>
      </c>
      <c r="G85" s="2" t="s">
        <v>1</v>
      </c>
    </row>
    <row r="86">
      <c r="A86" s="3">
        <f>IFERROR(__xludf.DUMMYFUNCTION("""COMPUTED_VALUE"""),44685.66666666667)</f>
        <v>44685.66667</v>
      </c>
      <c r="B86" s="1">
        <f>IFERROR(__xludf.DUMMYFUNCTION("""COMPUTED_VALUE"""),73.6)</f>
        <v>73.6</v>
      </c>
      <c r="C86" s="1">
        <f>IFERROR(__xludf.DUMMYFUNCTION("""COMPUTED_VALUE"""),75.99)</f>
        <v>75.99</v>
      </c>
      <c r="D86" s="1">
        <f>IFERROR(__xludf.DUMMYFUNCTION("""COMPUTED_VALUE"""),72.63)</f>
        <v>72.63</v>
      </c>
      <c r="E86" s="1">
        <f>IFERROR(__xludf.DUMMYFUNCTION("""COMPUTED_VALUE"""),75.85)</f>
        <v>75.85</v>
      </c>
      <c r="F86" s="1">
        <f>IFERROR(__xludf.DUMMYFUNCTION("""COMPUTED_VALUE"""),704230.0)</f>
        <v>704230</v>
      </c>
      <c r="G86" s="2" t="s">
        <v>1</v>
      </c>
    </row>
    <row r="87">
      <c r="A87" s="3">
        <f>IFERROR(__xludf.DUMMYFUNCTION("""COMPUTED_VALUE"""),44686.66666666667)</f>
        <v>44686.66667</v>
      </c>
      <c r="B87" s="1">
        <f>IFERROR(__xludf.DUMMYFUNCTION("""COMPUTED_VALUE"""),74.0)</f>
        <v>74</v>
      </c>
      <c r="C87" s="1">
        <f>IFERROR(__xludf.DUMMYFUNCTION("""COMPUTED_VALUE"""),74.69)</f>
        <v>74.69</v>
      </c>
      <c r="D87" s="1">
        <f>IFERROR(__xludf.DUMMYFUNCTION("""COMPUTED_VALUE"""),71.29)</f>
        <v>71.29</v>
      </c>
      <c r="E87" s="1">
        <f>IFERROR(__xludf.DUMMYFUNCTION("""COMPUTED_VALUE"""),72.23)</f>
        <v>72.23</v>
      </c>
      <c r="F87" s="1">
        <f>IFERROR(__xludf.DUMMYFUNCTION("""COMPUTED_VALUE"""),621587.0)</f>
        <v>621587</v>
      </c>
      <c r="G87" s="2" t="s">
        <v>1</v>
      </c>
    </row>
    <row r="88">
      <c r="A88" s="3">
        <f>IFERROR(__xludf.DUMMYFUNCTION("""COMPUTED_VALUE"""),44687.66666666667)</f>
        <v>44687.66667</v>
      </c>
      <c r="B88" s="1">
        <f>IFERROR(__xludf.DUMMYFUNCTION("""COMPUTED_VALUE"""),72.4)</f>
        <v>72.4</v>
      </c>
      <c r="C88" s="1">
        <f>IFERROR(__xludf.DUMMYFUNCTION("""COMPUTED_VALUE"""),73.25)</f>
        <v>73.25</v>
      </c>
      <c r="D88" s="1">
        <f>IFERROR(__xludf.DUMMYFUNCTION("""COMPUTED_VALUE"""),71.22)</f>
        <v>71.22</v>
      </c>
      <c r="E88" s="1">
        <f>IFERROR(__xludf.DUMMYFUNCTION("""COMPUTED_VALUE"""),72.35)</f>
        <v>72.35</v>
      </c>
      <c r="F88" s="1">
        <f>IFERROR(__xludf.DUMMYFUNCTION("""COMPUTED_VALUE"""),507775.0)</f>
        <v>507775</v>
      </c>
      <c r="G88" s="2" t="s">
        <v>1</v>
      </c>
    </row>
    <row r="89">
      <c r="A89" s="3">
        <f>IFERROR(__xludf.DUMMYFUNCTION("""COMPUTED_VALUE"""),44690.66666666667)</f>
        <v>44690.66667</v>
      </c>
      <c r="B89" s="1">
        <f>IFERROR(__xludf.DUMMYFUNCTION("""COMPUTED_VALUE"""),71.4)</f>
        <v>71.4</v>
      </c>
      <c r="C89" s="1">
        <f>IFERROR(__xludf.DUMMYFUNCTION("""COMPUTED_VALUE"""),72.27)</f>
        <v>72.27</v>
      </c>
      <c r="D89" s="1">
        <f>IFERROR(__xludf.DUMMYFUNCTION("""COMPUTED_VALUE"""),70.43)</f>
        <v>70.43</v>
      </c>
      <c r="E89" s="1">
        <f>IFERROR(__xludf.DUMMYFUNCTION("""COMPUTED_VALUE"""),70.6)</f>
        <v>70.6</v>
      </c>
      <c r="F89" s="1">
        <f>IFERROR(__xludf.DUMMYFUNCTION("""COMPUTED_VALUE"""),500081.0)</f>
        <v>500081</v>
      </c>
      <c r="G89" s="2" t="s">
        <v>1</v>
      </c>
    </row>
    <row r="90">
      <c r="A90" s="3">
        <f>IFERROR(__xludf.DUMMYFUNCTION("""COMPUTED_VALUE"""),44691.66666666667)</f>
        <v>44691.66667</v>
      </c>
      <c r="B90" s="1">
        <f>IFERROR(__xludf.DUMMYFUNCTION("""COMPUTED_VALUE"""),73.59)</f>
        <v>73.59</v>
      </c>
      <c r="C90" s="1">
        <f>IFERROR(__xludf.DUMMYFUNCTION("""COMPUTED_VALUE"""),73.86)</f>
        <v>73.86</v>
      </c>
      <c r="D90" s="1">
        <f>IFERROR(__xludf.DUMMYFUNCTION("""COMPUTED_VALUE"""),70.1)</f>
        <v>70.1</v>
      </c>
      <c r="E90" s="1">
        <f>IFERROR(__xludf.DUMMYFUNCTION("""COMPUTED_VALUE"""),71.27)</f>
        <v>71.27</v>
      </c>
      <c r="F90" s="1">
        <f>IFERROR(__xludf.DUMMYFUNCTION("""COMPUTED_VALUE"""),993971.0)</f>
        <v>993971</v>
      </c>
      <c r="G90" s="2" t="s">
        <v>1</v>
      </c>
    </row>
    <row r="91">
      <c r="A91" s="3">
        <f>IFERROR(__xludf.DUMMYFUNCTION("""COMPUTED_VALUE"""),44692.66666666667)</f>
        <v>44692.66667</v>
      </c>
      <c r="B91" s="1">
        <f>IFERROR(__xludf.DUMMYFUNCTION("""COMPUTED_VALUE"""),73.33)</f>
        <v>73.33</v>
      </c>
      <c r="C91" s="1">
        <f>IFERROR(__xludf.DUMMYFUNCTION("""COMPUTED_VALUE"""),73.86)</f>
        <v>73.86</v>
      </c>
      <c r="D91" s="1">
        <f>IFERROR(__xludf.DUMMYFUNCTION("""COMPUTED_VALUE"""),70.49)</f>
        <v>70.49</v>
      </c>
      <c r="E91" s="1">
        <f>IFERROR(__xludf.DUMMYFUNCTION("""COMPUTED_VALUE"""),70.51)</f>
        <v>70.51</v>
      </c>
      <c r="F91" s="1">
        <f>IFERROR(__xludf.DUMMYFUNCTION("""COMPUTED_VALUE"""),1003190.0)</f>
        <v>1003190</v>
      </c>
      <c r="G91" s="2" t="s">
        <v>1</v>
      </c>
    </row>
    <row r="92">
      <c r="A92" s="3">
        <f>IFERROR(__xludf.DUMMYFUNCTION("""COMPUTED_VALUE"""),44693.66666666667)</f>
        <v>44693.66667</v>
      </c>
      <c r="B92" s="1">
        <f>IFERROR(__xludf.DUMMYFUNCTION("""COMPUTED_VALUE"""),69.91)</f>
        <v>69.91</v>
      </c>
      <c r="C92" s="1">
        <f>IFERROR(__xludf.DUMMYFUNCTION("""COMPUTED_VALUE"""),72.06)</f>
        <v>72.06</v>
      </c>
      <c r="D92" s="1">
        <f>IFERROR(__xludf.DUMMYFUNCTION("""COMPUTED_VALUE"""),69.69)</f>
        <v>69.69</v>
      </c>
      <c r="E92" s="1">
        <f>IFERROR(__xludf.DUMMYFUNCTION("""COMPUTED_VALUE"""),71.31)</f>
        <v>71.31</v>
      </c>
      <c r="F92" s="1">
        <f>IFERROR(__xludf.DUMMYFUNCTION("""COMPUTED_VALUE"""),798395.0)</f>
        <v>798395</v>
      </c>
      <c r="G92" s="2" t="s">
        <v>1</v>
      </c>
    </row>
    <row r="93">
      <c r="A93" s="3">
        <f>IFERROR(__xludf.DUMMYFUNCTION("""COMPUTED_VALUE"""),44694.66666666667)</f>
        <v>44694.66667</v>
      </c>
      <c r="B93" s="1">
        <f>IFERROR(__xludf.DUMMYFUNCTION("""COMPUTED_VALUE"""),72.63)</f>
        <v>72.63</v>
      </c>
      <c r="C93" s="1">
        <f>IFERROR(__xludf.DUMMYFUNCTION("""COMPUTED_VALUE"""),74.66)</f>
        <v>74.66</v>
      </c>
      <c r="D93" s="1">
        <f>IFERROR(__xludf.DUMMYFUNCTION("""COMPUTED_VALUE"""),72.33)</f>
        <v>72.33</v>
      </c>
      <c r="E93" s="1">
        <f>IFERROR(__xludf.DUMMYFUNCTION("""COMPUTED_VALUE"""),74.41)</f>
        <v>74.41</v>
      </c>
      <c r="F93" s="1">
        <f>IFERROR(__xludf.DUMMYFUNCTION("""COMPUTED_VALUE"""),507246.0)</f>
        <v>507246</v>
      </c>
      <c r="G93" s="2" t="s">
        <v>1</v>
      </c>
    </row>
    <row r="94">
      <c r="A94" s="3">
        <f>IFERROR(__xludf.DUMMYFUNCTION("""COMPUTED_VALUE"""),44697.66666666667)</f>
        <v>44697.66667</v>
      </c>
      <c r="B94" s="1">
        <f>IFERROR(__xludf.DUMMYFUNCTION("""COMPUTED_VALUE"""),73.72)</f>
        <v>73.72</v>
      </c>
      <c r="C94" s="1">
        <f>IFERROR(__xludf.DUMMYFUNCTION("""COMPUTED_VALUE"""),73.72)</f>
        <v>73.72</v>
      </c>
      <c r="D94" s="1">
        <f>IFERROR(__xludf.DUMMYFUNCTION("""COMPUTED_VALUE"""),71.91)</f>
        <v>71.91</v>
      </c>
      <c r="E94" s="1">
        <f>IFERROR(__xludf.DUMMYFUNCTION("""COMPUTED_VALUE"""),72.83)</f>
        <v>72.83</v>
      </c>
      <c r="F94" s="1">
        <f>IFERROR(__xludf.DUMMYFUNCTION("""COMPUTED_VALUE"""),477778.0)</f>
        <v>477778</v>
      </c>
      <c r="G94" s="2" t="s">
        <v>1</v>
      </c>
    </row>
    <row r="95">
      <c r="A95" s="3">
        <f>IFERROR(__xludf.DUMMYFUNCTION("""COMPUTED_VALUE"""),44698.66666666667)</f>
        <v>44698.66667</v>
      </c>
      <c r="B95" s="1">
        <f>IFERROR(__xludf.DUMMYFUNCTION("""COMPUTED_VALUE"""),74.27)</f>
        <v>74.27</v>
      </c>
      <c r="C95" s="1">
        <f>IFERROR(__xludf.DUMMYFUNCTION("""COMPUTED_VALUE"""),76.45)</f>
        <v>76.45</v>
      </c>
      <c r="D95" s="1">
        <f>IFERROR(__xludf.DUMMYFUNCTION("""COMPUTED_VALUE"""),74.26)</f>
        <v>74.26</v>
      </c>
      <c r="E95" s="1">
        <f>IFERROR(__xludf.DUMMYFUNCTION("""COMPUTED_VALUE"""),76.45)</f>
        <v>76.45</v>
      </c>
      <c r="F95" s="1">
        <f>IFERROR(__xludf.DUMMYFUNCTION("""COMPUTED_VALUE"""),576470.0)</f>
        <v>576470</v>
      </c>
      <c r="G95" s="2" t="s">
        <v>1</v>
      </c>
    </row>
    <row r="96">
      <c r="A96" s="3">
        <f>IFERROR(__xludf.DUMMYFUNCTION("""COMPUTED_VALUE"""),44699.66666666667)</f>
        <v>44699.66667</v>
      </c>
      <c r="B96" s="1">
        <f>IFERROR(__xludf.DUMMYFUNCTION("""COMPUTED_VALUE"""),75.63)</f>
        <v>75.63</v>
      </c>
      <c r="C96" s="1">
        <f>IFERROR(__xludf.DUMMYFUNCTION("""COMPUTED_VALUE"""),76.71)</f>
        <v>76.71</v>
      </c>
      <c r="D96" s="1">
        <f>IFERROR(__xludf.DUMMYFUNCTION("""COMPUTED_VALUE"""),73.99)</f>
        <v>73.99</v>
      </c>
      <c r="E96" s="1">
        <f>IFERROR(__xludf.DUMMYFUNCTION("""COMPUTED_VALUE"""),74.19)</f>
        <v>74.19</v>
      </c>
      <c r="F96" s="1">
        <f>IFERROR(__xludf.DUMMYFUNCTION("""COMPUTED_VALUE"""),808282.0)</f>
        <v>808282</v>
      </c>
      <c r="G96" s="2" t="s">
        <v>1</v>
      </c>
    </row>
    <row r="97">
      <c r="A97" s="3">
        <f>IFERROR(__xludf.DUMMYFUNCTION("""COMPUTED_VALUE"""),44700.66666666667)</f>
        <v>44700.66667</v>
      </c>
      <c r="B97" s="1">
        <f>IFERROR(__xludf.DUMMYFUNCTION("""COMPUTED_VALUE"""),74.56)</f>
        <v>74.56</v>
      </c>
      <c r="C97" s="1">
        <f>IFERROR(__xludf.DUMMYFUNCTION("""COMPUTED_VALUE"""),77.5)</f>
        <v>77.5</v>
      </c>
      <c r="D97" s="1">
        <f>IFERROR(__xludf.DUMMYFUNCTION("""COMPUTED_VALUE"""),74.56)</f>
        <v>74.56</v>
      </c>
      <c r="E97" s="1">
        <f>IFERROR(__xludf.DUMMYFUNCTION("""COMPUTED_VALUE"""),76.26)</f>
        <v>76.26</v>
      </c>
      <c r="F97" s="1">
        <f>IFERROR(__xludf.DUMMYFUNCTION("""COMPUTED_VALUE"""),856864.0)</f>
        <v>856864</v>
      </c>
      <c r="G97" s="2" t="s">
        <v>1</v>
      </c>
    </row>
    <row r="98">
      <c r="A98" s="3">
        <f>IFERROR(__xludf.DUMMYFUNCTION("""COMPUTED_VALUE"""),44701.66666666667)</f>
        <v>44701.66667</v>
      </c>
      <c r="B98" s="1">
        <f>IFERROR(__xludf.DUMMYFUNCTION("""COMPUTED_VALUE"""),77.72)</f>
        <v>77.72</v>
      </c>
      <c r="C98" s="1">
        <f>IFERROR(__xludf.DUMMYFUNCTION("""COMPUTED_VALUE"""),78.32)</f>
        <v>78.32</v>
      </c>
      <c r="D98" s="1">
        <f>IFERROR(__xludf.DUMMYFUNCTION("""COMPUTED_VALUE"""),74.18)</f>
        <v>74.18</v>
      </c>
      <c r="E98" s="1">
        <f>IFERROR(__xludf.DUMMYFUNCTION("""COMPUTED_VALUE"""),76.44)</f>
        <v>76.44</v>
      </c>
      <c r="F98" s="1">
        <f>IFERROR(__xludf.DUMMYFUNCTION("""COMPUTED_VALUE"""),1126339.0)</f>
        <v>1126339</v>
      </c>
      <c r="G98" s="2" t="s">
        <v>1</v>
      </c>
    </row>
    <row r="99">
      <c r="A99" s="3">
        <f>IFERROR(__xludf.DUMMYFUNCTION("""COMPUTED_VALUE"""),44704.66666666667)</f>
        <v>44704.66667</v>
      </c>
      <c r="B99" s="1">
        <f>IFERROR(__xludf.DUMMYFUNCTION("""COMPUTED_VALUE"""),76.75)</f>
        <v>76.75</v>
      </c>
      <c r="C99" s="1">
        <f>IFERROR(__xludf.DUMMYFUNCTION("""COMPUTED_VALUE"""),76.87)</f>
        <v>76.87</v>
      </c>
      <c r="D99" s="1">
        <f>IFERROR(__xludf.DUMMYFUNCTION("""COMPUTED_VALUE"""),75.0)</f>
        <v>75</v>
      </c>
      <c r="E99" s="1">
        <f>IFERROR(__xludf.DUMMYFUNCTION("""COMPUTED_VALUE"""),76.25)</f>
        <v>76.25</v>
      </c>
      <c r="F99" s="1">
        <f>IFERROR(__xludf.DUMMYFUNCTION("""COMPUTED_VALUE"""),785620.0)</f>
        <v>785620</v>
      </c>
      <c r="G99" s="2" t="s">
        <v>1</v>
      </c>
    </row>
    <row r="100">
      <c r="A100" s="3">
        <f>IFERROR(__xludf.DUMMYFUNCTION("""COMPUTED_VALUE"""),44705.66666666667)</f>
        <v>44705.66667</v>
      </c>
      <c r="B100" s="1">
        <f>IFERROR(__xludf.DUMMYFUNCTION("""COMPUTED_VALUE"""),75.97)</f>
        <v>75.97</v>
      </c>
      <c r="C100" s="1">
        <f>IFERROR(__xludf.DUMMYFUNCTION("""COMPUTED_VALUE"""),75.97)</f>
        <v>75.97</v>
      </c>
      <c r="D100" s="1">
        <f>IFERROR(__xludf.DUMMYFUNCTION("""COMPUTED_VALUE"""),73.15)</f>
        <v>73.15</v>
      </c>
      <c r="E100" s="1">
        <f>IFERROR(__xludf.DUMMYFUNCTION("""COMPUTED_VALUE"""),73.85)</f>
        <v>73.85</v>
      </c>
      <c r="F100" s="1">
        <f>IFERROR(__xludf.DUMMYFUNCTION("""COMPUTED_VALUE"""),606098.0)</f>
        <v>606098</v>
      </c>
      <c r="G100" s="2" t="s">
        <v>1</v>
      </c>
    </row>
    <row r="101">
      <c r="A101" s="3">
        <f>IFERROR(__xludf.DUMMYFUNCTION("""COMPUTED_VALUE"""),44706.66666666667)</f>
        <v>44706.66667</v>
      </c>
      <c r="B101" s="1">
        <f>IFERROR(__xludf.DUMMYFUNCTION("""COMPUTED_VALUE"""),73.35)</f>
        <v>73.35</v>
      </c>
      <c r="C101" s="1">
        <f>IFERROR(__xludf.DUMMYFUNCTION("""COMPUTED_VALUE"""),76.07)</f>
        <v>76.07</v>
      </c>
      <c r="D101" s="1">
        <f>IFERROR(__xludf.DUMMYFUNCTION("""COMPUTED_VALUE"""),72.02)</f>
        <v>72.02</v>
      </c>
      <c r="E101" s="1">
        <f>IFERROR(__xludf.DUMMYFUNCTION("""COMPUTED_VALUE"""),76.07)</f>
        <v>76.07</v>
      </c>
      <c r="F101" s="1">
        <f>IFERROR(__xludf.DUMMYFUNCTION("""COMPUTED_VALUE"""),989437.0)</f>
        <v>989437</v>
      </c>
      <c r="G101" s="2" t="s">
        <v>1</v>
      </c>
    </row>
    <row r="102">
      <c r="A102" s="3">
        <f>IFERROR(__xludf.DUMMYFUNCTION("""COMPUTED_VALUE"""),44707.66666666667)</f>
        <v>44707.66667</v>
      </c>
      <c r="B102" s="1">
        <f>IFERROR(__xludf.DUMMYFUNCTION("""COMPUTED_VALUE"""),76.25)</f>
        <v>76.25</v>
      </c>
      <c r="C102" s="1">
        <f>IFERROR(__xludf.DUMMYFUNCTION("""COMPUTED_VALUE"""),78.88)</f>
        <v>78.88</v>
      </c>
      <c r="D102" s="1">
        <f>IFERROR(__xludf.DUMMYFUNCTION("""COMPUTED_VALUE"""),75.43)</f>
        <v>75.43</v>
      </c>
      <c r="E102" s="1">
        <f>IFERROR(__xludf.DUMMYFUNCTION("""COMPUTED_VALUE"""),77.27)</f>
        <v>77.27</v>
      </c>
      <c r="F102" s="1">
        <f>IFERROR(__xludf.DUMMYFUNCTION("""COMPUTED_VALUE"""),1409147.0)</f>
        <v>1409147</v>
      </c>
      <c r="G102" s="2" t="s">
        <v>1</v>
      </c>
    </row>
    <row r="103">
      <c r="A103" s="3">
        <f>IFERROR(__xludf.DUMMYFUNCTION("""COMPUTED_VALUE"""),44708.66666666667)</f>
        <v>44708.66667</v>
      </c>
      <c r="B103" s="1">
        <f>IFERROR(__xludf.DUMMYFUNCTION("""COMPUTED_VALUE"""),77.88)</f>
        <v>77.88</v>
      </c>
      <c r="C103" s="1">
        <f>IFERROR(__xludf.DUMMYFUNCTION("""COMPUTED_VALUE"""),79.03)</f>
        <v>79.03</v>
      </c>
      <c r="D103" s="1">
        <f>IFERROR(__xludf.DUMMYFUNCTION("""COMPUTED_VALUE"""),77.08)</f>
        <v>77.08</v>
      </c>
      <c r="E103" s="1">
        <f>IFERROR(__xludf.DUMMYFUNCTION("""COMPUTED_VALUE"""),77.56)</f>
        <v>77.56</v>
      </c>
      <c r="F103" s="1">
        <f>IFERROR(__xludf.DUMMYFUNCTION("""COMPUTED_VALUE"""),989903.0)</f>
        <v>989903</v>
      </c>
      <c r="G103" s="2" t="s">
        <v>1</v>
      </c>
    </row>
    <row r="104">
      <c r="A104" s="3">
        <f>IFERROR(__xludf.DUMMYFUNCTION("""COMPUTED_VALUE"""),44712.66666666667)</f>
        <v>44712.66667</v>
      </c>
      <c r="B104" s="1">
        <f>IFERROR(__xludf.DUMMYFUNCTION("""COMPUTED_VALUE"""),77.8)</f>
        <v>77.8</v>
      </c>
      <c r="C104" s="1">
        <f>IFERROR(__xludf.DUMMYFUNCTION("""COMPUTED_VALUE"""),80.36)</f>
        <v>80.36</v>
      </c>
      <c r="D104" s="1">
        <f>IFERROR(__xludf.DUMMYFUNCTION("""COMPUTED_VALUE"""),77.04)</f>
        <v>77.04</v>
      </c>
      <c r="E104" s="1">
        <f>IFERROR(__xludf.DUMMYFUNCTION("""COMPUTED_VALUE"""),80.08)</f>
        <v>80.08</v>
      </c>
      <c r="F104" s="1">
        <f>IFERROR(__xludf.DUMMYFUNCTION("""COMPUTED_VALUE"""),993275.0)</f>
        <v>993275</v>
      </c>
      <c r="G104" s="2" t="s">
        <v>1</v>
      </c>
    </row>
    <row r="105">
      <c r="A105" s="3">
        <f>IFERROR(__xludf.DUMMYFUNCTION("""COMPUTED_VALUE"""),44713.66666666667)</f>
        <v>44713.66667</v>
      </c>
      <c r="B105" s="1">
        <f>IFERROR(__xludf.DUMMYFUNCTION("""COMPUTED_VALUE"""),81.39)</f>
        <v>81.39</v>
      </c>
      <c r="C105" s="1">
        <f>IFERROR(__xludf.DUMMYFUNCTION("""COMPUTED_VALUE"""),81.45)</f>
        <v>81.45</v>
      </c>
      <c r="D105" s="1">
        <f>IFERROR(__xludf.DUMMYFUNCTION("""COMPUTED_VALUE"""),79.28)</f>
        <v>79.28</v>
      </c>
      <c r="E105" s="1">
        <f>IFERROR(__xludf.DUMMYFUNCTION("""COMPUTED_VALUE"""),80.01)</f>
        <v>80.01</v>
      </c>
      <c r="F105" s="1">
        <f>IFERROR(__xludf.DUMMYFUNCTION("""COMPUTED_VALUE"""),730460.0)</f>
        <v>730460</v>
      </c>
      <c r="G105" s="2" t="s">
        <v>1</v>
      </c>
    </row>
    <row r="106">
      <c r="A106" s="3">
        <f>IFERROR(__xludf.DUMMYFUNCTION("""COMPUTED_VALUE"""),44714.66666666667)</f>
        <v>44714.66667</v>
      </c>
      <c r="B106" s="1">
        <f>IFERROR(__xludf.DUMMYFUNCTION("""COMPUTED_VALUE"""),80.65)</f>
        <v>80.65</v>
      </c>
      <c r="C106" s="1">
        <f>IFERROR(__xludf.DUMMYFUNCTION("""COMPUTED_VALUE"""),82.32)</f>
        <v>82.32</v>
      </c>
      <c r="D106" s="1">
        <f>IFERROR(__xludf.DUMMYFUNCTION("""COMPUTED_VALUE"""),80.53)</f>
        <v>80.53</v>
      </c>
      <c r="E106" s="1">
        <f>IFERROR(__xludf.DUMMYFUNCTION("""COMPUTED_VALUE"""),82.31)</f>
        <v>82.31</v>
      </c>
      <c r="F106" s="1">
        <f>IFERROR(__xludf.DUMMYFUNCTION("""COMPUTED_VALUE"""),648387.0)</f>
        <v>648387</v>
      </c>
      <c r="G106" s="2" t="s">
        <v>1</v>
      </c>
    </row>
    <row r="107">
      <c r="A107" s="3">
        <f>IFERROR(__xludf.DUMMYFUNCTION("""COMPUTED_VALUE"""),44715.66666666667)</f>
        <v>44715.66667</v>
      </c>
      <c r="B107" s="1">
        <f>IFERROR(__xludf.DUMMYFUNCTION("""COMPUTED_VALUE"""),79.99)</f>
        <v>79.99</v>
      </c>
      <c r="C107" s="1">
        <f>IFERROR(__xludf.DUMMYFUNCTION("""COMPUTED_VALUE"""),81.08)</f>
        <v>81.08</v>
      </c>
      <c r="D107" s="1">
        <f>IFERROR(__xludf.DUMMYFUNCTION("""COMPUTED_VALUE"""),78.84)</f>
        <v>78.84</v>
      </c>
      <c r="E107" s="1">
        <f>IFERROR(__xludf.DUMMYFUNCTION("""COMPUTED_VALUE"""),79.0)</f>
        <v>79</v>
      </c>
      <c r="F107" s="1">
        <f>IFERROR(__xludf.DUMMYFUNCTION("""COMPUTED_VALUE"""),872113.0)</f>
        <v>872113</v>
      </c>
      <c r="G107" s="2" t="s">
        <v>1</v>
      </c>
    </row>
    <row r="108">
      <c r="A108" s="3">
        <f>IFERROR(__xludf.DUMMYFUNCTION("""COMPUTED_VALUE"""),44718.66666666667)</f>
        <v>44718.66667</v>
      </c>
      <c r="B108" s="1">
        <f>IFERROR(__xludf.DUMMYFUNCTION("""COMPUTED_VALUE"""),79.68)</f>
        <v>79.68</v>
      </c>
      <c r="C108" s="1">
        <f>IFERROR(__xludf.DUMMYFUNCTION("""COMPUTED_VALUE"""),81.7)</f>
        <v>81.7</v>
      </c>
      <c r="D108" s="1">
        <f>IFERROR(__xludf.DUMMYFUNCTION("""COMPUTED_VALUE"""),79.56)</f>
        <v>79.56</v>
      </c>
      <c r="E108" s="1">
        <f>IFERROR(__xludf.DUMMYFUNCTION("""COMPUTED_VALUE"""),81.1)</f>
        <v>81.1</v>
      </c>
      <c r="F108" s="1">
        <f>IFERROR(__xludf.DUMMYFUNCTION("""COMPUTED_VALUE"""),576148.0)</f>
        <v>576148</v>
      </c>
      <c r="G108" s="2" t="s">
        <v>1</v>
      </c>
    </row>
    <row r="109">
      <c r="A109" s="3">
        <f>IFERROR(__xludf.DUMMYFUNCTION("""COMPUTED_VALUE"""),44719.66666666667)</f>
        <v>44719.66667</v>
      </c>
      <c r="B109" s="1">
        <f>IFERROR(__xludf.DUMMYFUNCTION("""COMPUTED_VALUE"""),80.24)</f>
        <v>80.24</v>
      </c>
      <c r="C109" s="1">
        <f>IFERROR(__xludf.DUMMYFUNCTION("""COMPUTED_VALUE"""),81.3)</f>
        <v>81.3</v>
      </c>
      <c r="D109" s="1">
        <f>IFERROR(__xludf.DUMMYFUNCTION("""COMPUTED_VALUE"""),79.99)</f>
        <v>79.99</v>
      </c>
      <c r="E109" s="1">
        <f>IFERROR(__xludf.DUMMYFUNCTION("""COMPUTED_VALUE"""),80.91)</f>
        <v>80.91</v>
      </c>
      <c r="F109" s="1">
        <f>IFERROR(__xludf.DUMMYFUNCTION("""COMPUTED_VALUE"""),452918.0)</f>
        <v>452918</v>
      </c>
      <c r="G109" s="2" t="s">
        <v>1</v>
      </c>
    </row>
    <row r="110">
      <c r="A110" s="3">
        <f>IFERROR(__xludf.DUMMYFUNCTION("""COMPUTED_VALUE"""),44720.66666666667)</f>
        <v>44720.66667</v>
      </c>
      <c r="B110" s="1">
        <f>IFERROR(__xludf.DUMMYFUNCTION("""COMPUTED_VALUE"""),80.79)</f>
        <v>80.79</v>
      </c>
      <c r="C110" s="1">
        <f>IFERROR(__xludf.DUMMYFUNCTION("""COMPUTED_VALUE"""),81.59)</f>
        <v>81.59</v>
      </c>
      <c r="D110" s="1">
        <f>IFERROR(__xludf.DUMMYFUNCTION("""COMPUTED_VALUE"""),80.24)</f>
        <v>80.24</v>
      </c>
      <c r="E110" s="1">
        <f>IFERROR(__xludf.DUMMYFUNCTION("""COMPUTED_VALUE"""),80.52)</f>
        <v>80.52</v>
      </c>
      <c r="F110" s="1">
        <f>IFERROR(__xludf.DUMMYFUNCTION("""COMPUTED_VALUE"""),370187.0)</f>
        <v>370187</v>
      </c>
      <c r="G110" s="2" t="s">
        <v>1</v>
      </c>
    </row>
    <row r="111">
      <c r="A111" s="3">
        <f>IFERROR(__xludf.DUMMYFUNCTION("""COMPUTED_VALUE"""),44721.66666666667)</f>
        <v>44721.66667</v>
      </c>
      <c r="B111" s="1">
        <f>IFERROR(__xludf.DUMMYFUNCTION("""COMPUTED_VALUE"""),79.22)</f>
        <v>79.22</v>
      </c>
      <c r="C111" s="1">
        <f>IFERROR(__xludf.DUMMYFUNCTION("""COMPUTED_VALUE"""),80.03)</f>
        <v>80.03</v>
      </c>
      <c r="D111" s="1">
        <f>IFERROR(__xludf.DUMMYFUNCTION("""COMPUTED_VALUE"""),78.6)</f>
        <v>78.6</v>
      </c>
      <c r="E111" s="1">
        <f>IFERROR(__xludf.DUMMYFUNCTION("""COMPUTED_VALUE"""),78.69)</f>
        <v>78.69</v>
      </c>
      <c r="F111" s="1">
        <f>IFERROR(__xludf.DUMMYFUNCTION("""COMPUTED_VALUE"""),569239.0)</f>
        <v>569239</v>
      </c>
      <c r="G111" s="2" t="s">
        <v>1</v>
      </c>
    </row>
    <row r="112">
      <c r="A112" s="3">
        <f>IFERROR(__xludf.DUMMYFUNCTION("""COMPUTED_VALUE"""),44722.66666666667)</f>
        <v>44722.66667</v>
      </c>
      <c r="B112" s="1">
        <f>IFERROR(__xludf.DUMMYFUNCTION("""COMPUTED_VALUE"""),76.82)</f>
        <v>76.82</v>
      </c>
      <c r="C112" s="1">
        <f>IFERROR(__xludf.DUMMYFUNCTION("""COMPUTED_VALUE"""),77.26)</f>
        <v>77.26</v>
      </c>
      <c r="D112" s="1">
        <f>IFERROR(__xludf.DUMMYFUNCTION("""COMPUTED_VALUE"""),75.55)</f>
        <v>75.55</v>
      </c>
      <c r="E112" s="1">
        <f>IFERROR(__xludf.DUMMYFUNCTION("""COMPUTED_VALUE"""),75.74)</f>
        <v>75.74</v>
      </c>
      <c r="F112" s="1">
        <f>IFERROR(__xludf.DUMMYFUNCTION("""COMPUTED_VALUE"""),499040.0)</f>
        <v>499040</v>
      </c>
      <c r="G112" s="2" t="s">
        <v>1</v>
      </c>
    </row>
    <row r="113">
      <c r="A113" s="3">
        <f>IFERROR(__xludf.DUMMYFUNCTION("""COMPUTED_VALUE"""),44725.66666666667)</f>
        <v>44725.66667</v>
      </c>
      <c r="B113" s="1">
        <f>IFERROR(__xludf.DUMMYFUNCTION("""COMPUTED_VALUE"""),72.83)</f>
        <v>72.83</v>
      </c>
      <c r="C113" s="1">
        <f>IFERROR(__xludf.DUMMYFUNCTION("""COMPUTED_VALUE"""),73.41)</f>
        <v>73.41</v>
      </c>
      <c r="D113" s="1">
        <f>IFERROR(__xludf.DUMMYFUNCTION("""COMPUTED_VALUE"""),70.83)</f>
        <v>70.83</v>
      </c>
      <c r="E113" s="1">
        <f>IFERROR(__xludf.DUMMYFUNCTION("""COMPUTED_VALUE"""),71.2)</f>
        <v>71.2</v>
      </c>
      <c r="F113" s="1">
        <f>IFERROR(__xludf.DUMMYFUNCTION("""COMPUTED_VALUE"""),633463.0)</f>
        <v>633463</v>
      </c>
      <c r="G113" s="2" t="s">
        <v>1</v>
      </c>
    </row>
    <row r="114">
      <c r="A114" s="3">
        <f>IFERROR(__xludf.DUMMYFUNCTION("""COMPUTED_VALUE"""),44726.66666666667)</f>
        <v>44726.66667</v>
      </c>
      <c r="B114" s="1">
        <f>IFERROR(__xludf.DUMMYFUNCTION("""COMPUTED_VALUE"""),71.68)</f>
        <v>71.68</v>
      </c>
      <c r="C114" s="1">
        <f>IFERROR(__xludf.DUMMYFUNCTION("""COMPUTED_VALUE"""),71.76)</f>
        <v>71.76</v>
      </c>
      <c r="D114" s="1">
        <f>IFERROR(__xludf.DUMMYFUNCTION("""COMPUTED_VALUE"""),70.08)</f>
        <v>70.08</v>
      </c>
      <c r="E114" s="1">
        <f>IFERROR(__xludf.DUMMYFUNCTION("""COMPUTED_VALUE"""),70.42)</f>
        <v>70.42</v>
      </c>
      <c r="F114" s="1">
        <f>IFERROR(__xludf.DUMMYFUNCTION("""COMPUTED_VALUE"""),497260.0)</f>
        <v>497260</v>
      </c>
      <c r="G114" s="2" t="s">
        <v>1</v>
      </c>
    </row>
    <row r="115">
      <c r="A115" s="3">
        <f>IFERROR(__xludf.DUMMYFUNCTION("""COMPUTED_VALUE"""),44727.66666666667)</f>
        <v>44727.66667</v>
      </c>
      <c r="B115" s="1">
        <f>IFERROR(__xludf.DUMMYFUNCTION("""COMPUTED_VALUE"""),71.54)</f>
        <v>71.54</v>
      </c>
      <c r="C115" s="1">
        <f>IFERROR(__xludf.DUMMYFUNCTION("""COMPUTED_VALUE"""),72.91)</f>
        <v>72.91</v>
      </c>
      <c r="D115" s="1">
        <f>IFERROR(__xludf.DUMMYFUNCTION("""COMPUTED_VALUE"""),71.07)</f>
        <v>71.07</v>
      </c>
      <c r="E115" s="1">
        <f>IFERROR(__xludf.DUMMYFUNCTION("""COMPUTED_VALUE"""),72.26)</f>
        <v>72.26</v>
      </c>
      <c r="F115" s="1">
        <f>IFERROR(__xludf.DUMMYFUNCTION("""COMPUTED_VALUE"""),805820.0)</f>
        <v>805820</v>
      </c>
      <c r="G115" s="2" t="s">
        <v>1</v>
      </c>
    </row>
    <row r="116">
      <c r="A116" s="3">
        <f>IFERROR(__xludf.DUMMYFUNCTION("""COMPUTED_VALUE"""),44728.66666666667)</f>
        <v>44728.66667</v>
      </c>
      <c r="B116" s="1">
        <f>IFERROR(__xludf.DUMMYFUNCTION("""COMPUTED_VALUE"""),69.82)</f>
        <v>69.82</v>
      </c>
      <c r="C116" s="1">
        <f>IFERROR(__xludf.DUMMYFUNCTION("""COMPUTED_VALUE"""),69.95)</f>
        <v>69.95</v>
      </c>
      <c r="D116" s="1">
        <f>IFERROR(__xludf.DUMMYFUNCTION("""COMPUTED_VALUE"""),66.25)</f>
        <v>66.25</v>
      </c>
      <c r="E116" s="1">
        <f>IFERROR(__xludf.DUMMYFUNCTION("""COMPUTED_VALUE"""),66.89)</f>
        <v>66.89</v>
      </c>
      <c r="F116" s="1">
        <f>IFERROR(__xludf.DUMMYFUNCTION("""COMPUTED_VALUE"""),732395.0)</f>
        <v>732395</v>
      </c>
      <c r="G116" s="2" t="s">
        <v>1</v>
      </c>
    </row>
    <row r="117">
      <c r="A117" s="3">
        <f>IFERROR(__xludf.DUMMYFUNCTION("""COMPUTED_VALUE"""),44729.66666666667)</f>
        <v>44729.66667</v>
      </c>
      <c r="B117" s="1">
        <f>IFERROR(__xludf.DUMMYFUNCTION("""COMPUTED_VALUE"""),68.59)</f>
        <v>68.59</v>
      </c>
      <c r="C117" s="1">
        <f>IFERROR(__xludf.DUMMYFUNCTION("""COMPUTED_VALUE"""),69.8)</f>
        <v>69.8</v>
      </c>
      <c r="D117" s="1">
        <f>IFERROR(__xludf.DUMMYFUNCTION("""COMPUTED_VALUE"""),67.79)</f>
        <v>67.79</v>
      </c>
      <c r="E117" s="1">
        <f>IFERROR(__xludf.DUMMYFUNCTION("""COMPUTED_VALUE"""),69.05)</f>
        <v>69.05</v>
      </c>
      <c r="F117" s="1">
        <f>IFERROR(__xludf.DUMMYFUNCTION("""COMPUTED_VALUE"""),1228973.0)</f>
        <v>1228973</v>
      </c>
      <c r="G117" s="2" t="s">
        <v>1</v>
      </c>
    </row>
    <row r="118">
      <c r="A118" s="3">
        <f>IFERROR(__xludf.DUMMYFUNCTION("""COMPUTED_VALUE"""),44733.66666666667)</f>
        <v>44733.66667</v>
      </c>
      <c r="B118" s="1">
        <f>IFERROR(__xludf.DUMMYFUNCTION("""COMPUTED_VALUE"""),73.98)</f>
        <v>73.98</v>
      </c>
      <c r="C118" s="1">
        <f>IFERROR(__xludf.DUMMYFUNCTION("""COMPUTED_VALUE"""),75.72)</f>
        <v>75.72</v>
      </c>
      <c r="D118" s="1">
        <f>IFERROR(__xludf.DUMMYFUNCTION("""COMPUTED_VALUE"""),72.6)</f>
        <v>72.6</v>
      </c>
      <c r="E118" s="1">
        <f>IFERROR(__xludf.DUMMYFUNCTION("""COMPUTED_VALUE"""),75.42)</f>
        <v>75.42</v>
      </c>
      <c r="F118" s="1">
        <f>IFERROR(__xludf.DUMMYFUNCTION("""COMPUTED_VALUE"""),1187534.0)</f>
        <v>1187534</v>
      </c>
      <c r="G118" s="2" t="s">
        <v>1</v>
      </c>
    </row>
    <row r="119">
      <c r="A119" s="3">
        <f>IFERROR(__xludf.DUMMYFUNCTION("""COMPUTED_VALUE"""),44734.66666666667)</f>
        <v>44734.66667</v>
      </c>
      <c r="B119" s="1">
        <f>IFERROR(__xludf.DUMMYFUNCTION("""COMPUTED_VALUE"""),74.46)</f>
        <v>74.46</v>
      </c>
      <c r="C119" s="1">
        <f>IFERROR(__xludf.DUMMYFUNCTION("""COMPUTED_VALUE"""),76.43)</f>
        <v>76.43</v>
      </c>
      <c r="D119" s="1">
        <f>IFERROR(__xludf.DUMMYFUNCTION("""COMPUTED_VALUE"""),74.22)</f>
        <v>74.22</v>
      </c>
      <c r="E119" s="1">
        <f>IFERROR(__xludf.DUMMYFUNCTION("""COMPUTED_VALUE"""),74.91)</f>
        <v>74.91</v>
      </c>
      <c r="F119" s="1">
        <f>IFERROR(__xludf.DUMMYFUNCTION("""COMPUTED_VALUE"""),552039.0)</f>
        <v>552039</v>
      </c>
      <c r="G119" s="2" t="s">
        <v>1</v>
      </c>
    </row>
    <row r="120">
      <c r="A120" s="3">
        <f>IFERROR(__xludf.DUMMYFUNCTION("""COMPUTED_VALUE"""),44735.66666666667)</f>
        <v>44735.66667</v>
      </c>
      <c r="B120" s="1">
        <f>IFERROR(__xludf.DUMMYFUNCTION("""COMPUTED_VALUE"""),73.86)</f>
        <v>73.86</v>
      </c>
      <c r="C120" s="1">
        <f>IFERROR(__xludf.DUMMYFUNCTION("""COMPUTED_VALUE"""),74.58)</f>
        <v>74.58</v>
      </c>
      <c r="D120" s="1">
        <f>IFERROR(__xludf.DUMMYFUNCTION("""COMPUTED_VALUE"""),72.4)</f>
        <v>72.4</v>
      </c>
      <c r="E120" s="1">
        <f>IFERROR(__xludf.DUMMYFUNCTION("""COMPUTED_VALUE"""),74.36)</f>
        <v>74.36</v>
      </c>
      <c r="F120" s="1">
        <f>IFERROR(__xludf.DUMMYFUNCTION("""COMPUTED_VALUE"""),861693.0)</f>
        <v>861693</v>
      </c>
      <c r="G120" s="2" t="s">
        <v>1</v>
      </c>
    </row>
    <row r="121">
      <c r="A121" s="3">
        <f>IFERROR(__xludf.DUMMYFUNCTION("""COMPUTED_VALUE"""),44736.66666666667)</f>
        <v>44736.66667</v>
      </c>
      <c r="B121" s="1">
        <f>IFERROR(__xludf.DUMMYFUNCTION("""COMPUTED_VALUE"""),75.09)</f>
        <v>75.09</v>
      </c>
      <c r="C121" s="1">
        <f>IFERROR(__xludf.DUMMYFUNCTION("""COMPUTED_VALUE"""),77.07)</f>
        <v>77.07</v>
      </c>
      <c r="D121" s="1">
        <f>IFERROR(__xludf.DUMMYFUNCTION("""COMPUTED_VALUE"""),74.92)</f>
        <v>74.92</v>
      </c>
      <c r="E121" s="1">
        <f>IFERROR(__xludf.DUMMYFUNCTION("""COMPUTED_VALUE"""),76.97)</f>
        <v>76.97</v>
      </c>
      <c r="F121" s="1">
        <f>IFERROR(__xludf.DUMMYFUNCTION("""COMPUTED_VALUE"""),625233.0)</f>
        <v>625233</v>
      </c>
      <c r="G121" s="2" t="s">
        <v>1</v>
      </c>
    </row>
    <row r="122">
      <c r="A122" s="3">
        <f>IFERROR(__xludf.DUMMYFUNCTION("""COMPUTED_VALUE"""),44739.66666666667)</f>
        <v>44739.66667</v>
      </c>
      <c r="B122" s="1">
        <f>IFERROR(__xludf.DUMMYFUNCTION("""COMPUTED_VALUE"""),75.99)</f>
        <v>75.99</v>
      </c>
      <c r="C122" s="1">
        <f>IFERROR(__xludf.DUMMYFUNCTION("""COMPUTED_VALUE"""),77.38)</f>
        <v>77.38</v>
      </c>
      <c r="D122" s="1">
        <f>IFERROR(__xludf.DUMMYFUNCTION("""COMPUTED_VALUE"""),75.42)</f>
        <v>75.42</v>
      </c>
      <c r="E122" s="1">
        <f>IFERROR(__xludf.DUMMYFUNCTION("""COMPUTED_VALUE"""),76.86)</f>
        <v>76.86</v>
      </c>
      <c r="F122" s="1">
        <f>IFERROR(__xludf.DUMMYFUNCTION("""COMPUTED_VALUE"""),529359.0)</f>
        <v>529359</v>
      </c>
      <c r="G122" s="2" t="s">
        <v>1</v>
      </c>
    </row>
    <row r="123">
      <c r="A123" s="3">
        <f>IFERROR(__xludf.DUMMYFUNCTION("""COMPUTED_VALUE"""),44740.66666666667)</f>
        <v>44740.66667</v>
      </c>
      <c r="B123" s="1">
        <f>IFERROR(__xludf.DUMMYFUNCTION("""COMPUTED_VALUE"""),76.89)</f>
        <v>76.89</v>
      </c>
      <c r="C123" s="1">
        <f>IFERROR(__xludf.DUMMYFUNCTION("""COMPUTED_VALUE"""),78.47)</f>
        <v>78.47</v>
      </c>
      <c r="D123" s="1">
        <f>IFERROR(__xludf.DUMMYFUNCTION("""COMPUTED_VALUE"""),76.29)</f>
        <v>76.29</v>
      </c>
      <c r="E123" s="1">
        <f>IFERROR(__xludf.DUMMYFUNCTION("""COMPUTED_VALUE"""),76.89)</f>
        <v>76.89</v>
      </c>
      <c r="F123" s="1">
        <f>IFERROR(__xludf.DUMMYFUNCTION("""COMPUTED_VALUE"""),782757.0)</f>
        <v>782757</v>
      </c>
      <c r="G123" s="2" t="s">
        <v>1</v>
      </c>
    </row>
    <row r="124">
      <c r="A124" s="3">
        <f>IFERROR(__xludf.DUMMYFUNCTION("""COMPUTED_VALUE"""),44741.66666666667)</f>
        <v>44741.66667</v>
      </c>
      <c r="B124" s="1">
        <f>IFERROR(__xludf.DUMMYFUNCTION("""COMPUTED_VALUE"""),76.43)</f>
        <v>76.43</v>
      </c>
      <c r="C124" s="1">
        <f>IFERROR(__xludf.DUMMYFUNCTION("""COMPUTED_VALUE"""),76.43)</f>
        <v>76.43</v>
      </c>
      <c r="D124" s="1">
        <f>IFERROR(__xludf.DUMMYFUNCTION("""COMPUTED_VALUE"""),74.07)</f>
        <v>74.07</v>
      </c>
      <c r="E124" s="1">
        <f>IFERROR(__xludf.DUMMYFUNCTION("""COMPUTED_VALUE"""),74.34)</f>
        <v>74.34</v>
      </c>
      <c r="F124" s="1">
        <f>IFERROR(__xludf.DUMMYFUNCTION("""COMPUTED_VALUE"""),789826.0)</f>
        <v>789826</v>
      </c>
      <c r="G124" s="2" t="s">
        <v>1</v>
      </c>
    </row>
    <row r="125">
      <c r="A125" s="3">
        <f>IFERROR(__xludf.DUMMYFUNCTION("""COMPUTED_VALUE"""),44742.66666666667)</f>
        <v>44742.66667</v>
      </c>
      <c r="B125" s="1">
        <f>IFERROR(__xludf.DUMMYFUNCTION("""COMPUTED_VALUE"""),71.43)</f>
        <v>71.43</v>
      </c>
      <c r="C125" s="1">
        <f>IFERROR(__xludf.DUMMYFUNCTION("""COMPUTED_VALUE"""),72.68)</f>
        <v>72.68</v>
      </c>
      <c r="D125" s="1">
        <f>IFERROR(__xludf.DUMMYFUNCTION("""COMPUTED_VALUE"""),69.78)</f>
        <v>69.78</v>
      </c>
      <c r="E125" s="1">
        <f>IFERROR(__xludf.DUMMYFUNCTION("""COMPUTED_VALUE"""),71.57)</f>
        <v>71.57</v>
      </c>
      <c r="F125" s="1">
        <f>IFERROR(__xludf.DUMMYFUNCTION("""COMPUTED_VALUE"""),759655.0)</f>
        <v>759655</v>
      </c>
      <c r="G125" s="2" t="s">
        <v>1</v>
      </c>
    </row>
    <row r="126">
      <c r="A126" s="3">
        <f>IFERROR(__xludf.DUMMYFUNCTION("""COMPUTED_VALUE"""),44743.66666666667)</f>
        <v>44743.66667</v>
      </c>
      <c r="B126" s="1">
        <f>IFERROR(__xludf.DUMMYFUNCTION("""COMPUTED_VALUE"""),71.36)</f>
        <v>71.36</v>
      </c>
      <c r="C126" s="1">
        <f>IFERROR(__xludf.DUMMYFUNCTION("""COMPUTED_VALUE"""),73.59)</f>
        <v>73.59</v>
      </c>
      <c r="D126" s="1">
        <f>IFERROR(__xludf.DUMMYFUNCTION("""COMPUTED_VALUE"""),71.29)</f>
        <v>71.29</v>
      </c>
      <c r="E126" s="1">
        <f>IFERROR(__xludf.DUMMYFUNCTION("""COMPUTED_VALUE"""),72.69)</f>
        <v>72.69</v>
      </c>
      <c r="F126" s="1">
        <f>IFERROR(__xludf.DUMMYFUNCTION("""COMPUTED_VALUE"""),489346.0)</f>
        <v>489346</v>
      </c>
      <c r="G126" s="2" t="s">
        <v>1</v>
      </c>
    </row>
    <row r="127">
      <c r="A127" s="3">
        <f>IFERROR(__xludf.DUMMYFUNCTION("""COMPUTED_VALUE"""),44747.66666666667)</f>
        <v>44747.66667</v>
      </c>
      <c r="B127" s="1">
        <f>IFERROR(__xludf.DUMMYFUNCTION("""COMPUTED_VALUE"""),69.44)</f>
        <v>69.44</v>
      </c>
      <c r="C127" s="1">
        <f>IFERROR(__xludf.DUMMYFUNCTION("""COMPUTED_VALUE"""),71.48)</f>
        <v>71.48</v>
      </c>
      <c r="D127" s="1">
        <f>IFERROR(__xludf.DUMMYFUNCTION("""COMPUTED_VALUE"""),68.78)</f>
        <v>68.78</v>
      </c>
      <c r="E127" s="1">
        <f>IFERROR(__xludf.DUMMYFUNCTION("""COMPUTED_VALUE"""),71.37)</f>
        <v>71.37</v>
      </c>
      <c r="F127" s="1">
        <f>IFERROR(__xludf.DUMMYFUNCTION("""COMPUTED_VALUE"""),560110.0)</f>
        <v>560110</v>
      </c>
      <c r="G127" s="2" t="s">
        <v>1</v>
      </c>
    </row>
    <row r="128">
      <c r="A128" s="3">
        <f>IFERROR(__xludf.DUMMYFUNCTION("""COMPUTED_VALUE"""),44748.66666666667)</f>
        <v>44748.66667</v>
      </c>
      <c r="B128" s="1">
        <f>IFERROR(__xludf.DUMMYFUNCTION("""COMPUTED_VALUE"""),71.75)</f>
        <v>71.75</v>
      </c>
      <c r="C128" s="1">
        <f>IFERROR(__xludf.DUMMYFUNCTION("""COMPUTED_VALUE"""),72.13)</f>
        <v>72.13</v>
      </c>
      <c r="D128" s="1">
        <f>IFERROR(__xludf.DUMMYFUNCTION("""COMPUTED_VALUE"""),70.19)</f>
        <v>70.19</v>
      </c>
      <c r="E128" s="1">
        <f>IFERROR(__xludf.DUMMYFUNCTION("""COMPUTED_VALUE"""),71.07)</f>
        <v>71.07</v>
      </c>
      <c r="F128" s="1">
        <f>IFERROR(__xludf.DUMMYFUNCTION("""COMPUTED_VALUE"""),626695.0)</f>
        <v>626695</v>
      </c>
      <c r="G128" s="2" t="s">
        <v>1</v>
      </c>
    </row>
    <row r="129">
      <c r="A129" s="3">
        <f>IFERROR(__xludf.DUMMYFUNCTION("""COMPUTED_VALUE"""),44749.66666666667)</f>
        <v>44749.66667</v>
      </c>
      <c r="B129" s="1">
        <f>IFERROR(__xludf.DUMMYFUNCTION("""COMPUTED_VALUE"""),73.39)</f>
        <v>73.39</v>
      </c>
      <c r="C129" s="1">
        <f>IFERROR(__xludf.DUMMYFUNCTION("""COMPUTED_VALUE"""),75.85)</f>
        <v>75.85</v>
      </c>
      <c r="D129" s="1">
        <f>IFERROR(__xludf.DUMMYFUNCTION("""COMPUTED_VALUE"""),73.31)</f>
        <v>73.31</v>
      </c>
      <c r="E129" s="1">
        <f>IFERROR(__xludf.DUMMYFUNCTION("""COMPUTED_VALUE"""),75.72)</f>
        <v>75.72</v>
      </c>
      <c r="F129" s="1">
        <f>IFERROR(__xludf.DUMMYFUNCTION("""COMPUTED_VALUE"""),673237.0)</f>
        <v>673237</v>
      </c>
      <c r="G129" s="2" t="s">
        <v>1</v>
      </c>
    </row>
    <row r="130">
      <c r="A130" s="3">
        <f>IFERROR(__xludf.DUMMYFUNCTION("""COMPUTED_VALUE"""),44750.66666666667)</f>
        <v>44750.66667</v>
      </c>
      <c r="B130" s="1">
        <f>IFERROR(__xludf.DUMMYFUNCTION("""COMPUTED_VALUE"""),76.19)</f>
        <v>76.19</v>
      </c>
      <c r="C130" s="1">
        <f>IFERROR(__xludf.DUMMYFUNCTION("""COMPUTED_VALUE"""),77.08)</f>
        <v>77.08</v>
      </c>
      <c r="D130" s="1">
        <f>IFERROR(__xludf.DUMMYFUNCTION("""COMPUTED_VALUE"""),75.47)</f>
        <v>75.47</v>
      </c>
      <c r="E130" s="1">
        <f>IFERROR(__xludf.DUMMYFUNCTION("""COMPUTED_VALUE"""),76.03)</f>
        <v>76.03</v>
      </c>
      <c r="F130" s="1">
        <f>IFERROR(__xludf.DUMMYFUNCTION("""COMPUTED_VALUE"""),714828.0)</f>
        <v>714828</v>
      </c>
      <c r="G130" s="2" t="s">
        <v>1</v>
      </c>
    </row>
    <row r="131">
      <c r="A131" s="3">
        <f>IFERROR(__xludf.DUMMYFUNCTION("""COMPUTED_VALUE"""),44753.66666666667)</f>
        <v>44753.66667</v>
      </c>
      <c r="B131" s="1">
        <f>IFERROR(__xludf.DUMMYFUNCTION("""COMPUTED_VALUE"""),75.62)</f>
        <v>75.62</v>
      </c>
      <c r="C131" s="1">
        <f>IFERROR(__xludf.DUMMYFUNCTION("""COMPUTED_VALUE"""),75.74)</f>
        <v>75.74</v>
      </c>
      <c r="D131" s="1">
        <f>IFERROR(__xludf.DUMMYFUNCTION("""COMPUTED_VALUE"""),73.51)</f>
        <v>73.51</v>
      </c>
      <c r="E131" s="1">
        <f>IFERROR(__xludf.DUMMYFUNCTION("""COMPUTED_VALUE"""),73.84)</f>
        <v>73.84</v>
      </c>
      <c r="F131" s="1">
        <f>IFERROR(__xludf.DUMMYFUNCTION("""COMPUTED_VALUE"""),390321.0)</f>
        <v>390321</v>
      </c>
      <c r="G131" s="2" t="s">
        <v>1</v>
      </c>
    </row>
    <row r="132">
      <c r="A132" s="3">
        <f>IFERROR(__xludf.DUMMYFUNCTION("""COMPUTED_VALUE"""),44754.66666666667)</f>
        <v>44754.66667</v>
      </c>
      <c r="B132" s="1">
        <f>IFERROR(__xludf.DUMMYFUNCTION("""COMPUTED_VALUE"""),73.96)</f>
        <v>73.96</v>
      </c>
      <c r="C132" s="1">
        <f>IFERROR(__xludf.DUMMYFUNCTION("""COMPUTED_VALUE"""),76.93)</f>
        <v>76.93</v>
      </c>
      <c r="D132" s="1">
        <f>IFERROR(__xludf.DUMMYFUNCTION("""COMPUTED_VALUE"""),73.96)</f>
        <v>73.96</v>
      </c>
      <c r="E132" s="1">
        <f>IFERROR(__xludf.DUMMYFUNCTION("""COMPUTED_VALUE"""),75.78)</f>
        <v>75.78</v>
      </c>
      <c r="F132" s="1">
        <f>IFERROR(__xludf.DUMMYFUNCTION("""COMPUTED_VALUE"""),631720.0)</f>
        <v>631720</v>
      </c>
      <c r="G132" s="2" t="s">
        <v>1</v>
      </c>
    </row>
    <row r="133">
      <c r="A133" s="3">
        <f>IFERROR(__xludf.DUMMYFUNCTION("""COMPUTED_VALUE"""),44755.66666666667)</f>
        <v>44755.66667</v>
      </c>
      <c r="B133" s="1">
        <f>IFERROR(__xludf.DUMMYFUNCTION("""COMPUTED_VALUE"""),73.95)</f>
        <v>73.95</v>
      </c>
      <c r="C133" s="1">
        <f>IFERROR(__xludf.DUMMYFUNCTION("""COMPUTED_VALUE"""),74.79)</f>
        <v>74.79</v>
      </c>
      <c r="D133" s="1">
        <f>IFERROR(__xludf.DUMMYFUNCTION("""COMPUTED_VALUE"""),73.43)</f>
        <v>73.43</v>
      </c>
      <c r="E133" s="1">
        <f>IFERROR(__xludf.DUMMYFUNCTION("""COMPUTED_VALUE"""),73.68)</f>
        <v>73.68</v>
      </c>
      <c r="F133" s="1">
        <f>IFERROR(__xludf.DUMMYFUNCTION("""COMPUTED_VALUE"""),460945.0)</f>
        <v>460945</v>
      </c>
      <c r="G133" s="2" t="s">
        <v>1</v>
      </c>
    </row>
    <row r="134">
      <c r="A134" s="3">
        <f>IFERROR(__xludf.DUMMYFUNCTION("""COMPUTED_VALUE"""),44756.66666666667)</f>
        <v>44756.66667</v>
      </c>
      <c r="B134" s="1">
        <f>IFERROR(__xludf.DUMMYFUNCTION("""COMPUTED_VALUE"""),71.65)</f>
        <v>71.65</v>
      </c>
      <c r="C134" s="1">
        <f>IFERROR(__xludf.DUMMYFUNCTION("""COMPUTED_VALUE"""),72.51)</f>
        <v>72.51</v>
      </c>
      <c r="D134" s="1">
        <f>IFERROR(__xludf.DUMMYFUNCTION("""COMPUTED_VALUE"""),70.73)</f>
        <v>70.73</v>
      </c>
      <c r="E134" s="1">
        <f>IFERROR(__xludf.DUMMYFUNCTION("""COMPUTED_VALUE"""),72.35)</f>
        <v>72.35</v>
      </c>
      <c r="F134" s="1">
        <f>IFERROR(__xludf.DUMMYFUNCTION("""COMPUTED_VALUE"""),420126.0)</f>
        <v>420126</v>
      </c>
      <c r="G134" s="2" t="s">
        <v>1</v>
      </c>
    </row>
    <row r="135">
      <c r="A135" s="3">
        <f>IFERROR(__xludf.DUMMYFUNCTION("""COMPUTED_VALUE"""),44757.66666666667)</f>
        <v>44757.66667</v>
      </c>
      <c r="B135" s="1">
        <f>IFERROR(__xludf.DUMMYFUNCTION("""COMPUTED_VALUE"""),73.87)</f>
        <v>73.87</v>
      </c>
      <c r="C135" s="1">
        <f>IFERROR(__xludf.DUMMYFUNCTION("""COMPUTED_VALUE"""),74.97)</f>
        <v>74.97</v>
      </c>
      <c r="D135" s="1">
        <f>IFERROR(__xludf.DUMMYFUNCTION("""COMPUTED_VALUE"""),72.74)</f>
        <v>72.74</v>
      </c>
      <c r="E135" s="1">
        <f>IFERROR(__xludf.DUMMYFUNCTION("""COMPUTED_VALUE"""),74.45)</f>
        <v>74.45</v>
      </c>
      <c r="F135" s="1">
        <f>IFERROR(__xludf.DUMMYFUNCTION("""COMPUTED_VALUE"""),386312.0)</f>
        <v>386312</v>
      </c>
      <c r="G135" s="2" t="s">
        <v>1</v>
      </c>
    </row>
    <row r="136">
      <c r="A136" s="3">
        <f>IFERROR(__xludf.DUMMYFUNCTION("""COMPUTED_VALUE"""),44760.66666666667)</f>
        <v>44760.66667</v>
      </c>
      <c r="B136" s="1">
        <f>IFERROR(__xludf.DUMMYFUNCTION("""COMPUTED_VALUE"""),77.16)</f>
        <v>77.16</v>
      </c>
      <c r="C136" s="1">
        <f>IFERROR(__xludf.DUMMYFUNCTION("""COMPUTED_VALUE"""),77.51)</f>
        <v>77.51</v>
      </c>
      <c r="D136" s="1">
        <f>IFERROR(__xludf.DUMMYFUNCTION("""COMPUTED_VALUE"""),75.18)</f>
        <v>75.18</v>
      </c>
      <c r="E136" s="1">
        <f>IFERROR(__xludf.DUMMYFUNCTION("""COMPUTED_VALUE"""),75.63)</f>
        <v>75.63</v>
      </c>
      <c r="F136" s="1">
        <f>IFERROR(__xludf.DUMMYFUNCTION("""COMPUTED_VALUE"""),801890.0)</f>
        <v>801890</v>
      </c>
      <c r="G136" s="2" t="s">
        <v>1</v>
      </c>
    </row>
    <row r="137">
      <c r="A137" s="3">
        <f>IFERROR(__xludf.DUMMYFUNCTION("""COMPUTED_VALUE"""),44761.66666666667)</f>
        <v>44761.66667</v>
      </c>
      <c r="B137" s="1">
        <f>IFERROR(__xludf.DUMMYFUNCTION("""COMPUTED_VALUE"""),78.49)</f>
        <v>78.49</v>
      </c>
      <c r="C137" s="1">
        <f>IFERROR(__xludf.DUMMYFUNCTION("""COMPUTED_VALUE"""),80.02)</f>
        <v>80.02</v>
      </c>
      <c r="D137" s="1">
        <f>IFERROR(__xludf.DUMMYFUNCTION("""COMPUTED_VALUE"""),78.3)</f>
        <v>78.3</v>
      </c>
      <c r="E137" s="1">
        <f>IFERROR(__xludf.DUMMYFUNCTION("""COMPUTED_VALUE"""),79.87)</f>
        <v>79.87</v>
      </c>
      <c r="F137" s="1">
        <f>IFERROR(__xludf.DUMMYFUNCTION("""COMPUTED_VALUE"""),826336.0)</f>
        <v>826336</v>
      </c>
      <c r="G137" s="2" t="s">
        <v>1</v>
      </c>
    </row>
    <row r="138">
      <c r="A138" s="3">
        <f>IFERROR(__xludf.DUMMYFUNCTION("""COMPUTED_VALUE"""),44762.66666666667)</f>
        <v>44762.66667</v>
      </c>
      <c r="B138" s="1">
        <f>IFERROR(__xludf.DUMMYFUNCTION("""COMPUTED_VALUE"""),79.79)</f>
        <v>79.79</v>
      </c>
      <c r="C138" s="1">
        <f>IFERROR(__xludf.DUMMYFUNCTION("""COMPUTED_VALUE"""),80.49)</f>
        <v>80.49</v>
      </c>
      <c r="D138" s="1">
        <f>IFERROR(__xludf.DUMMYFUNCTION("""COMPUTED_VALUE"""),79.08)</f>
        <v>79.08</v>
      </c>
      <c r="E138" s="1">
        <f>IFERROR(__xludf.DUMMYFUNCTION("""COMPUTED_VALUE"""),80.02)</f>
        <v>80.02</v>
      </c>
      <c r="F138" s="1">
        <f>IFERROR(__xludf.DUMMYFUNCTION("""COMPUTED_VALUE"""),521661.0)</f>
        <v>521661</v>
      </c>
      <c r="G138" s="2" t="s">
        <v>1</v>
      </c>
    </row>
    <row r="139">
      <c r="A139" s="3">
        <f>IFERROR(__xludf.DUMMYFUNCTION("""COMPUTED_VALUE"""),44763.66666666667)</f>
        <v>44763.66667</v>
      </c>
      <c r="B139" s="1">
        <f>IFERROR(__xludf.DUMMYFUNCTION("""COMPUTED_VALUE"""),79.14)</f>
        <v>79.14</v>
      </c>
      <c r="C139" s="1">
        <f>IFERROR(__xludf.DUMMYFUNCTION("""COMPUTED_VALUE"""),81.86)</f>
        <v>81.86</v>
      </c>
      <c r="D139" s="1">
        <f>IFERROR(__xludf.DUMMYFUNCTION("""COMPUTED_VALUE"""),78.99)</f>
        <v>78.99</v>
      </c>
      <c r="E139" s="1">
        <f>IFERROR(__xludf.DUMMYFUNCTION("""COMPUTED_VALUE"""),81.43)</f>
        <v>81.43</v>
      </c>
      <c r="F139" s="1">
        <f>IFERROR(__xludf.DUMMYFUNCTION("""COMPUTED_VALUE"""),875365.0)</f>
        <v>875365</v>
      </c>
      <c r="G139" s="2" t="s">
        <v>1</v>
      </c>
    </row>
    <row r="140">
      <c r="A140" s="3">
        <f>IFERROR(__xludf.DUMMYFUNCTION("""COMPUTED_VALUE"""),44764.66666666667)</f>
        <v>44764.66667</v>
      </c>
      <c r="B140" s="1">
        <f>IFERROR(__xludf.DUMMYFUNCTION("""COMPUTED_VALUE"""),84.35)</f>
        <v>84.35</v>
      </c>
      <c r="C140" s="1">
        <f>IFERROR(__xludf.DUMMYFUNCTION("""COMPUTED_VALUE"""),84.35)</f>
        <v>84.35</v>
      </c>
      <c r="D140" s="1">
        <f>IFERROR(__xludf.DUMMYFUNCTION("""COMPUTED_VALUE"""),80.93)</f>
        <v>80.93</v>
      </c>
      <c r="E140" s="1">
        <f>IFERROR(__xludf.DUMMYFUNCTION("""COMPUTED_VALUE"""),82.05)</f>
        <v>82.05</v>
      </c>
      <c r="F140" s="1">
        <f>IFERROR(__xludf.DUMMYFUNCTION("""COMPUTED_VALUE"""),1098209.0)</f>
        <v>1098209</v>
      </c>
      <c r="G140" s="2" t="s">
        <v>1</v>
      </c>
    </row>
    <row r="141">
      <c r="A141" s="3">
        <f>IFERROR(__xludf.DUMMYFUNCTION("""COMPUTED_VALUE"""),44767.66666666667)</f>
        <v>44767.66667</v>
      </c>
      <c r="B141" s="1">
        <f>IFERROR(__xludf.DUMMYFUNCTION("""COMPUTED_VALUE"""),83.22)</f>
        <v>83.22</v>
      </c>
      <c r="C141" s="1">
        <f>IFERROR(__xludf.DUMMYFUNCTION("""COMPUTED_VALUE"""),83.81)</f>
        <v>83.81</v>
      </c>
      <c r="D141" s="1">
        <f>IFERROR(__xludf.DUMMYFUNCTION("""COMPUTED_VALUE"""),82.53)</f>
        <v>82.53</v>
      </c>
      <c r="E141" s="1">
        <f>IFERROR(__xludf.DUMMYFUNCTION("""COMPUTED_VALUE"""),83.49)</f>
        <v>83.49</v>
      </c>
      <c r="F141" s="1">
        <f>IFERROR(__xludf.DUMMYFUNCTION("""COMPUTED_VALUE"""),1079968.0)</f>
        <v>1079968</v>
      </c>
      <c r="G141" s="2" t="s">
        <v>1</v>
      </c>
    </row>
    <row r="142">
      <c r="A142" s="3">
        <f>IFERROR(__xludf.DUMMYFUNCTION("""COMPUTED_VALUE"""),44768.66666666667)</f>
        <v>44768.66667</v>
      </c>
      <c r="B142" s="1">
        <f>IFERROR(__xludf.DUMMYFUNCTION("""COMPUTED_VALUE"""),81.14)</f>
        <v>81.14</v>
      </c>
      <c r="C142" s="1">
        <f>IFERROR(__xludf.DUMMYFUNCTION("""COMPUTED_VALUE"""),82.62)</f>
        <v>82.62</v>
      </c>
      <c r="D142" s="1">
        <f>IFERROR(__xludf.DUMMYFUNCTION("""COMPUTED_VALUE"""),81.14)</f>
        <v>81.14</v>
      </c>
      <c r="E142" s="1">
        <f>IFERROR(__xludf.DUMMYFUNCTION("""COMPUTED_VALUE"""),82.41)</f>
        <v>82.41</v>
      </c>
      <c r="F142" s="1">
        <f>IFERROR(__xludf.DUMMYFUNCTION("""COMPUTED_VALUE"""),933791.0)</f>
        <v>933791</v>
      </c>
      <c r="G142" s="2" t="s">
        <v>1</v>
      </c>
    </row>
    <row r="143">
      <c r="A143" s="3">
        <f>IFERROR(__xludf.DUMMYFUNCTION("""COMPUTED_VALUE"""),44769.66666666667)</f>
        <v>44769.66667</v>
      </c>
      <c r="B143" s="1">
        <f>IFERROR(__xludf.DUMMYFUNCTION("""COMPUTED_VALUE"""),82.98)</f>
        <v>82.98</v>
      </c>
      <c r="C143" s="1">
        <f>IFERROR(__xludf.DUMMYFUNCTION("""COMPUTED_VALUE"""),85.14)</f>
        <v>85.14</v>
      </c>
      <c r="D143" s="1">
        <f>IFERROR(__xludf.DUMMYFUNCTION("""COMPUTED_VALUE"""),82.48)</f>
        <v>82.48</v>
      </c>
      <c r="E143" s="1">
        <f>IFERROR(__xludf.DUMMYFUNCTION("""COMPUTED_VALUE"""),84.89)</f>
        <v>84.89</v>
      </c>
      <c r="F143" s="1">
        <f>IFERROR(__xludf.DUMMYFUNCTION("""COMPUTED_VALUE"""),565009.0)</f>
        <v>565009</v>
      </c>
      <c r="G143" s="2" t="s">
        <v>1</v>
      </c>
    </row>
    <row r="144">
      <c r="A144" s="3">
        <f>IFERROR(__xludf.DUMMYFUNCTION("""COMPUTED_VALUE"""),44770.66666666667)</f>
        <v>44770.66667</v>
      </c>
      <c r="B144" s="1">
        <f>IFERROR(__xludf.DUMMYFUNCTION("""COMPUTED_VALUE"""),85.13)</f>
        <v>85.13</v>
      </c>
      <c r="C144" s="1">
        <f>IFERROR(__xludf.DUMMYFUNCTION("""COMPUTED_VALUE"""),86.52)</f>
        <v>86.52</v>
      </c>
      <c r="D144" s="1">
        <f>IFERROR(__xludf.DUMMYFUNCTION("""COMPUTED_VALUE"""),84.16)</f>
        <v>84.16</v>
      </c>
      <c r="E144" s="1">
        <f>IFERROR(__xludf.DUMMYFUNCTION("""COMPUTED_VALUE"""),86.47)</f>
        <v>86.47</v>
      </c>
      <c r="F144" s="1">
        <f>IFERROR(__xludf.DUMMYFUNCTION("""COMPUTED_VALUE"""),520018.0)</f>
        <v>520018</v>
      </c>
      <c r="G144" s="2" t="s">
        <v>1</v>
      </c>
    </row>
    <row r="145">
      <c r="A145" s="3">
        <f>IFERROR(__xludf.DUMMYFUNCTION("""COMPUTED_VALUE"""),44771.66666666667)</f>
        <v>44771.66667</v>
      </c>
      <c r="B145" s="1">
        <f>IFERROR(__xludf.DUMMYFUNCTION("""COMPUTED_VALUE"""),85.55)</f>
        <v>85.55</v>
      </c>
      <c r="C145" s="1">
        <f>IFERROR(__xludf.DUMMYFUNCTION("""COMPUTED_VALUE"""),86.2)</f>
        <v>86.2</v>
      </c>
      <c r="D145" s="1">
        <f>IFERROR(__xludf.DUMMYFUNCTION("""COMPUTED_VALUE"""),85.36)</f>
        <v>85.36</v>
      </c>
      <c r="E145" s="1">
        <f>IFERROR(__xludf.DUMMYFUNCTION("""COMPUTED_VALUE"""),86.0)</f>
        <v>86</v>
      </c>
      <c r="F145" s="1">
        <f>IFERROR(__xludf.DUMMYFUNCTION("""COMPUTED_VALUE"""),671902.0)</f>
        <v>671902</v>
      </c>
      <c r="G145" s="2" t="s">
        <v>1</v>
      </c>
    </row>
    <row r="146">
      <c r="A146" s="3">
        <f>IFERROR(__xludf.DUMMYFUNCTION("""COMPUTED_VALUE"""),44774.66666666667)</f>
        <v>44774.66667</v>
      </c>
      <c r="B146" s="1">
        <f>IFERROR(__xludf.DUMMYFUNCTION("""COMPUTED_VALUE"""),85.0)</f>
        <v>85</v>
      </c>
      <c r="C146" s="1">
        <f>IFERROR(__xludf.DUMMYFUNCTION("""COMPUTED_VALUE"""),86.36)</f>
        <v>86.36</v>
      </c>
      <c r="D146" s="1">
        <f>IFERROR(__xludf.DUMMYFUNCTION("""COMPUTED_VALUE"""),84.7)</f>
        <v>84.7</v>
      </c>
      <c r="E146" s="1">
        <f>IFERROR(__xludf.DUMMYFUNCTION("""COMPUTED_VALUE"""),85.19)</f>
        <v>85.19</v>
      </c>
      <c r="F146" s="1">
        <f>IFERROR(__xludf.DUMMYFUNCTION("""COMPUTED_VALUE"""),639080.0)</f>
        <v>639080</v>
      </c>
      <c r="G146" s="2" t="s">
        <v>1</v>
      </c>
    </row>
    <row r="147">
      <c r="A147" s="3">
        <f>IFERROR(__xludf.DUMMYFUNCTION("""COMPUTED_VALUE"""),44775.66666666667)</f>
        <v>44775.66667</v>
      </c>
      <c r="B147" s="1">
        <f>IFERROR(__xludf.DUMMYFUNCTION("""COMPUTED_VALUE"""),84.63)</f>
        <v>84.63</v>
      </c>
      <c r="C147" s="1">
        <f>IFERROR(__xludf.DUMMYFUNCTION("""COMPUTED_VALUE"""),84.92)</f>
        <v>84.92</v>
      </c>
      <c r="D147" s="1">
        <f>IFERROR(__xludf.DUMMYFUNCTION("""COMPUTED_VALUE"""),83.71)</f>
        <v>83.71</v>
      </c>
      <c r="E147" s="1">
        <f>IFERROR(__xludf.DUMMYFUNCTION("""COMPUTED_VALUE"""),83.76)</f>
        <v>83.76</v>
      </c>
      <c r="F147" s="1">
        <f>IFERROR(__xludf.DUMMYFUNCTION("""COMPUTED_VALUE"""),691216.0)</f>
        <v>691216</v>
      </c>
      <c r="G147" s="2" t="s">
        <v>1</v>
      </c>
    </row>
    <row r="148">
      <c r="A148" s="3">
        <f>IFERROR(__xludf.DUMMYFUNCTION("""COMPUTED_VALUE"""),44776.66666666667)</f>
        <v>44776.66667</v>
      </c>
      <c r="B148" s="1">
        <f>IFERROR(__xludf.DUMMYFUNCTION("""COMPUTED_VALUE"""),84.2)</f>
        <v>84.2</v>
      </c>
      <c r="C148" s="1">
        <f>IFERROR(__xludf.DUMMYFUNCTION("""COMPUTED_VALUE"""),85.67)</f>
        <v>85.67</v>
      </c>
      <c r="D148" s="1">
        <f>IFERROR(__xludf.DUMMYFUNCTION("""COMPUTED_VALUE"""),84.06)</f>
        <v>84.06</v>
      </c>
      <c r="E148" s="1">
        <f>IFERROR(__xludf.DUMMYFUNCTION("""COMPUTED_VALUE"""),85.06)</f>
        <v>85.06</v>
      </c>
      <c r="F148" s="1">
        <f>IFERROR(__xludf.DUMMYFUNCTION("""COMPUTED_VALUE"""),490440.0)</f>
        <v>490440</v>
      </c>
      <c r="G148" s="2" t="s">
        <v>1</v>
      </c>
    </row>
    <row r="149">
      <c r="A149" s="3">
        <f>IFERROR(__xludf.DUMMYFUNCTION("""COMPUTED_VALUE"""),44777.66666666667)</f>
        <v>44777.66667</v>
      </c>
      <c r="B149" s="1">
        <f>IFERROR(__xludf.DUMMYFUNCTION("""COMPUTED_VALUE"""),84.03)</f>
        <v>84.03</v>
      </c>
      <c r="C149" s="1">
        <f>IFERROR(__xludf.DUMMYFUNCTION("""COMPUTED_VALUE"""),84.04)</f>
        <v>84.04</v>
      </c>
      <c r="D149" s="1">
        <f>IFERROR(__xludf.DUMMYFUNCTION("""COMPUTED_VALUE"""),80.97)</f>
        <v>80.97</v>
      </c>
      <c r="E149" s="1">
        <f>IFERROR(__xludf.DUMMYFUNCTION("""COMPUTED_VALUE"""),81.11)</f>
        <v>81.11</v>
      </c>
      <c r="F149" s="1">
        <f>IFERROR(__xludf.DUMMYFUNCTION("""COMPUTED_VALUE"""),1068654.0)</f>
        <v>1068654</v>
      </c>
      <c r="G149" s="2" t="s">
        <v>1</v>
      </c>
    </row>
    <row r="150">
      <c r="A150" s="3">
        <f>IFERROR(__xludf.DUMMYFUNCTION("""COMPUTED_VALUE"""),44778.66666666667)</f>
        <v>44778.66667</v>
      </c>
      <c r="B150" s="1">
        <f>IFERROR(__xludf.DUMMYFUNCTION("""COMPUTED_VALUE"""),79.95)</f>
        <v>79.95</v>
      </c>
      <c r="C150" s="1">
        <f>IFERROR(__xludf.DUMMYFUNCTION("""COMPUTED_VALUE"""),80.42)</f>
        <v>80.42</v>
      </c>
      <c r="D150" s="1">
        <f>IFERROR(__xludf.DUMMYFUNCTION("""COMPUTED_VALUE"""),78.32)</f>
        <v>78.32</v>
      </c>
      <c r="E150" s="1">
        <f>IFERROR(__xludf.DUMMYFUNCTION("""COMPUTED_VALUE"""),78.64)</f>
        <v>78.64</v>
      </c>
      <c r="F150" s="1">
        <f>IFERROR(__xludf.DUMMYFUNCTION("""COMPUTED_VALUE"""),918169.0)</f>
        <v>918169</v>
      </c>
      <c r="G150" s="2" t="s">
        <v>1</v>
      </c>
    </row>
    <row r="151">
      <c r="A151" s="3">
        <f>IFERROR(__xludf.DUMMYFUNCTION("""COMPUTED_VALUE"""),44781.66666666667)</f>
        <v>44781.66667</v>
      </c>
      <c r="B151" s="1">
        <f>IFERROR(__xludf.DUMMYFUNCTION("""COMPUTED_VALUE"""),80.25)</f>
        <v>80.25</v>
      </c>
      <c r="C151" s="1">
        <f>IFERROR(__xludf.DUMMYFUNCTION("""COMPUTED_VALUE"""),81.67)</f>
        <v>81.67</v>
      </c>
      <c r="D151" s="1">
        <f>IFERROR(__xludf.DUMMYFUNCTION("""COMPUTED_VALUE"""),80.23)</f>
        <v>80.23</v>
      </c>
      <c r="E151" s="1">
        <f>IFERROR(__xludf.DUMMYFUNCTION("""COMPUTED_VALUE"""),81.29)</f>
        <v>81.29</v>
      </c>
      <c r="F151" s="1">
        <f>IFERROR(__xludf.DUMMYFUNCTION("""COMPUTED_VALUE"""),727053.0)</f>
        <v>727053</v>
      </c>
      <c r="G151" s="2" t="s">
        <v>1</v>
      </c>
    </row>
    <row r="152">
      <c r="A152" s="3">
        <f>IFERROR(__xludf.DUMMYFUNCTION("""COMPUTED_VALUE"""),44782.66666666667)</f>
        <v>44782.66667</v>
      </c>
      <c r="B152" s="1">
        <f>IFERROR(__xludf.DUMMYFUNCTION("""COMPUTED_VALUE"""),80.78)</f>
        <v>80.78</v>
      </c>
      <c r="C152" s="1">
        <f>IFERROR(__xludf.DUMMYFUNCTION("""COMPUTED_VALUE"""),80.78)</f>
        <v>80.78</v>
      </c>
      <c r="D152" s="1">
        <f>IFERROR(__xludf.DUMMYFUNCTION("""COMPUTED_VALUE"""),79.37)</f>
        <v>79.37</v>
      </c>
      <c r="E152" s="1">
        <f>IFERROR(__xludf.DUMMYFUNCTION("""COMPUTED_VALUE"""),80.01)</f>
        <v>80.01</v>
      </c>
      <c r="F152" s="1">
        <f>IFERROR(__xludf.DUMMYFUNCTION("""COMPUTED_VALUE"""),368360.0)</f>
        <v>368360</v>
      </c>
      <c r="G152" s="2" t="s">
        <v>1</v>
      </c>
    </row>
    <row r="153">
      <c r="A153" s="3">
        <f>IFERROR(__xludf.DUMMYFUNCTION("""COMPUTED_VALUE"""),44783.66666666667)</f>
        <v>44783.66667</v>
      </c>
      <c r="B153" s="1">
        <f>IFERROR(__xludf.DUMMYFUNCTION("""COMPUTED_VALUE"""),82.47)</f>
        <v>82.47</v>
      </c>
      <c r="C153" s="1">
        <f>IFERROR(__xludf.DUMMYFUNCTION("""COMPUTED_VALUE"""),83.5)</f>
        <v>83.5</v>
      </c>
      <c r="D153" s="1">
        <f>IFERROR(__xludf.DUMMYFUNCTION("""COMPUTED_VALUE"""),82.18)</f>
        <v>82.18</v>
      </c>
      <c r="E153" s="1">
        <f>IFERROR(__xludf.DUMMYFUNCTION("""COMPUTED_VALUE"""),83.21)</f>
        <v>83.21</v>
      </c>
      <c r="F153" s="1">
        <f>IFERROR(__xludf.DUMMYFUNCTION("""COMPUTED_VALUE"""),405641.0)</f>
        <v>405641</v>
      </c>
      <c r="G153" s="2" t="s">
        <v>1</v>
      </c>
    </row>
    <row r="154">
      <c r="A154" s="3">
        <f>IFERROR(__xludf.DUMMYFUNCTION("""COMPUTED_VALUE"""),44784.66666666667)</f>
        <v>44784.66667</v>
      </c>
      <c r="B154" s="1">
        <f>IFERROR(__xludf.DUMMYFUNCTION("""COMPUTED_VALUE"""),84.15)</f>
        <v>84.15</v>
      </c>
      <c r="C154" s="1">
        <f>IFERROR(__xludf.DUMMYFUNCTION("""COMPUTED_VALUE"""),84.78)</f>
        <v>84.78</v>
      </c>
      <c r="D154" s="1">
        <f>IFERROR(__xludf.DUMMYFUNCTION("""COMPUTED_VALUE"""),83.45)</f>
        <v>83.45</v>
      </c>
      <c r="E154" s="1">
        <f>IFERROR(__xludf.DUMMYFUNCTION("""COMPUTED_VALUE"""),84.34)</f>
        <v>84.34</v>
      </c>
      <c r="F154" s="1">
        <f>IFERROR(__xludf.DUMMYFUNCTION("""COMPUTED_VALUE"""),351261.0)</f>
        <v>351261</v>
      </c>
      <c r="G154" s="2" t="s">
        <v>1</v>
      </c>
    </row>
    <row r="155">
      <c r="A155" s="3">
        <f>IFERROR(__xludf.DUMMYFUNCTION("""COMPUTED_VALUE"""),44785.66666666667)</f>
        <v>44785.66667</v>
      </c>
      <c r="B155" s="1">
        <f>IFERROR(__xludf.DUMMYFUNCTION("""COMPUTED_VALUE"""),84.91)</f>
        <v>84.91</v>
      </c>
      <c r="C155" s="1">
        <f>IFERROR(__xludf.DUMMYFUNCTION("""COMPUTED_VALUE"""),85.39)</f>
        <v>85.39</v>
      </c>
      <c r="D155" s="1">
        <f>IFERROR(__xludf.DUMMYFUNCTION("""COMPUTED_VALUE"""),83.85)</f>
        <v>83.85</v>
      </c>
      <c r="E155" s="1">
        <f>IFERROR(__xludf.DUMMYFUNCTION("""COMPUTED_VALUE"""),85.24)</f>
        <v>85.24</v>
      </c>
      <c r="F155" s="1">
        <f>IFERROR(__xludf.DUMMYFUNCTION("""COMPUTED_VALUE"""),424527.0)</f>
        <v>424527</v>
      </c>
      <c r="G155" s="2" t="s">
        <v>1</v>
      </c>
    </row>
    <row r="156">
      <c r="A156" s="3">
        <f>IFERROR(__xludf.DUMMYFUNCTION("""COMPUTED_VALUE"""),44788.66666666667)</f>
        <v>44788.66667</v>
      </c>
      <c r="B156" s="1">
        <f>IFERROR(__xludf.DUMMYFUNCTION("""COMPUTED_VALUE"""),82.94)</f>
        <v>82.94</v>
      </c>
      <c r="C156" s="1">
        <f>IFERROR(__xludf.DUMMYFUNCTION("""COMPUTED_VALUE"""),84.45)</f>
        <v>84.45</v>
      </c>
      <c r="D156" s="1">
        <f>IFERROR(__xludf.DUMMYFUNCTION("""COMPUTED_VALUE"""),82.94)</f>
        <v>82.94</v>
      </c>
      <c r="E156" s="1">
        <f>IFERROR(__xludf.DUMMYFUNCTION("""COMPUTED_VALUE"""),84.1)</f>
        <v>84.1</v>
      </c>
      <c r="F156" s="1">
        <f>IFERROR(__xludf.DUMMYFUNCTION("""COMPUTED_VALUE"""),415007.0)</f>
        <v>415007</v>
      </c>
      <c r="G156" s="2" t="s">
        <v>1</v>
      </c>
    </row>
    <row r="157">
      <c r="A157" s="3">
        <f>IFERROR(__xludf.DUMMYFUNCTION("""COMPUTED_VALUE"""),44789.66666666667)</f>
        <v>44789.66667</v>
      </c>
      <c r="B157" s="1">
        <f>IFERROR(__xludf.DUMMYFUNCTION("""COMPUTED_VALUE"""),83.9)</f>
        <v>83.9</v>
      </c>
      <c r="C157" s="1">
        <f>IFERROR(__xludf.DUMMYFUNCTION("""COMPUTED_VALUE"""),85.74)</f>
        <v>85.74</v>
      </c>
      <c r="D157" s="1">
        <f>IFERROR(__xludf.DUMMYFUNCTION("""COMPUTED_VALUE"""),83.9)</f>
        <v>83.9</v>
      </c>
      <c r="E157" s="1">
        <f>IFERROR(__xludf.DUMMYFUNCTION("""COMPUTED_VALUE"""),85.48)</f>
        <v>85.48</v>
      </c>
      <c r="F157" s="1">
        <f>IFERROR(__xludf.DUMMYFUNCTION("""COMPUTED_VALUE"""),514184.0)</f>
        <v>514184</v>
      </c>
      <c r="G157" s="2" t="s">
        <v>1</v>
      </c>
    </row>
    <row r="158">
      <c r="A158" s="3">
        <f>IFERROR(__xludf.DUMMYFUNCTION("""COMPUTED_VALUE"""),44790.66666666667)</f>
        <v>44790.66667</v>
      </c>
      <c r="B158" s="1">
        <f>IFERROR(__xludf.DUMMYFUNCTION("""COMPUTED_VALUE"""),83.34)</f>
        <v>83.34</v>
      </c>
      <c r="C158" s="1">
        <f>IFERROR(__xludf.DUMMYFUNCTION("""COMPUTED_VALUE"""),83.49)</f>
        <v>83.49</v>
      </c>
      <c r="D158" s="1">
        <f>IFERROR(__xludf.DUMMYFUNCTION("""COMPUTED_VALUE"""),81.49)</f>
        <v>81.49</v>
      </c>
      <c r="E158" s="1">
        <f>IFERROR(__xludf.DUMMYFUNCTION("""COMPUTED_VALUE"""),82.18)</f>
        <v>82.18</v>
      </c>
      <c r="F158" s="1">
        <f>IFERROR(__xludf.DUMMYFUNCTION("""COMPUTED_VALUE"""),425725.0)</f>
        <v>425725</v>
      </c>
      <c r="G158" s="2" t="s">
        <v>1</v>
      </c>
    </row>
    <row r="159">
      <c r="A159" s="3">
        <f>IFERROR(__xludf.DUMMYFUNCTION("""COMPUTED_VALUE"""),44791.66666666667)</f>
        <v>44791.66667</v>
      </c>
      <c r="B159" s="1">
        <f>IFERROR(__xludf.DUMMYFUNCTION("""COMPUTED_VALUE"""),82.21)</f>
        <v>82.21</v>
      </c>
      <c r="C159" s="1">
        <f>IFERROR(__xludf.DUMMYFUNCTION("""COMPUTED_VALUE"""),84.77)</f>
        <v>84.77</v>
      </c>
      <c r="D159" s="1">
        <f>IFERROR(__xludf.DUMMYFUNCTION("""COMPUTED_VALUE"""),81.94)</f>
        <v>81.94</v>
      </c>
      <c r="E159" s="1">
        <f>IFERROR(__xludf.DUMMYFUNCTION("""COMPUTED_VALUE"""),84.4)</f>
        <v>84.4</v>
      </c>
      <c r="F159" s="1">
        <f>IFERROR(__xludf.DUMMYFUNCTION("""COMPUTED_VALUE"""),483132.0)</f>
        <v>483132</v>
      </c>
      <c r="G159" s="2" t="s">
        <v>1</v>
      </c>
    </row>
    <row r="160">
      <c r="A160" s="3">
        <f>IFERROR(__xludf.DUMMYFUNCTION("""COMPUTED_VALUE"""),44792.66666666667)</f>
        <v>44792.66667</v>
      </c>
      <c r="B160" s="1">
        <f>IFERROR(__xludf.DUMMYFUNCTION("""COMPUTED_VALUE"""),82.62)</f>
        <v>82.62</v>
      </c>
      <c r="C160" s="1">
        <f>IFERROR(__xludf.DUMMYFUNCTION("""COMPUTED_VALUE"""),82.79)</f>
        <v>82.79</v>
      </c>
      <c r="D160" s="1">
        <f>IFERROR(__xludf.DUMMYFUNCTION("""COMPUTED_VALUE"""),81.51)</f>
        <v>81.51</v>
      </c>
      <c r="E160" s="1">
        <f>IFERROR(__xludf.DUMMYFUNCTION("""COMPUTED_VALUE"""),81.99)</f>
        <v>81.99</v>
      </c>
      <c r="F160" s="1">
        <f>IFERROR(__xludf.DUMMYFUNCTION("""COMPUTED_VALUE"""),384677.0)</f>
        <v>384677</v>
      </c>
      <c r="G160" s="2" t="s">
        <v>1</v>
      </c>
    </row>
    <row r="161">
      <c r="A161" s="3">
        <f>IFERROR(__xludf.DUMMYFUNCTION("""COMPUTED_VALUE"""),44795.66666666667)</f>
        <v>44795.66667</v>
      </c>
      <c r="B161" s="1">
        <f>IFERROR(__xludf.DUMMYFUNCTION("""COMPUTED_VALUE"""),79.05)</f>
        <v>79.05</v>
      </c>
      <c r="C161" s="1">
        <f>IFERROR(__xludf.DUMMYFUNCTION("""COMPUTED_VALUE"""),79.42)</f>
        <v>79.42</v>
      </c>
      <c r="D161" s="1">
        <f>IFERROR(__xludf.DUMMYFUNCTION("""COMPUTED_VALUE"""),76.38)</f>
        <v>76.38</v>
      </c>
      <c r="E161" s="1">
        <f>IFERROR(__xludf.DUMMYFUNCTION("""COMPUTED_VALUE"""),76.64)</f>
        <v>76.64</v>
      </c>
      <c r="F161" s="1">
        <f>IFERROR(__xludf.DUMMYFUNCTION("""COMPUTED_VALUE"""),809498.0)</f>
        <v>809498</v>
      </c>
      <c r="G161" s="2" t="s">
        <v>1</v>
      </c>
    </row>
    <row r="162">
      <c r="A162" s="3">
        <f>IFERROR(__xludf.DUMMYFUNCTION("""COMPUTED_VALUE"""),44796.66666666667)</f>
        <v>44796.66667</v>
      </c>
      <c r="B162" s="1">
        <f>IFERROR(__xludf.DUMMYFUNCTION("""COMPUTED_VALUE"""),77.51)</f>
        <v>77.51</v>
      </c>
      <c r="C162" s="1">
        <f>IFERROR(__xludf.DUMMYFUNCTION("""COMPUTED_VALUE"""),79.87)</f>
        <v>79.87</v>
      </c>
      <c r="D162" s="1">
        <f>IFERROR(__xludf.DUMMYFUNCTION("""COMPUTED_VALUE"""),77.45)</f>
        <v>77.45</v>
      </c>
      <c r="E162" s="1">
        <f>IFERROR(__xludf.DUMMYFUNCTION("""COMPUTED_VALUE"""),79.34)</f>
        <v>79.34</v>
      </c>
      <c r="F162" s="1">
        <f>IFERROR(__xludf.DUMMYFUNCTION("""COMPUTED_VALUE"""),688012.0)</f>
        <v>688012</v>
      </c>
      <c r="G162" s="2" t="s">
        <v>1</v>
      </c>
    </row>
    <row r="163">
      <c r="A163" s="3">
        <f>IFERROR(__xludf.DUMMYFUNCTION("""COMPUTED_VALUE"""),44797.66666666667)</f>
        <v>44797.66667</v>
      </c>
      <c r="B163" s="1">
        <f>IFERROR(__xludf.DUMMYFUNCTION("""COMPUTED_VALUE"""),79.29)</f>
        <v>79.29</v>
      </c>
      <c r="C163" s="1">
        <f>IFERROR(__xludf.DUMMYFUNCTION("""COMPUTED_VALUE"""),80.48)</f>
        <v>80.48</v>
      </c>
      <c r="D163" s="1">
        <f>IFERROR(__xludf.DUMMYFUNCTION("""COMPUTED_VALUE"""),79.08)</f>
        <v>79.08</v>
      </c>
      <c r="E163" s="1">
        <f>IFERROR(__xludf.DUMMYFUNCTION("""COMPUTED_VALUE"""),79.84)</f>
        <v>79.84</v>
      </c>
      <c r="F163" s="1">
        <f>IFERROR(__xludf.DUMMYFUNCTION("""COMPUTED_VALUE"""),423455.0)</f>
        <v>423455</v>
      </c>
      <c r="G163" s="2" t="s">
        <v>1</v>
      </c>
    </row>
    <row r="164">
      <c r="A164" s="3">
        <f>IFERROR(__xludf.DUMMYFUNCTION("""COMPUTED_VALUE"""),44798.66666666667)</f>
        <v>44798.66667</v>
      </c>
      <c r="B164" s="1">
        <f>IFERROR(__xludf.DUMMYFUNCTION("""COMPUTED_VALUE"""),79.89)</f>
        <v>79.89</v>
      </c>
      <c r="C164" s="1">
        <f>IFERROR(__xludf.DUMMYFUNCTION("""COMPUTED_VALUE"""),81.67)</f>
        <v>81.67</v>
      </c>
      <c r="D164" s="1">
        <f>IFERROR(__xludf.DUMMYFUNCTION("""COMPUTED_VALUE"""),79.75)</f>
        <v>79.75</v>
      </c>
      <c r="E164" s="1">
        <f>IFERROR(__xludf.DUMMYFUNCTION("""COMPUTED_VALUE"""),81.67)</f>
        <v>81.67</v>
      </c>
      <c r="F164" s="1">
        <f>IFERROR(__xludf.DUMMYFUNCTION("""COMPUTED_VALUE"""),395056.0)</f>
        <v>395056</v>
      </c>
      <c r="G164" s="2" t="s">
        <v>1</v>
      </c>
    </row>
    <row r="165">
      <c r="A165" s="3">
        <f>IFERROR(__xludf.DUMMYFUNCTION("""COMPUTED_VALUE"""),44799.66666666667)</f>
        <v>44799.66667</v>
      </c>
      <c r="B165" s="1">
        <f>IFERROR(__xludf.DUMMYFUNCTION("""COMPUTED_VALUE"""),81.68)</f>
        <v>81.68</v>
      </c>
      <c r="C165" s="1">
        <f>IFERROR(__xludf.DUMMYFUNCTION("""COMPUTED_VALUE"""),81.85)</f>
        <v>81.85</v>
      </c>
      <c r="D165" s="1">
        <f>IFERROR(__xludf.DUMMYFUNCTION("""COMPUTED_VALUE"""),77.93)</f>
        <v>77.93</v>
      </c>
      <c r="E165" s="1">
        <f>IFERROR(__xludf.DUMMYFUNCTION("""COMPUTED_VALUE"""),78.28)</f>
        <v>78.28</v>
      </c>
      <c r="F165" s="1">
        <f>IFERROR(__xludf.DUMMYFUNCTION("""COMPUTED_VALUE"""),694621.0)</f>
        <v>694621</v>
      </c>
      <c r="G165" s="2" t="s">
        <v>1</v>
      </c>
    </row>
    <row r="166">
      <c r="A166" s="3">
        <f>IFERROR(__xludf.DUMMYFUNCTION("""COMPUTED_VALUE"""),44802.66666666667)</f>
        <v>44802.66667</v>
      </c>
      <c r="B166" s="1">
        <f>IFERROR(__xludf.DUMMYFUNCTION("""COMPUTED_VALUE"""),77.79)</f>
        <v>77.79</v>
      </c>
      <c r="C166" s="1">
        <f>IFERROR(__xludf.DUMMYFUNCTION("""COMPUTED_VALUE"""),79.65)</f>
        <v>79.65</v>
      </c>
      <c r="D166" s="1">
        <f>IFERROR(__xludf.DUMMYFUNCTION("""COMPUTED_VALUE"""),77.64)</f>
        <v>77.64</v>
      </c>
      <c r="E166" s="1">
        <f>IFERROR(__xludf.DUMMYFUNCTION("""COMPUTED_VALUE"""),78.59)</f>
        <v>78.59</v>
      </c>
      <c r="F166" s="1">
        <f>IFERROR(__xludf.DUMMYFUNCTION("""COMPUTED_VALUE"""),385127.0)</f>
        <v>385127</v>
      </c>
      <c r="G166" s="2" t="s">
        <v>1</v>
      </c>
    </row>
    <row r="167">
      <c r="A167" s="3">
        <f>IFERROR(__xludf.DUMMYFUNCTION("""COMPUTED_VALUE"""),44803.66666666667)</f>
        <v>44803.66667</v>
      </c>
      <c r="B167" s="1">
        <f>IFERROR(__xludf.DUMMYFUNCTION("""COMPUTED_VALUE"""),79.47)</f>
        <v>79.47</v>
      </c>
      <c r="C167" s="1">
        <f>IFERROR(__xludf.DUMMYFUNCTION("""COMPUTED_VALUE"""),79.67)</f>
        <v>79.67</v>
      </c>
      <c r="D167" s="1">
        <f>IFERROR(__xludf.DUMMYFUNCTION("""COMPUTED_VALUE"""),77.85)</f>
        <v>77.85</v>
      </c>
      <c r="E167" s="1">
        <f>IFERROR(__xludf.DUMMYFUNCTION("""COMPUTED_VALUE"""),78.66)</f>
        <v>78.66</v>
      </c>
      <c r="F167" s="1">
        <f>IFERROR(__xludf.DUMMYFUNCTION("""COMPUTED_VALUE"""),476285.0)</f>
        <v>476285</v>
      </c>
      <c r="G167" s="2" t="s">
        <v>1</v>
      </c>
    </row>
    <row r="168">
      <c r="A168" s="3">
        <f>IFERROR(__xludf.DUMMYFUNCTION("""COMPUTED_VALUE"""),44804.66666666667)</f>
        <v>44804.66667</v>
      </c>
      <c r="B168" s="1">
        <f>IFERROR(__xludf.DUMMYFUNCTION("""COMPUTED_VALUE"""),78.86)</f>
        <v>78.86</v>
      </c>
      <c r="C168" s="1">
        <f>IFERROR(__xludf.DUMMYFUNCTION("""COMPUTED_VALUE"""),78.94)</f>
        <v>78.94</v>
      </c>
      <c r="D168" s="1">
        <f>IFERROR(__xludf.DUMMYFUNCTION("""COMPUTED_VALUE"""),77.72)</f>
        <v>77.72</v>
      </c>
      <c r="E168" s="1">
        <f>IFERROR(__xludf.DUMMYFUNCTION("""COMPUTED_VALUE"""),77.79)</f>
        <v>77.79</v>
      </c>
      <c r="F168" s="1">
        <f>IFERROR(__xludf.DUMMYFUNCTION("""COMPUTED_VALUE"""),515702.0)</f>
        <v>515702</v>
      </c>
      <c r="G168" s="2" t="s">
        <v>1</v>
      </c>
    </row>
    <row r="169">
      <c r="A169" s="3">
        <f>IFERROR(__xludf.DUMMYFUNCTION("""COMPUTED_VALUE"""),44805.66666666667)</f>
        <v>44805.66667</v>
      </c>
      <c r="B169" s="1">
        <f>IFERROR(__xludf.DUMMYFUNCTION("""COMPUTED_VALUE"""),75.7)</f>
        <v>75.7</v>
      </c>
      <c r="C169" s="1">
        <f>IFERROR(__xludf.DUMMYFUNCTION("""COMPUTED_VALUE"""),76.84)</f>
        <v>76.84</v>
      </c>
      <c r="D169" s="1">
        <f>IFERROR(__xludf.DUMMYFUNCTION("""COMPUTED_VALUE"""),74.84)</f>
        <v>74.84</v>
      </c>
      <c r="E169" s="1">
        <f>IFERROR(__xludf.DUMMYFUNCTION("""COMPUTED_VALUE"""),76.79)</f>
        <v>76.79</v>
      </c>
      <c r="F169" s="1">
        <f>IFERROR(__xludf.DUMMYFUNCTION("""COMPUTED_VALUE"""),666888.0)</f>
        <v>666888</v>
      </c>
      <c r="G169" s="2" t="s">
        <v>1</v>
      </c>
    </row>
    <row r="170">
      <c r="A170" s="3">
        <f>IFERROR(__xludf.DUMMYFUNCTION("""COMPUTED_VALUE"""),44806.66666666667)</f>
        <v>44806.66667</v>
      </c>
      <c r="B170" s="1">
        <f>IFERROR(__xludf.DUMMYFUNCTION("""COMPUTED_VALUE"""),77.96)</f>
        <v>77.96</v>
      </c>
      <c r="C170" s="1">
        <f>IFERROR(__xludf.DUMMYFUNCTION("""COMPUTED_VALUE"""),78.35)</f>
        <v>78.35</v>
      </c>
      <c r="D170" s="1">
        <f>IFERROR(__xludf.DUMMYFUNCTION("""COMPUTED_VALUE"""),75.13)</f>
        <v>75.13</v>
      </c>
      <c r="E170" s="1">
        <f>IFERROR(__xludf.DUMMYFUNCTION("""COMPUTED_VALUE"""),75.59)</f>
        <v>75.59</v>
      </c>
      <c r="F170" s="1">
        <f>IFERROR(__xludf.DUMMYFUNCTION("""COMPUTED_VALUE"""),545529.0)</f>
        <v>545529</v>
      </c>
      <c r="G170" s="2" t="s">
        <v>1</v>
      </c>
    </row>
    <row r="171">
      <c r="A171" s="3">
        <f>IFERROR(__xludf.DUMMYFUNCTION("""COMPUTED_VALUE"""),44810.66666666667)</f>
        <v>44810.66667</v>
      </c>
      <c r="B171" s="1">
        <f>IFERROR(__xludf.DUMMYFUNCTION("""COMPUTED_VALUE"""),74.11)</f>
        <v>74.11</v>
      </c>
      <c r="C171" s="1">
        <f>IFERROR(__xludf.DUMMYFUNCTION("""COMPUTED_VALUE"""),74.32)</f>
        <v>74.32</v>
      </c>
      <c r="D171" s="1">
        <f>IFERROR(__xludf.DUMMYFUNCTION("""COMPUTED_VALUE"""),72.68)</f>
        <v>72.68</v>
      </c>
      <c r="E171" s="1">
        <f>IFERROR(__xludf.DUMMYFUNCTION("""COMPUTED_VALUE"""),73.2)</f>
        <v>73.2</v>
      </c>
      <c r="F171" s="1">
        <f>IFERROR(__xludf.DUMMYFUNCTION("""COMPUTED_VALUE"""),530252.0)</f>
        <v>530252</v>
      </c>
      <c r="G171" s="2" t="s">
        <v>1</v>
      </c>
    </row>
    <row r="172">
      <c r="A172" s="3">
        <f>IFERROR(__xludf.DUMMYFUNCTION("""COMPUTED_VALUE"""),44811.66666666667)</f>
        <v>44811.66667</v>
      </c>
      <c r="B172" s="1">
        <f>IFERROR(__xludf.DUMMYFUNCTION("""COMPUTED_VALUE"""),73.4)</f>
        <v>73.4</v>
      </c>
      <c r="C172" s="1">
        <f>IFERROR(__xludf.DUMMYFUNCTION("""COMPUTED_VALUE"""),75.81)</f>
        <v>75.81</v>
      </c>
      <c r="D172" s="1">
        <f>IFERROR(__xludf.DUMMYFUNCTION("""COMPUTED_VALUE"""),73.23)</f>
        <v>73.23</v>
      </c>
      <c r="E172" s="1">
        <f>IFERROR(__xludf.DUMMYFUNCTION("""COMPUTED_VALUE"""),75.48)</f>
        <v>75.48</v>
      </c>
      <c r="F172" s="1">
        <f>IFERROR(__xludf.DUMMYFUNCTION("""COMPUTED_VALUE"""),946901.0)</f>
        <v>946901</v>
      </c>
      <c r="G172" s="2" t="s">
        <v>1</v>
      </c>
    </row>
    <row r="173">
      <c r="A173" s="3">
        <f>IFERROR(__xludf.DUMMYFUNCTION("""COMPUTED_VALUE"""),44812.66666666667)</f>
        <v>44812.66667</v>
      </c>
      <c r="B173" s="1">
        <f>IFERROR(__xludf.DUMMYFUNCTION("""COMPUTED_VALUE"""),72.69)</f>
        <v>72.69</v>
      </c>
      <c r="C173" s="1">
        <f>IFERROR(__xludf.DUMMYFUNCTION("""COMPUTED_VALUE"""),74.36)</f>
        <v>74.36</v>
      </c>
      <c r="D173" s="1">
        <f>IFERROR(__xludf.DUMMYFUNCTION("""COMPUTED_VALUE"""),72.06)</f>
        <v>72.06</v>
      </c>
      <c r="E173" s="1">
        <f>IFERROR(__xludf.DUMMYFUNCTION("""COMPUTED_VALUE"""),74.32)</f>
        <v>74.32</v>
      </c>
      <c r="F173" s="1">
        <f>IFERROR(__xludf.DUMMYFUNCTION("""COMPUTED_VALUE"""),738078.0)</f>
        <v>738078</v>
      </c>
      <c r="G173" s="2" t="s">
        <v>1</v>
      </c>
    </row>
    <row r="174">
      <c r="A174" s="3">
        <f>IFERROR(__xludf.DUMMYFUNCTION("""COMPUTED_VALUE"""),44813.66666666667)</f>
        <v>44813.66667</v>
      </c>
      <c r="B174" s="1">
        <f>IFERROR(__xludf.DUMMYFUNCTION("""COMPUTED_VALUE"""),74.94)</f>
        <v>74.94</v>
      </c>
      <c r="C174" s="1">
        <f>IFERROR(__xludf.DUMMYFUNCTION("""COMPUTED_VALUE"""),75.91)</f>
        <v>75.91</v>
      </c>
      <c r="D174" s="1">
        <f>IFERROR(__xludf.DUMMYFUNCTION("""COMPUTED_VALUE"""),74.71)</f>
        <v>74.71</v>
      </c>
      <c r="E174" s="1">
        <f>IFERROR(__xludf.DUMMYFUNCTION("""COMPUTED_VALUE"""),75.66)</f>
        <v>75.66</v>
      </c>
      <c r="F174" s="1">
        <f>IFERROR(__xludf.DUMMYFUNCTION("""COMPUTED_VALUE"""),344225.0)</f>
        <v>344225</v>
      </c>
      <c r="G174" s="2" t="s">
        <v>1</v>
      </c>
    </row>
    <row r="175">
      <c r="A175" s="3">
        <f>IFERROR(__xludf.DUMMYFUNCTION("""COMPUTED_VALUE"""),44816.66666666667)</f>
        <v>44816.66667</v>
      </c>
      <c r="B175" s="1">
        <f>IFERROR(__xludf.DUMMYFUNCTION("""COMPUTED_VALUE"""),77.36)</f>
        <v>77.36</v>
      </c>
      <c r="C175" s="1">
        <f>IFERROR(__xludf.DUMMYFUNCTION("""COMPUTED_VALUE"""),78.55)</f>
        <v>78.55</v>
      </c>
      <c r="D175" s="1">
        <f>IFERROR(__xludf.DUMMYFUNCTION("""COMPUTED_VALUE"""),77.25)</f>
        <v>77.25</v>
      </c>
      <c r="E175" s="1">
        <f>IFERROR(__xludf.DUMMYFUNCTION("""COMPUTED_VALUE"""),78.44)</f>
        <v>78.44</v>
      </c>
      <c r="F175" s="1">
        <f>IFERROR(__xludf.DUMMYFUNCTION("""COMPUTED_VALUE"""),535212.0)</f>
        <v>535212</v>
      </c>
      <c r="G175" s="2" t="s">
        <v>1</v>
      </c>
    </row>
    <row r="176">
      <c r="A176" s="3">
        <f>IFERROR(__xludf.DUMMYFUNCTION("""COMPUTED_VALUE"""),44817.66666666667)</f>
        <v>44817.66667</v>
      </c>
      <c r="B176" s="1">
        <f>IFERROR(__xludf.DUMMYFUNCTION("""COMPUTED_VALUE"""),75.68)</f>
        <v>75.68</v>
      </c>
      <c r="C176" s="1">
        <f>IFERROR(__xludf.DUMMYFUNCTION("""COMPUTED_VALUE"""),76.9)</f>
        <v>76.9</v>
      </c>
      <c r="D176" s="1">
        <f>IFERROR(__xludf.DUMMYFUNCTION("""COMPUTED_VALUE"""),74.74)</f>
        <v>74.74</v>
      </c>
      <c r="E176" s="1">
        <f>IFERROR(__xludf.DUMMYFUNCTION("""COMPUTED_VALUE"""),74.9)</f>
        <v>74.9</v>
      </c>
      <c r="F176" s="1">
        <f>IFERROR(__xludf.DUMMYFUNCTION("""COMPUTED_VALUE"""),653148.0)</f>
        <v>653148</v>
      </c>
      <c r="G176" s="2" t="s">
        <v>1</v>
      </c>
    </row>
    <row r="177">
      <c r="A177" s="3">
        <f>IFERROR(__xludf.DUMMYFUNCTION("""COMPUTED_VALUE"""),44818.66666666667)</f>
        <v>44818.66667</v>
      </c>
      <c r="B177" s="1">
        <f>IFERROR(__xludf.DUMMYFUNCTION("""COMPUTED_VALUE"""),75.08)</f>
        <v>75.08</v>
      </c>
      <c r="C177" s="1">
        <f>IFERROR(__xludf.DUMMYFUNCTION("""COMPUTED_VALUE"""),75.33)</f>
        <v>75.33</v>
      </c>
      <c r="D177" s="1">
        <f>IFERROR(__xludf.DUMMYFUNCTION("""COMPUTED_VALUE"""),73.58)</f>
        <v>73.58</v>
      </c>
      <c r="E177" s="1">
        <f>IFERROR(__xludf.DUMMYFUNCTION("""COMPUTED_VALUE"""),74.98)</f>
        <v>74.98</v>
      </c>
      <c r="F177" s="1">
        <f>IFERROR(__xludf.DUMMYFUNCTION("""COMPUTED_VALUE"""),549196.0)</f>
        <v>549196</v>
      </c>
      <c r="G177" s="2" t="s">
        <v>1</v>
      </c>
    </row>
    <row r="178">
      <c r="A178" s="3">
        <f>IFERROR(__xludf.DUMMYFUNCTION("""COMPUTED_VALUE"""),44819.66666666667)</f>
        <v>44819.66667</v>
      </c>
      <c r="B178" s="1">
        <f>IFERROR(__xludf.DUMMYFUNCTION("""COMPUTED_VALUE"""),73.72)</f>
        <v>73.72</v>
      </c>
      <c r="C178" s="1">
        <f>IFERROR(__xludf.DUMMYFUNCTION("""COMPUTED_VALUE"""),76.31)</f>
        <v>76.31</v>
      </c>
      <c r="D178" s="1">
        <f>IFERROR(__xludf.DUMMYFUNCTION("""COMPUTED_VALUE"""),73.56)</f>
        <v>73.56</v>
      </c>
      <c r="E178" s="1">
        <f>IFERROR(__xludf.DUMMYFUNCTION("""COMPUTED_VALUE"""),73.98)</f>
        <v>73.98</v>
      </c>
      <c r="F178" s="1">
        <f>IFERROR(__xludf.DUMMYFUNCTION("""COMPUTED_VALUE"""),672484.0)</f>
        <v>672484</v>
      </c>
      <c r="G178" s="2" t="s">
        <v>1</v>
      </c>
    </row>
    <row r="179">
      <c r="A179" s="3">
        <f>IFERROR(__xludf.DUMMYFUNCTION("""COMPUTED_VALUE"""),44820.66666666667)</f>
        <v>44820.66667</v>
      </c>
      <c r="B179" s="1">
        <f>IFERROR(__xludf.DUMMYFUNCTION("""COMPUTED_VALUE"""),72.71)</f>
        <v>72.71</v>
      </c>
      <c r="C179" s="1">
        <f>IFERROR(__xludf.DUMMYFUNCTION("""COMPUTED_VALUE"""),74.0)</f>
        <v>74</v>
      </c>
      <c r="D179" s="1">
        <f>IFERROR(__xludf.DUMMYFUNCTION("""COMPUTED_VALUE"""),72.48)</f>
        <v>72.48</v>
      </c>
      <c r="E179" s="1">
        <f>IFERROR(__xludf.DUMMYFUNCTION("""COMPUTED_VALUE"""),73.77)</f>
        <v>73.77</v>
      </c>
      <c r="F179" s="1">
        <f>IFERROR(__xludf.DUMMYFUNCTION("""COMPUTED_VALUE"""),664378.0)</f>
        <v>664378</v>
      </c>
      <c r="G179" s="2" t="s">
        <v>1</v>
      </c>
    </row>
    <row r="180">
      <c r="A180" s="3">
        <f>IFERROR(__xludf.DUMMYFUNCTION("""COMPUTED_VALUE"""),44823.66666666667)</f>
        <v>44823.66667</v>
      </c>
      <c r="B180" s="1">
        <f>IFERROR(__xludf.DUMMYFUNCTION("""COMPUTED_VALUE"""),72.64)</f>
        <v>72.64</v>
      </c>
      <c r="C180" s="1">
        <f>IFERROR(__xludf.DUMMYFUNCTION("""COMPUTED_VALUE"""),75.67)</f>
        <v>75.67</v>
      </c>
      <c r="D180" s="1">
        <f>IFERROR(__xludf.DUMMYFUNCTION("""COMPUTED_VALUE"""),72.58)</f>
        <v>72.58</v>
      </c>
      <c r="E180" s="1">
        <f>IFERROR(__xludf.DUMMYFUNCTION("""COMPUTED_VALUE"""),75.54)</f>
        <v>75.54</v>
      </c>
      <c r="F180" s="1">
        <f>IFERROR(__xludf.DUMMYFUNCTION("""COMPUTED_VALUE"""),578129.0)</f>
        <v>578129</v>
      </c>
      <c r="G180" s="2" t="s">
        <v>1</v>
      </c>
    </row>
    <row r="181">
      <c r="A181" s="3">
        <f>IFERROR(__xludf.DUMMYFUNCTION("""COMPUTED_VALUE"""),44824.66666666667)</f>
        <v>44824.66667</v>
      </c>
      <c r="B181" s="1">
        <f>IFERROR(__xludf.DUMMYFUNCTION("""COMPUTED_VALUE"""),74.22)</f>
        <v>74.22</v>
      </c>
      <c r="C181" s="1">
        <f>IFERROR(__xludf.DUMMYFUNCTION("""COMPUTED_VALUE"""),74.22)</f>
        <v>74.22</v>
      </c>
      <c r="D181" s="1">
        <f>IFERROR(__xludf.DUMMYFUNCTION("""COMPUTED_VALUE"""),72.97)</f>
        <v>72.97</v>
      </c>
      <c r="E181" s="1">
        <f>IFERROR(__xludf.DUMMYFUNCTION("""COMPUTED_VALUE"""),73.16)</f>
        <v>73.16</v>
      </c>
      <c r="F181" s="1">
        <f>IFERROR(__xludf.DUMMYFUNCTION("""COMPUTED_VALUE"""),569479.0)</f>
        <v>569479</v>
      </c>
      <c r="G181" s="2" t="s">
        <v>1</v>
      </c>
    </row>
    <row r="182">
      <c r="A182" s="3">
        <f>IFERROR(__xludf.DUMMYFUNCTION("""COMPUTED_VALUE"""),44825.66666666667)</f>
        <v>44825.66667</v>
      </c>
      <c r="B182" s="1">
        <f>IFERROR(__xludf.DUMMYFUNCTION("""COMPUTED_VALUE"""),70.97)</f>
        <v>70.97</v>
      </c>
      <c r="C182" s="1">
        <f>IFERROR(__xludf.DUMMYFUNCTION("""COMPUTED_VALUE"""),73.57)</f>
        <v>73.57</v>
      </c>
      <c r="D182" s="1">
        <f>IFERROR(__xludf.DUMMYFUNCTION("""COMPUTED_VALUE"""),70.97)</f>
        <v>70.97</v>
      </c>
      <c r="E182" s="1">
        <f>IFERROR(__xludf.DUMMYFUNCTION("""COMPUTED_VALUE"""),71.34)</f>
        <v>71.34</v>
      </c>
      <c r="F182" s="1">
        <f>IFERROR(__xludf.DUMMYFUNCTION("""COMPUTED_VALUE"""),1139868.0)</f>
        <v>1139868</v>
      </c>
      <c r="G182" s="2" t="s">
        <v>1</v>
      </c>
    </row>
    <row r="183">
      <c r="A183" s="3">
        <f>IFERROR(__xludf.DUMMYFUNCTION("""COMPUTED_VALUE"""),44826.66666666667)</f>
        <v>44826.66667</v>
      </c>
      <c r="B183" s="1">
        <f>IFERROR(__xludf.DUMMYFUNCTION("""COMPUTED_VALUE"""),71.39)</f>
        <v>71.39</v>
      </c>
      <c r="C183" s="1">
        <f>IFERROR(__xludf.DUMMYFUNCTION("""COMPUTED_VALUE"""),71.61)</f>
        <v>71.61</v>
      </c>
      <c r="D183" s="1">
        <f>IFERROR(__xludf.DUMMYFUNCTION("""COMPUTED_VALUE"""),69.67)</f>
        <v>69.67</v>
      </c>
      <c r="E183" s="1">
        <f>IFERROR(__xludf.DUMMYFUNCTION("""COMPUTED_VALUE"""),70.0)</f>
        <v>70</v>
      </c>
      <c r="F183" s="1">
        <f>IFERROR(__xludf.DUMMYFUNCTION("""COMPUTED_VALUE"""),720497.0)</f>
        <v>720497</v>
      </c>
      <c r="G183" s="2" t="s">
        <v>1</v>
      </c>
    </row>
    <row r="184">
      <c r="A184" s="3">
        <f>IFERROR(__xludf.DUMMYFUNCTION("""COMPUTED_VALUE"""),44827.66666666667)</f>
        <v>44827.66667</v>
      </c>
      <c r="B184" s="1">
        <f>IFERROR(__xludf.DUMMYFUNCTION("""COMPUTED_VALUE"""),66.82)</f>
        <v>66.82</v>
      </c>
      <c r="C184" s="1">
        <f>IFERROR(__xludf.DUMMYFUNCTION("""COMPUTED_VALUE"""),67.29)</f>
        <v>67.29</v>
      </c>
      <c r="D184" s="1">
        <f>IFERROR(__xludf.DUMMYFUNCTION("""COMPUTED_VALUE"""),65.74)</f>
        <v>65.74</v>
      </c>
      <c r="E184" s="1">
        <f>IFERROR(__xludf.DUMMYFUNCTION("""COMPUTED_VALUE"""),66.64)</f>
        <v>66.64</v>
      </c>
      <c r="F184" s="1">
        <f>IFERROR(__xludf.DUMMYFUNCTION("""COMPUTED_VALUE"""),1116242.0)</f>
        <v>1116242</v>
      </c>
      <c r="G184" s="2" t="s">
        <v>1</v>
      </c>
    </row>
    <row r="185">
      <c r="A185" s="3">
        <f>IFERROR(__xludf.DUMMYFUNCTION("""COMPUTED_VALUE"""),44830.66666666667)</f>
        <v>44830.66667</v>
      </c>
      <c r="B185" s="1">
        <f>IFERROR(__xludf.DUMMYFUNCTION("""COMPUTED_VALUE"""),66.94)</f>
        <v>66.94</v>
      </c>
      <c r="C185" s="1">
        <f>IFERROR(__xludf.DUMMYFUNCTION("""COMPUTED_VALUE"""),68.84)</f>
        <v>68.84</v>
      </c>
      <c r="D185" s="1">
        <f>IFERROR(__xludf.DUMMYFUNCTION("""COMPUTED_VALUE"""),66.85)</f>
        <v>66.85</v>
      </c>
      <c r="E185" s="1">
        <f>IFERROR(__xludf.DUMMYFUNCTION("""COMPUTED_VALUE"""),68.28)</f>
        <v>68.28</v>
      </c>
      <c r="F185" s="1">
        <f>IFERROR(__xludf.DUMMYFUNCTION("""COMPUTED_VALUE"""),844463.0)</f>
        <v>844463</v>
      </c>
      <c r="G185" s="2" t="s">
        <v>1</v>
      </c>
    </row>
    <row r="186">
      <c r="A186" s="3">
        <f>IFERROR(__xludf.DUMMYFUNCTION("""COMPUTED_VALUE"""),44831.66666666667)</f>
        <v>44831.66667</v>
      </c>
      <c r="B186" s="1">
        <f>IFERROR(__xludf.DUMMYFUNCTION("""COMPUTED_VALUE"""),69.57)</f>
        <v>69.57</v>
      </c>
      <c r="C186" s="1">
        <f>IFERROR(__xludf.DUMMYFUNCTION("""COMPUTED_VALUE"""),69.96)</f>
        <v>69.96</v>
      </c>
      <c r="D186" s="1">
        <f>IFERROR(__xludf.DUMMYFUNCTION("""COMPUTED_VALUE"""),67.6)</f>
        <v>67.6</v>
      </c>
      <c r="E186" s="1">
        <f>IFERROR(__xludf.DUMMYFUNCTION("""COMPUTED_VALUE"""),68.72)</f>
        <v>68.72</v>
      </c>
      <c r="F186" s="1">
        <f>IFERROR(__xludf.DUMMYFUNCTION("""COMPUTED_VALUE"""),819363.0)</f>
        <v>819363</v>
      </c>
      <c r="G186" s="2" t="s">
        <v>1</v>
      </c>
    </row>
    <row r="187">
      <c r="A187" s="3">
        <f>IFERROR(__xludf.DUMMYFUNCTION("""COMPUTED_VALUE"""),44832.66666666667)</f>
        <v>44832.66667</v>
      </c>
      <c r="B187" s="1">
        <f>IFERROR(__xludf.DUMMYFUNCTION("""COMPUTED_VALUE"""),68.61)</f>
        <v>68.61</v>
      </c>
      <c r="C187" s="1">
        <f>IFERROR(__xludf.DUMMYFUNCTION("""COMPUTED_VALUE"""),70.81)</f>
        <v>70.81</v>
      </c>
      <c r="D187" s="1">
        <f>IFERROR(__xludf.DUMMYFUNCTION("""COMPUTED_VALUE"""),68.47)</f>
        <v>68.47</v>
      </c>
      <c r="E187" s="1">
        <f>IFERROR(__xludf.DUMMYFUNCTION("""COMPUTED_VALUE"""),70.3)</f>
        <v>70.3</v>
      </c>
      <c r="F187" s="1">
        <f>IFERROR(__xludf.DUMMYFUNCTION("""COMPUTED_VALUE"""),773750.0)</f>
        <v>773750</v>
      </c>
      <c r="G187" s="2" t="s">
        <v>1</v>
      </c>
    </row>
    <row r="188">
      <c r="A188" s="3">
        <f>IFERROR(__xludf.DUMMYFUNCTION("""COMPUTED_VALUE"""),44833.66666666667)</f>
        <v>44833.66667</v>
      </c>
      <c r="B188" s="1">
        <f>IFERROR(__xludf.DUMMYFUNCTION("""COMPUTED_VALUE"""),68.12)</f>
        <v>68.12</v>
      </c>
      <c r="C188" s="1">
        <f>IFERROR(__xludf.DUMMYFUNCTION("""COMPUTED_VALUE"""),68.26)</f>
        <v>68.26</v>
      </c>
      <c r="D188" s="1">
        <f>IFERROR(__xludf.DUMMYFUNCTION("""COMPUTED_VALUE"""),66.33)</f>
        <v>66.33</v>
      </c>
      <c r="E188" s="1">
        <f>IFERROR(__xludf.DUMMYFUNCTION("""COMPUTED_VALUE"""),67.15)</f>
        <v>67.15</v>
      </c>
      <c r="F188" s="1">
        <f>IFERROR(__xludf.DUMMYFUNCTION("""COMPUTED_VALUE"""),687898.0)</f>
        <v>687898</v>
      </c>
      <c r="G188" s="2" t="s">
        <v>1</v>
      </c>
    </row>
    <row r="189">
      <c r="A189" s="3">
        <f>IFERROR(__xludf.DUMMYFUNCTION("""COMPUTED_VALUE"""),44834.66666666667)</f>
        <v>44834.66667</v>
      </c>
      <c r="B189" s="1">
        <f>IFERROR(__xludf.DUMMYFUNCTION("""COMPUTED_VALUE"""),67.0)</f>
        <v>67</v>
      </c>
      <c r="C189" s="1">
        <f>IFERROR(__xludf.DUMMYFUNCTION("""COMPUTED_VALUE"""),68.51)</f>
        <v>68.51</v>
      </c>
      <c r="D189" s="1">
        <f>IFERROR(__xludf.DUMMYFUNCTION("""COMPUTED_VALUE"""),66.57)</f>
        <v>66.57</v>
      </c>
      <c r="E189" s="1">
        <f>IFERROR(__xludf.DUMMYFUNCTION("""COMPUTED_VALUE"""),66.63)</f>
        <v>66.63</v>
      </c>
      <c r="F189" s="1">
        <f>IFERROR(__xludf.DUMMYFUNCTION("""COMPUTED_VALUE"""),675023.0)</f>
        <v>675023</v>
      </c>
      <c r="G189" s="2" t="s">
        <v>1</v>
      </c>
    </row>
    <row r="190">
      <c r="A190" s="3">
        <f>IFERROR(__xludf.DUMMYFUNCTION("""COMPUTED_VALUE"""),44837.66666666667)</f>
        <v>44837.66667</v>
      </c>
      <c r="B190" s="1">
        <f>IFERROR(__xludf.DUMMYFUNCTION("""COMPUTED_VALUE"""),68.04)</f>
        <v>68.04</v>
      </c>
      <c r="C190" s="1">
        <f>IFERROR(__xludf.DUMMYFUNCTION("""COMPUTED_VALUE"""),70.65)</f>
        <v>70.65</v>
      </c>
      <c r="D190" s="1">
        <f>IFERROR(__xludf.DUMMYFUNCTION("""COMPUTED_VALUE"""),67.44)</f>
        <v>67.44</v>
      </c>
      <c r="E190" s="1">
        <f>IFERROR(__xludf.DUMMYFUNCTION("""COMPUTED_VALUE"""),70.5)</f>
        <v>70.5</v>
      </c>
      <c r="F190" s="1">
        <f>IFERROR(__xludf.DUMMYFUNCTION("""COMPUTED_VALUE"""),900710.0)</f>
        <v>900710</v>
      </c>
      <c r="G190" s="2" t="s">
        <v>1</v>
      </c>
    </row>
    <row r="191">
      <c r="A191" s="3">
        <f>IFERROR(__xludf.DUMMYFUNCTION("""COMPUTED_VALUE"""),44838.66666666667)</f>
        <v>44838.66667</v>
      </c>
      <c r="B191" s="1">
        <f>IFERROR(__xludf.DUMMYFUNCTION("""COMPUTED_VALUE"""),72.55)</f>
        <v>72.55</v>
      </c>
      <c r="C191" s="1">
        <f>IFERROR(__xludf.DUMMYFUNCTION("""COMPUTED_VALUE"""),74.5)</f>
        <v>74.5</v>
      </c>
      <c r="D191" s="1">
        <f>IFERROR(__xludf.DUMMYFUNCTION("""COMPUTED_VALUE"""),72.55)</f>
        <v>72.55</v>
      </c>
      <c r="E191" s="1">
        <f>IFERROR(__xludf.DUMMYFUNCTION("""COMPUTED_VALUE"""),74.48)</f>
        <v>74.48</v>
      </c>
      <c r="F191" s="1">
        <f>IFERROR(__xludf.DUMMYFUNCTION("""COMPUTED_VALUE"""),985926.0)</f>
        <v>985926</v>
      </c>
      <c r="G191" s="2" t="s">
        <v>1</v>
      </c>
    </row>
    <row r="192">
      <c r="A192" s="3">
        <f>IFERROR(__xludf.DUMMYFUNCTION("""COMPUTED_VALUE"""),44839.66666666667)</f>
        <v>44839.66667</v>
      </c>
      <c r="B192" s="1">
        <f>IFERROR(__xludf.DUMMYFUNCTION("""COMPUTED_VALUE"""),71.22)</f>
        <v>71.22</v>
      </c>
      <c r="C192" s="1">
        <f>IFERROR(__xludf.DUMMYFUNCTION("""COMPUTED_VALUE"""),73.82)</f>
        <v>73.82</v>
      </c>
      <c r="D192" s="1">
        <f>IFERROR(__xludf.DUMMYFUNCTION("""COMPUTED_VALUE"""),71.06)</f>
        <v>71.06</v>
      </c>
      <c r="E192" s="1">
        <f>IFERROR(__xludf.DUMMYFUNCTION("""COMPUTED_VALUE"""),73.61)</f>
        <v>73.61</v>
      </c>
      <c r="F192" s="1">
        <f>IFERROR(__xludf.DUMMYFUNCTION("""COMPUTED_VALUE"""),1087492.0)</f>
        <v>1087492</v>
      </c>
      <c r="G192" s="2" t="s">
        <v>1</v>
      </c>
    </row>
    <row r="193">
      <c r="A193" s="3">
        <f>IFERROR(__xludf.DUMMYFUNCTION("""COMPUTED_VALUE"""),44840.66666666667)</f>
        <v>44840.66667</v>
      </c>
      <c r="B193" s="1">
        <f>IFERROR(__xludf.DUMMYFUNCTION("""COMPUTED_VALUE"""),73.51)</f>
        <v>73.51</v>
      </c>
      <c r="C193" s="1">
        <f>IFERROR(__xludf.DUMMYFUNCTION("""COMPUTED_VALUE"""),74.84)</f>
        <v>74.84</v>
      </c>
      <c r="D193" s="1">
        <f>IFERROR(__xludf.DUMMYFUNCTION("""COMPUTED_VALUE"""),73.22)</f>
        <v>73.22</v>
      </c>
      <c r="E193" s="1">
        <f>IFERROR(__xludf.DUMMYFUNCTION("""COMPUTED_VALUE"""),74.18)</f>
        <v>74.18</v>
      </c>
      <c r="F193" s="1">
        <f>IFERROR(__xludf.DUMMYFUNCTION("""COMPUTED_VALUE"""),787156.0)</f>
        <v>787156</v>
      </c>
      <c r="G193" s="2" t="s">
        <v>1</v>
      </c>
    </row>
    <row r="194">
      <c r="A194" s="3">
        <f>IFERROR(__xludf.DUMMYFUNCTION("""COMPUTED_VALUE"""),44841.66666666667)</f>
        <v>44841.66667</v>
      </c>
      <c r="B194" s="1">
        <f>IFERROR(__xludf.DUMMYFUNCTION("""COMPUTED_VALUE"""),73.51)</f>
        <v>73.51</v>
      </c>
      <c r="C194" s="1">
        <f>IFERROR(__xludf.DUMMYFUNCTION("""COMPUTED_VALUE"""),73.59)</f>
        <v>73.59</v>
      </c>
      <c r="D194" s="1">
        <f>IFERROR(__xludf.DUMMYFUNCTION("""COMPUTED_VALUE"""),72.19)</f>
        <v>72.19</v>
      </c>
      <c r="E194" s="1">
        <f>IFERROR(__xludf.DUMMYFUNCTION("""COMPUTED_VALUE"""),72.91)</f>
        <v>72.91</v>
      </c>
      <c r="F194" s="1">
        <f>IFERROR(__xludf.DUMMYFUNCTION("""COMPUTED_VALUE"""),654942.0)</f>
        <v>654942</v>
      </c>
      <c r="G194" s="2" t="s">
        <v>1</v>
      </c>
    </row>
    <row r="195">
      <c r="A195" s="3">
        <f>IFERROR(__xludf.DUMMYFUNCTION("""COMPUTED_VALUE"""),44844.66666666667)</f>
        <v>44844.66667</v>
      </c>
      <c r="B195" s="1">
        <f>IFERROR(__xludf.DUMMYFUNCTION("""COMPUTED_VALUE"""),72.84)</f>
        <v>72.84</v>
      </c>
      <c r="C195" s="1">
        <f>IFERROR(__xludf.DUMMYFUNCTION("""COMPUTED_VALUE"""),72.84)</f>
        <v>72.84</v>
      </c>
      <c r="D195" s="1">
        <f>IFERROR(__xludf.DUMMYFUNCTION("""COMPUTED_VALUE"""),71.09)</f>
        <v>71.09</v>
      </c>
      <c r="E195" s="1">
        <f>IFERROR(__xludf.DUMMYFUNCTION("""COMPUTED_VALUE"""),71.67)</f>
        <v>71.67</v>
      </c>
      <c r="F195" s="1">
        <f>IFERROR(__xludf.DUMMYFUNCTION("""COMPUTED_VALUE"""),528833.0)</f>
        <v>528833</v>
      </c>
      <c r="G195" s="2" t="s">
        <v>1</v>
      </c>
    </row>
    <row r="196">
      <c r="A196" s="3">
        <f>IFERROR(__xludf.DUMMYFUNCTION("""COMPUTED_VALUE"""),44845.66666666667)</f>
        <v>44845.66667</v>
      </c>
      <c r="B196" s="1">
        <f>IFERROR(__xludf.DUMMYFUNCTION("""COMPUTED_VALUE"""),70.54)</f>
        <v>70.54</v>
      </c>
      <c r="C196" s="1">
        <f>IFERROR(__xludf.DUMMYFUNCTION("""COMPUTED_VALUE"""),72.63)</f>
        <v>72.63</v>
      </c>
      <c r="D196" s="1">
        <f>IFERROR(__xludf.DUMMYFUNCTION("""COMPUTED_VALUE"""),70.34)</f>
        <v>70.34</v>
      </c>
      <c r="E196" s="1">
        <f>IFERROR(__xludf.DUMMYFUNCTION("""COMPUTED_VALUE"""),71.7)</f>
        <v>71.7</v>
      </c>
      <c r="F196" s="1">
        <f>IFERROR(__xludf.DUMMYFUNCTION("""COMPUTED_VALUE"""),567287.0)</f>
        <v>567287</v>
      </c>
      <c r="G196" s="2" t="s">
        <v>1</v>
      </c>
    </row>
    <row r="197">
      <c r="A197" s="3">
        <f>IFERROR(__xludf.DUMMYFUNCTION("""COMPUTED_VALUE"""),44846.66666666667)</f>
        <v>44846.66667</v>
      </c>
      <c r="B197" s="1">
        <f>IFERROR(__xludf.DUMMYFUNCTION("""COMPUTED_VALUE"""),71.14)</f>
        <v>71.14</v>
      </c>
      <c r="C197" s="1">
        <f>IFERROR(__xludf.DUMMYFUNCTION("""COMPUTED_VALUE"""),71.54)</f>
        <v>71.54</v>
      </c>
      <c r="D197" s="1">
        <f>IFERROR(__xludf.DUMMYFUNCTION("""COMPUTED_VALUE"""),70.6)</f>
        <v>70.6</v>
      </c>
      <c r="E197" s="1">
        <f>IFERROR(__xludf.DUMMYFUNCTION("""COMPUTED_VALUE"""),70.9)</f>
        <v>70.9</v>
      </c>
      <c r="F197" s="1">
        <f>IFERROR(__xludf.DUMMYFUNCTION("""COMPUTED_VALUE"""),619515.0)</f>
        <v>619515</v>
      </c>
      <c r="G197" s="2" t="s">
        <v>1</v>
      </c>
    </row>
    <row r="198">
      <c r="A198" s="3">
        <f>IFERROR(__xludf.DUMMYFUNCTION("""COMPUTED_VALUE"""),44847.66666666667)</f>
        <v>44847.66667</v>
      </c>
      <c r="B198" s="1">
        <f>IFERROR(__xludf.DUMMYFUNCTION("""COMPUTED_VALUE"""),69.14)</f>
        <v>69.14</v>
      </c>
      <c r="C198" s="1">
        <f>IFERROR(__xludf.DUMMYFUNCTION("""COMPUTED_VALUE"""),72.81)</f>
        <v>72.81</v>
      </c>
      <c r="D198" s="1">
        <f>IFERROR(__xludf.DUMMYFUNCTION("""COMPUTED_VALUE"""),68.53)</f>
        <v>68.53</v>
      </c>
      <c r="E198" s="1">
        <f>IFERROR(__xludf.DUMMYFUNCTION("""COMPUTED_VALUE"""),72.21)</f>
        <v>72.21</v>
      </c>
      <c r="F198" s="1">
        <f>IFERROR(__xludf.DUMMYFUNCTION("""COMPUTED_VALUE"""),707885.0)</f>
        <v>707885</v>
      </c>
      <c r="G198" s="2" t="s">
        <v>1</v>
      </c>
    </row>
    <row r="199">
      <c r="A199" s="3">
        <f>IFERROR(__xludf.DUMMYFUNCTION("""COMPUTED_VALUE"""),44848.66666666667)</f>
        <v>44848.66667</v>
      </c>
      <c r="B199" s="1">
        <f>IFERROR(__xludf.DUMMYFUNCTION("""COMPUTED_VALUE"""),72.84)</f>
        <v>72.84</v>
      </c>
      <c r="C199" s="1">
        <f>IFERROR(__xludf.DUMMYFUNCTION("""COMPUTED_VALUE"""),73.23)</f>
        <v>73.23</v>
      </c>
      <c r="D199" s="1">
        <f>IFERROR(__xludf.DUMMYFUNCTION("""COMPUTED_VALUE"""),71.29)</f>
        <v>71.29</v>
      </c>
      <c r="E199" s="1">
        <f>IFERROR(__xludf.DUMMYFUNCTION("""COMPUTED_VALUE"""),71.31)</f>
        <v>71.31</v>
      </c>
      <c r="F199" s="1">
        <f>IFERROR(__xludf.DUMMYFUNCTION("""COMPUTED_VALUE"""),591535.0)</f>
        <v>591535</v>
      </c>
      <c r="G199" s="2" t="s">
        <v>1</v>
      </c>
    </row>
    <row r="200">
      <c r="A200" s="3">
        <f>IFERROR(__xludf.DUMMYFUNCTION("""COMPUTED_VALUE"""),44851.66666666667)</f>
        <v>44851.66667</v>
      </c>
      <c r="B200" s="1">
        <f>IFERROR(__xludf.DUMMYFUNCTION("""COMPUTED_VALUE"""),73.51)</f>
        <v>73.51</v>
      </c>
      <c r="C200" s="1">
        <f>IFERROR(__xludf.DUMMYFUNCTION("""COMPUTED_VALUE"""),74.24)</f>
        <v>74.24</v>
      </c>
      <c r="D200" s="1">
        <f>IFERROR(__xludf.DUMMYFUNCTION("""COMPUTED_VALUE"""),73.02)</f>
        <v>73.02</v>
      </c>
      <c r="E200" s="1">
        <f>IFERROR(__xludf.DUMMYFUNCTION("""COMPUTED_VALUE"""),73.82)</f>
        <v>73.82</v>
      </c>
      <c r="F200" s="1">
        <f>IFERROR(__xludf.DUMMYFUNCTION("""COMPUTED_VALUE"""),734955.0)</f>
        <v>734955</v>
      </c>
      <c r="G200" s="2" t="s">
        <v>1</v>
      </c>
    </row>
    <row r="201">
      <c r="A201" s="3">
        <f>IFERROR(__xludf.DUMMYFUNCTION("""COMPUTED_VALUE"""),44852.66666666667)</f>
        <v>44852.66667</v>
      </c>
      <c r="B201" s="1">
        <f>IFERROR(__xludf.DUMMYFUNCTION("""COMPUTED_VALUE"""),75.91)</f>
        <v>75.91</v>
      </c>
      <c r="C201" s="1">
        <f>IFERROR(__xludf.DUMMYFUNCTION("""COMPUTED_VALUE"""),76.09)</f>
        <v>76.09</v>
      </c>
      <c r="D201" s="1">
        <f>IFERROR(__xludf.DUMMYFUNCTION("""COMPUTED_VALUE"""),74.73)</f>
        <v>74.73</v>
      </c>
      <c r="E201" s="1">
        <f>IFERROR(__xludf.DUMMYFUNCTION("""COMPUTED_VALUE"""),75.32)</f>
        <v>75.32</v>
      </c>
      <c r="F201" s="1">
        <f>IFERROR(__xludf.DUMMYFUNCTION("""COMPUTED_VALUE"""),1006447.0)</f>
        <v>1006447</v>
      </c>
      <c r="G201" s="2" t="s">
        <v>1</v>
      </c>
    </row>
    <row r="202">
      <c r="A202" s="3">
        <f>IFERROR(__xludf.DUMMYFUNCTION("""COMPUTED_VALUE"""),44853.66666666667)</f>
        <v>44853.66667</v>
      </c>
      <c r="B202" s="1">
        <f>IFERROR(__xludf.DUMMYFUNCTION("""COMPUTED_VALUE"""),75.01)</f>
        <v>75.01</v>
      </c>
      <c r="C202" s="1">
        <f>IFERROR(__xludf.DUMMYFUNCTION("""COMPUTED_VALUE"""),75.6)</f>
        <v>75.6</v>
      </c>
      <c r="D202" s="1">
        <f>IFERROR(__xludf.DUMMYFUNCTION("""COMPUTED_VALUE"""),74.25)</f>
        <v>74.25</v>
      </c>
      <c r="E202" s="1">
        <f>IFERROR(__xludf.DUMMYFUNCTION("""COMPUTED_VALUE"""),75.36)</f>
        <v>75.36</v>
      </c>
      <c r="F202" s="1">
        <f>IFERROR(__xludf.DUMMYFUNCTION("""COMPUTED_VALUE"""),597055.0)</f>
        <v>597055</v>
      </c>
      <c r="G202" s="2" t="s">
        <v>1</v>
      </c>
    </row>
    <row r="203">
      <c r="A203" s="3">
        <f>IFERROR(__xludf.DUMMYFUNCTION("""COMPUTED_VALUE"""),44854.66666666667)</f>
        <v>44854.66667</v>
      </c>
      <c r="B203" s="1">
        <f>IFERROR(__xludf.DUMMYFUNCTION("""COMPUTED_VALUE"""),75.5)</f>
        <v>75.5</v>
      </c>
      <c r="C203" s="1">
        <f>IFERROR(__xludf.DUMMYFUNCTION("""COMPUTED_VALUE"""),76.32)</f>
        <v>76.32</v>
      </c>
      <c r="D203" s="1">
        <f>IFERROR(__xludf.DUMMYFUNCTION("""COMPUTED_VALUE"""),73.03)</f>
        <v>73.03</v>
      </c>
      <c r="E203" s="1">
        <f>IFERROR(__xludf.DUMMYFUNCTION("""COMPUTED_VALUE"""),73.67)</f>
        <v>73.67</v>
      </c>
      <c r="F203" s="1">
        <f>IFERROR(__xludf.DUMMYFUNCTION("""COMPUTED_VALUE"""),1009291.0)</f>
        <v>1009291</v>
      </c>
      <c r="G203" s="2" t="s">
        <v>1</v>
      </c>
    </row>
    <row r="204">
      <c r="A204" s="3">
        <f>IFERROR(__xludf.DUMMYFUNCTION("""COMPUTED_VALUE"""),44855.66666666667)</f>
        <v>44855.66667</v>
      </c>
      <c r="B204" s="1">
        <f>IFERROR(__xludf.DUMMYFUNCTION("""COMPUTED_VALUE"""),76.83)</f>
        <v>76.83</v>
      </c>
      <c r="C204" s="1">
        <f>IFERROR(__xludf.DUMMYFUNCTION("""COMPUTED_VALUE"""),76.97)</f>
        <v>76.97</v>
      </c>
      <c r="D204" s="1">
        <f>IFERROR(__xludf.DUMMYFUNCTION("""COMPUTED_VALUE"""),73.3)</f>
        <v>73.3</v>
      </c>
      <c r="E204" s="1">
        <f>IFERROR(__xludf.DUMMYFUNCTION("""COMPUTED_VALUE"""),76.69)</f>
        <v>76.69</v>
      </c>
      <c r="F204" s="1">
        <f>IFERROR(__xludf.DUMMYFUNCTION("""COMPUTED_VALUE"""),1308489.0)</f>
        <v>1308489</v>
      </c>
      <c r="G204" s="2" t="s">
        <v>1</v>
      </c>
    </row>
    <row r="205">
      <c r="A205" s="3">
        <f>IFERROR(__xludf.DUMMYFUNCTION("""COMPUTED_VALUE"""),44858.66666666667)</f>
        <v>44858.66667</v>
      </c>
      <c r="B205" s="1">
        <f>IFERROR(__xludf.DUMMYFUNCTION("""COMPUTED_VALUE"""),77.85)</f>
        <v>77.85</v>
      </c>
      <c r="C205" s="1">
        <f>IFERROR(__xludf.DUMMYFUNCTION("""COMPUTED_VALUE"""),79.43)</f>
        <v>79.43</v>
      </c>
      <c r="D205" s="1">
        <f>IFERROR(__xludf.DUMMYFUNCTION("""COMPUTED_VALUE"""),77.08)</f>
        <v>77.08</v>
      </c>
      <c r="E205" s="1">
        <f>IFERROR(__xludf.DUMMYFUNCTION("""COMPUTED_VALUE"""),79.19)</f>
        <v>79.19</v>
      </c>
      <c r="F205" s="1">
        <f>IFERROR(__xludf.DUMMYFUNCTION("""COMPUTED_VALUE"""),1284733.0)</f>
        <v>1284733</v>
      </c>
      <c r="G205" s="2" t="s">
        <v>1</v>
      </c>
    </row>
    <row r="206">
      <c r="A206" s="3">
        <f>IFERROR(__xludf.DUMMYFUNCTION("""COMPUTED_VALUE"""),44859.66666666667)</f>
        <v>44859.66667</v>
      </c>
      <c r="B206" s="1">
        <f>IFERROR(__xludf.DUMMYFUNCTION("""COMPUTED_VALUE"""),78.85)</f>
        <v>78.85</v>
      </c>
      <c r="C206" s="1">
        <f>IFERROR(__xludf.DUMMYFUNCTION("""COMPUTED_VALUE"""),80.13)</f>
        <v>80.13</v>
      </c>
      <c r="D206" s="1">
        <f>IFERROR(__xludf.DUMMYFUNCTION("""COMPUTED_VALUE"""),78.79)</f>
        <v>78.79</v>
      </c>
      <c r="E206" s="1">
        <f>IFERROR(__xludf.DUMMYFUNCTION("""COMPUTED_VALUE"""),79.9)</f>
        <v>79.9</v>
      </c>
      <c r="F206" s="1">
        <f>IFERROR(__xludf.DUMMYFUNCTION("""COMPUTED_VALUE"""),901142.0)</f>
        <v>901142</v>
      </c>
      <c r="G206" s="2" t="s">
        <v>1</v>
      </c>
    </row>
    <row r="207">
      <c r="A207" s="3">
        <f>IFERROR(__xludf.DUMMYFUNCTION("""COMPUTED_VALUE"""),44860.66666666667)</f>
        <v>44860.66667</v>
      </c>
      <c r="B207" s="1">
        <f>IFERROR(__xludf.DUMMYFUNCTION("""COMPUTED_VALUE"""),79.79)</f>
        <v>79.79</v>
      </c>
      <c r="C207" s="1">
        <f>IFERROR(__xludf.DUMMYFUNCTION("""COMPUTED_VALUE"""),81.43)</f>
        <v>81.43</v>
      </c>
      <c r="D207" s="1">
        <f>IFERROR(__xludf.DUMMYFUNCTION("""COMPUTED_VALUE"""),79.4)</f>
        <v>79.4</v>
      </c>
      <c r="E207" s="1">
        <f>IFERROR(__xludf.DUMMYFUNCTION("""COMPUTED_VALUE"""),79.42)</f>
        <v>79.42</v>
      </c>
      <c r="F207" s="1">
        <f>IFERROR(__xludf.DUMMYFUNCTION("""COMPUTED_VALUE"""),732518.0)</f>
        <v>732518</v>
      </c>
      <c r="G207" s="2" t="s">
        <v>1</v>
      </c>
    </row>
    <row r="208">
      <c r="A208" s="3">
        <f>IFERROR(__xludf.DUMMYFUNCTION("""COMPUTED_VALUE"""),44861.66666666667)</f>
        <v>44861.66667</v>
      </c>
      <c r="B208" s="1">
        <f>IFERROR(__xludf.DUMMYFUNCTION("""COMPUTED_VALUE"""),80.16)</f>
        <v>80.16</v>
      </c>
      <c r="C208" s="1">
        <f>IFERROR(__xludf.DUMMYFUNCTION("""COMPUTED_VALUE"""),81.1)</f>
        <v>81.1</v>
      </c>
      <c r="D208" s="1">
        <f>IFERROR(__xludf.DUMMYFUNCTION("""COMPUTED_VALUE"""),79.23)</f>
        <v>79.23</v>
      </c>
      <c r="E208" s="1">
        <f>IFERROR(__xludf.DUMMYFUNCTION("""COMPUTED_VALUE"""),80.02)</f>
        <v>80.02</v>
      </c>
      <c r="F208" s="1">
        <f>IFERROR(__xludf.DUMMYFUNCTION("""COMPUTED_VALUE"""),819217.0)</f>
        <v>819217</v>
      </c>
      <c r="G208" s="2" t="s">
        <v>1</v>
      </c>
    </row>
    <row r="209">
      <c r="A209" s="3">
        <f>IFERROR(__xludf.DUMMYFUNCTION("""COMPUTED_VALUE"""),44862.66666666667)</f>
        <v>44862.66667</v>
      </c>
      <c r="B209" s="1">
        <f>IFERROR(__xludf.DUMMYFUNCTION("""COMPUTED_VALUE"""),78.77)</f>
        <v>78.77</v>
      </c>
      <c r="C209" s="1">
        <f>IFERROR(__xludf.DUMMYFUNCTION("""COMPUTED_VALUE"""),80.51)</f>
        <v>80.51</v>
      </c>
      <c r="D209" s="1">
        <f>IFERROR(__xludf.DUMMYFUNCTION("""COMPUTED_VALUE"""),78.77)</f>
        <v>78.77</v>
      </c>
      <c r="E209" s="1">
        <f>IFERROR(__xludf.DUMMYFUNCTION("""COMPUTED_VALUE"""),80.44)</f>
        <v>80.44</v>
      </c>
      <c r="F209" s="1">
        <f>IFERROR(__xludf.DUMMYFUNCTION("""COMPUTED_VALUE"""),546491.0)</f>
        <v>546491</v>
      </c>
      <c r="G209" s="2" t="s">
        <v>1</v>
      </c>
    </row>
    <row r="210">
      <c r="A210" s="3">
        <f>IFERROR(__xludf.DUMMYFUNCTION("""COMPUTED_VALUE"""),44865.66666666667)</f>
        <v>44865.66667</v>
      </c>
      <c r="B210" s="1">
        <f>IFERROR(__xludf.DUMMYFUNCTION("""COMPUTED_VALUE"""),79.74)</f>
        <v>79.74</v>
      </c>
      <c r="C210" s="1">
        <f>IFERROR(__xludf.DUMMYFUNCTION("""COMPUTED_VALUE"""),80.89)</f>
        <v>80.89</v>
      </c>
      <c r="D210" s="1">
        <f>IFERROR(__xludf.DUMMYFUNCTION("""COMPUTED_VALUE"""),79.53)</f>
        <v>79.53</v>
      </c>
      <c r="E210" s="1">
        <f>IFERROR(__xludf.DUMMYFUNCTION("""COMPUTED_VALUE"""),80.35)</f>
        <v>80.35</v>
      </c>
      <c r="F210" s="1">
        <f>IFERROR(__xludf.DUMMYFUNCTION("""COMPUTED_VALUE"""),619577.0)</f>
        <v>619577</v>
      </c>
      <c r="G210" s="2" t="s">
        <v>1</v>
      </c>
    </row>
    <row r="211">
      <c r="A211" s="3">
        <f>IFERROR(__xludf.DUMMYFUNCTION("""COMPUTED_VALUE"""),44866.66666666667)</f>
        <v>44866.66667</v>
      </c>
      <c r="B211" s="1">
        <f>IFERROR(__xludf.DUMMYFUNCTION("""COMPUTED_VALUE"""),81.96)</f>
        <v>81.96</v>
      </c>
      <c r="C211" s="1">
        <f>IFERROR(__xludf.DUMMYFUNCTION("""COMPUTED_VALUE"""),82.07)</f>
        <v>82.07</v>
      </c>
      <c r="D211" s="1">
        <f>IFERROR(__xludf.DUMMYFUNCTION("""COMPUTED_VALUE"""),80.66)</f>
        <v>80.66</v>
      </c>
      <c r="E211" s="1">
        <f>IFERROR(__xludf.DUMMYFUNCTION("""COMPUTED_VALUE"""),80.97)</f>
        <v>80.97</v>
      </c>
      <c r="F211" s="1">
        <f>IFERROR(__xludf.DUMMYFUNCTION("""COMPUTED_VALUE"""),380674.0)</f>
        <v>380674</v>
      </c>
      <c r="G211" s="2" t="s">
        <v>1</v>
      </c>
    </row>
    <row r="212">
      <c r="A212" s="3">
        <f>IFERROR(__xludf.DUMMYFUNCTION("""COMPUTED_VALUE"""),44867.66666666667)</f>
        <v>44867.66667</v>
      </c>
      <c r="B212" s="1">
        <f>IFERROR(__xludf.DUMMYFUNCTION("""COMPUTED_VALUE"""),80.25)</f>
        <v>80.25</v>
      </c>
      <c r="C212" s="1">
        <f>IFERROR(__xludf.DUMMYFUNCTION("""COMPUTED_VALUE"""),81.44)</f>
        <v>81.44</v>
      </c>
      <c r="D212" s="1">
        <f>IFERROR(__xludf.DUMMYFUNCTION("""COMPUTED_VALUE"""),79.06)</f>
        <v>79.06</v>
      </c>
      <c r="E212" s="1">
        <f>IFERROR(__xludf.DUMMYFUNCTION("""COMPUTED_VALUE"""),79.12)</f>
        <v>79.12</v>
      </c>
      <c r="F212" s="1">
        <f>IFERROR(__xludf.DUMMYFUNCTION("""COMPUTED_VALUE"""),496370.0)</f>
        <v>496370</v>
      </c>
      <c r="G212" s="2" t="s">
        <v>1</v>
      </c>
    </row>
    <row r="213">
      <c r="A213" s="3">
        <f>IFERROR(__xludf.DUMMYFUNCTION("""COMPUTED_VALUE"""),44868.66666666667)</f>
        <v>44868.66667</v>
      </c>
      <c r="B213" s="1">
        <f>IFERROR(__xludf.DUMMYFUNCTION("""COMPUTED_VALUE"""),76.67)</f>
        <v>76.67</v>
      </c>
      <c r="C213" s="1">
        <f>IFERROR(__xludf.DUMMYFUNCTION("""COMPUTED_VALUE"""),79.51)</f>
        <v>79.51</v>
      </c>
      <c r="D213" s="1">
        <f>IFERROR(__xludf.DUMMYFUNCTION("""COMPUTED_VALUE"""),76.54)</f>
        <v>76.54</v>
      </c>
      <c r="E213" s="1">
        <f>IFERROR(__xludf.DUMMYFUNCTION("""COMPUTED_VALUE"""),79.27)</f>
        <v>79.27</v>
      </c>
      <c r="F213" s="1">
        <f>IFERROR(__xludf.DUMMYFUNCTION("""COMPUTED_VALUE"""),718354.0)</f>
        <v>718354</v>
      </c>
      <c r="G213" s="2" t="s">
        <v>1</v>
      </c>
    </row>
    <row r="214">
      <c r="A214" s="3">
        <f>IFERROR(__xludf.DUMMYFUNCTION("""COMPUTED_VALUE"""),44869.66666666667)</f>
        <v>44869.66667</v>
      </c>
      <c r="B214" s="1">
        <f>IFERROR(__xludf.DUMMYFUNCTION("""COMPUTED_VALUE"""),81.62)</f>
        <v>81.62</v>
      </c>
      <c r="C214" s="1">
        <f>IFERROR(__xludf.DUMMYFUNCTION("""COMPUTED_VALUE"""),84.67)</f>
        <v>84.67</v>
      </c>
      <c r="D214" s="1">
        <f>IFERROR(__xludf.DUMMYFUNCTION("""COMPUTED_VALUE"""),80.1)</f>
        <v>80.1</v>
      </c>
      <c r="E214" s="1">
        <f>IFERROR(__xludf.DUMMYFUNCTION("""COMPUTED_VALUE"""),84.32)</f>
        <v>84.32</v>
      </c>
      <c r="F214" s="1">
        <f>IFERROR(__xludf.DUMMYFUNCTION("""COMPUTED_VALUE"""),793907.0)</f>
        <v>793907</v>
      </c>
      <c r="G214" s="2" t="s">
        <v>1</v>
      </c>
    </row>
    <row r="215">
      <c r="A215" s="3">
        <f>IFERROR(__xludf.DUMMYFUNCTION("""COMPUTED_VALUE"""),44872.66666666667)</f>
        <v>44872.66667</v>
      </c>
      <c r="B215" s="1">
        <f>IFERROR(__xludf.DUMMYFUNCTION("""COMPUTED_VALUE"""),84.83)</f>
        <v>84.83</v>
      </c>
      <c r="C215" s="1">
        <f>IFERROR(__xludf.DUMMYFUNCTION("""COMPUTED_VALUE"""),84.94)</f>
        <v>84.94</v>
      </c>
      <c r="D215" s="1">
        <f>IFERROR(__xludf.DUMMYFUNCTION("""COMPUTED_VALUE"""),83.19)</f>
        <v>83.19</v>
      </c>
      <c r="E215" s="1">
        <f>IFERROR(__xludf.DUMMYFUNCTION("""COMPUTED_VALUE"""),84.08)</f>
        <v>84.08</v>
      </c>
      <c r="F215" s="1">
        <f>IFERROR(__xludf.DUMMYFUNCTION("""COMPUTED_VALUE"""),393729.0)</f>
        <v>393729</v>
      </c>
      <c r="G215" s="2" t="s">
        <v>1</v>
      </c>
    </row>
    <row r="216">
      <c r="A216" s="3">
        <f>IFERROR(__xludf.DUMMYFUNCTION("""COMPUTED_VALUE"""),44873.66666666667)</f>
        <v>44873.66667</v>
      </c>
      <c r="B216" s="1">
        <f>IFERROR(__xludf.DUMMYFUNCTION("""COMPUTED_VALUE"""),84.39)</f>
        <v>84.39</v>
      </c>
      <c r="C216" s="1">
        <f>IFERROR(__xludf.DUMMYFUNCTION("""COMPUTED_VALUE"""),85.87)</f>
        <v>85.87</v>
      </c>
      <c r="D216" s="1">
        <f>IFERROR(__xludf.DUMMYFUNCTION("""COMPUTED_VALUE"""),83.63)</f>
        <v>83.63</v>
      </c>
      <c r="E216" s="1">
        <f>IFERROR(__xludf.DUMMYFUNCTION("""COMPUTED_VALUE"""),84.54)</f>
        <v>84.54</v>
      </c>
      <c r="F216" s="1">
        <f>IFERROR(__xludf.DUMMYFUNCTION("""COMPUTED_VALUE"""),619794.0)</f>
        <v>619794</v>
      </c>
      <c r="G216" s="2" t="s">
        <v>1</v>
      </c>
    </row>
    <row r="217">
      <c r="A217" s="3">
        <f>IFERROR(__xludf.DUMMYFUNCTION("""COMPUTED_VALUE"""),44874.66666666667)</f>
        <v>44874.66667</v>
      </c>
      <c r="B217" s="1">
        <f>IFERROR(__xludf.DUMMYFUNCTION("""COMPUTED_VALUE"""),83.51)</f>
        <v>83.51</v>
      </c>
      <c r="C217" s="1">
        <f>IFERROR(__xludf.DUMMYFUNCTION("""COMPUTED_VALUE"""),84.0)</f>
        <v>84</v>
      </c>
      <c r="D217" s="1">
        <f>IFERROR(__xludf.DUMMYFUNCTION("""COMPUTED_VALUE"""),81.59)</f>
        <v>81.59</v>
      </c>
      <c r="E217" s="1">
        <f>IFERROR(__xludf.DUMMYFUNCTION("""COMPUTED_VALUE"""),81.79)</f>
        <v>81.79</v>
      </c>
      <c r="F217" s="1">
        <f>IFERROR(__xludf.DUMMYFUNCTION("""COMPUTED_VALUE"""),634205.0)</f>
        <v>634205</v>
      </c>
      <c r="G217" s="2" t="s">
        <v>1</v>
      </c>
    </row>
    <row r="218">
      <c r="A218" s="3">
        <f>IFERROR(__xludf.DUMMYFUNCTION("""COMPUTED_VALUE"""),44875.66666666667)</f>
        <v>44875.66667</v>
      </c>
      <c r="B218" s="1">
        <f>IFERROR(__xludf.DUMMYFUNCTION("""COMPUTED_VALUE"""),86.23)</f>
        <v>86.23</v>
      </c>
      <c r="C218" s="1">
        <f>IFERROR(__xludf.DUMMYFUNCTION("""COMPUTED_VALUE"""),88.33)</f>
        <v>88.33</v>
      </c>
      <c r="D218" s="1">
        <f>IFERROR(__xludf.DUMMYFUNCTION("""COMPUTED_VALUE"""),86.09)</f>
        <v>86.09</v>
      </c>
      <c r="E218" s="1">
        <f>IFERROR(__xludf.DUMMYFUNCTION("""COMPUTED_VALUE"""),88.11)</f>
        <v>88.11</v>
      </c>
      <c r="F218" s="1">
        <f>IFERROR(__xludf.DUMMYFUNCTION("""COMPUTED_VALUE"""),987021.0)</f>
        <v>987021</v>
      </c>
      <c r="G218" s="2" t="s">
        <v>1</v>
      </c>
    </row>
    <row r="219">
      <c r="A219" s="3">
        <f>IFERROR(__xludf.DUMMYFUNCTION("""COMPUTED_VALUE"""),44876.66666666667)</f>
        <v>44876.66667</v>
      </c>
      <c r="B219" s="1">
        <f>IFERROR(__xludf.DUMMYFUNCTION("""COMPUTED_VALUE"""),88.28)</f>
        <v>88.28</v>
      </c>
      <c r="C219" s="1">
        <f>IFERROR(__xludf.DUMMYFUNCTION("""COMPUTED_VALUE"""),89.2)</f>
        <v>89.2</v>
      </c>
      <c r="D219" s="1">
        <f>IFERROR(__xludf.DUMMYFUNCTION("""COMPUTED_VALUE"""),87.17)</f>
        <v>87.17</v>
      </c>
      <c r="E219" s="1">
        <f>IFERROR(__xludf.DUMMYFUNCTION("""COMPUTED_VALUE"""),88.57)</f>
        <v>88.57</v>
      </c>
      <c r="F219" s="1">
        <f>IFERROR(__xludf.DUMMYFUNCTION("""COMPUTED_VALUE"""),1334420.0)</f>
        <v>1334420</v>
      </c>
      <c r="G219" s="2" t="s">
        <v>1</v>
      </c>
    </row>
    <row r="220">
      <c r="A220" s="3">
        <f>IFERROR(__xludf.DUMMYFUNCTION("""COMPUTED_VALUE"""),44879.66666666667)</f>
        <v>44879.66667</v>
      </c>
      <c r="B220" s="1">
        <f>IFERROR(__xludf.DUMMYFUNCTION("""COMPUTED_VALUE"""),86.79)</f>
        <v>86.79</v>
      </c>
      <c r="C220" s="1">
        <f>IFERROR(__xludf.DUMMYFUNCTION("""COMPUTED_VALUE"""),88.96)</f>
        <v>88.96</v>
      </c>
      <c r="D220" s="1">
        <f>IFERROR(__xludf.DUMMYFUNCTION("""COMPUTED_VALUE"""),86.57)</f>
        <v>86.57</v>
      </c>
      <c r="E220" s="1">
        <f>IFERROR(__xludf.DUMMYFUNCTION("""COMPUTED_VALUE"""),87.22)</f>
        <v>87.22</v>
      </c>
      <c r="F220" s="1">
        <f>IFERROR(__xludf.DUMMYFUNCTION("""COMPUTED_VALUE"""),932867.0)</f>
        <v>932867</v>
      </c>
      <c r="G220" s="2" t="s">
        <v>1</v>
      </c>
    </row>
    <row r="221">
      <c r="A221" s="3">
        <f>IFERROR(__xludf.DUMMYFUNCTION("""COMPUTED_VALUE"""),44880.66666666667)</f>
        <v>44880.66667</v>
      </c>
      <c r="B221" s="1">
        <f>IFERROR(__xludf.DUMMYFUNCTION("""COMPUTED_VALUE"""),88.71)</f>
        <v>88.71</v>
      </c>
      <c r="C221" s="1">
        <f>IFERROR(__xludf.DUMMYFUNCTION("""COMPUTED_VALUE"""),89.88)</f>
        <v>89.88</v>
      </c>
      <c r="D221" s="1">
        <f>IFERROR(__xludf.DUMMYFUNCTION("""COMPUTED_VALUE"""),87.36)</f>
        <v>87.36</v>
      </c>
      <c r="E221" s="1">
        <f>IFERROR(__xludf.DUMMYFUNCTION("""COMPUTED_VALUE"""),88.21)</f>
        <v>88.21</v>
      </c>
      <c r="F221" s="1">
        <f>IFERROR(__xludf.DUMMYFUNCTION("""COMPUTED_VALUE"""),610580.0)</f>
        <v>610580</v>
      </c>
      <c r="G221" s="2" t="s">
        <v>1</v>
      </c>
    </row>
    <row r="222">
      <c r="A222" s="3">
        <f>IFERROR(__xludf.DUMMYFUNCTION("""COMPUTED_VALUE"""),44881.66666666667)</f>
        <v>44881.66667</v>
      </c>
      <c r="B222" s="1">
        <f>IFERROR(__xludf.DUMMYFUNCTION("""COMPUTED_VALUE"""),86.88)</f>
        <v>86.88</v>
      </c>
      <c r="C222" s="1">
        <f>IFERROR(__xludf.DUMMYFUNCTION("""COMPUTED_VALUE"""),87.31)</f>
        <v>87.31</v>
      </c>
      <c r="D222" s="1">
        <f>IFERROR(__xludf.DUMMYFUNCTION("""COMPUTED_VALUE"""),85.8)</f>
        <v>85.8</v>
      </c>
      <c r="E222" s="1">
        <f>IFERROR(__xludf.DUMMYFUNCTION("""COMPUTED_VALUE"""),86.18)</f>
        <v>86.18</v>
      </c>
      <c r="F222" s="1">
        <f>IFERROR(__xludf.DUMMYFUNCTION("""COMPUTED_VALUE"""),602085.0)</f>
        <v>602085</v>
      </c>
      <c r="G222" s="2" t="s">
        <v>1</v>
      </c>
    </row>
    <row r="223">
      <c r="A223" s="3">
        <f>IFERROR(__xludf.DUMMYFUNCTION("""COMPUTED_VALUE"""),44882.66666666667)</f>
        <v>44882.66667</v>
      </c>
      <c r="B223" s="1">
        <f>IFERROR(__xludf.DUMMYFUNCTION("""COMPUTED_VALUE"""),84.58)</f>
        <v>84.58</v>
      </c>
      <c r="C223" s="1">
        <f>IFERROR(__xludf.DUMMYFUNCTION("""COMPUTED_VALUE"""),85.83)</f>
        <v>85.83</v>
      </c>
      <c r="D223" s="1">
        <f>IFERROR(__xludf.DUMMYFUNCTION("""COMPUTED_VALUE"""),84.01)</f>
        <v>84.01</v>
      </c>
      <c r="E223" s="1">
        <f>IFERROR(__xludf.DUMMYFUNCTION("""COMPUTED_VALUE"""),85.71)</f>
        <v>85.71</v>
      </c>
      <c r="F223" s="1">
        <f>IFERROR(__xludf.DUMMYFUNCTION("""COMPUTED_VALUE"""),509201.0)</f>
        <v>509201</v>
      </c>
      <c r="G223" s="2" t="s">
        <v>1</v>
      </c>
    </row>
    <row r="224">
      <c r="A224" s="3">
        <f>IFERROR(__xludf.DUMMYFUNCTION("""COMPUTED_VALUE"""),44883.66666666667)</f>
        <v>44883.66667</v>
      </c>
      <c r="B224" s="1">
        <f>IFERROR(__xludf.DUMMYFUNCTION("""COMPUTED_VALUE"""),87.09)</f>
        <v>87.09</v>
      </c>
      <c r="C224" s="1">
        <f>IFERROR(__xludf.DUMMYFUNCTION("""COMPUTED_VALUE"""),88.01)</f>
        <v>88.01</v>
      </c>
      <c r="D224" s="1">
        <f>IFERROR(__xludf.DUMMYFUNCTION("""COMPUTED_VALUE"""),86.63)</f>
        <v>86.63</v>
      </c>
      <c r="E224" s="1">
        <f>IFERROR(__xludf.DUMMYFUNCTION("""COMPUTED_VALUE"""),87.83)</f>
        <v>87.83</v>
      </c>
      <c r="F224" s="1">
        <f>IFERROR(__xludf.DUMMYFUNCTION("""COMPUTED_VALUE"""),591686.0)</f>
        <v>591686</v>
      </c>
      <c r="G224" s="2" t="s">
        <v>1</v>
      </c>
    </row>
    <row r="225">
      <c r="A225" s="3">
        <f>IFERROR(__xludf.DUMMYFUNCTION("""COMPUTED_VALUE"""),44886.66666666667)</f>
        <v>44886.66667</v>
      </c>
      <c r="B225" s="1">
        <f>IFERROR(__xludf.DUMMYFUNCTION("""COMPUTED_VALUE"""),86.05)</f>
        <v>86.05</v>
      </c>
      <c r="C225" s="1">
        <f>IFERROR(__xludf.DUMMYFUNCTION("""COMPUTED_VALUE"""),86.96)</f>
        <v>86.96</v>
      </c>
      <c r="D225" s="1">
        <f>IFERROR(__xludf.DUMMYFUNCTION("""COMPUTED_VALUE"""),85.81)</f>
        <v>85.81</v>
      </c>
      <c r="E225" s="1">
        <f>IFERROR(__xludf.DUMMYFUNCTION("""COMPUTED_VALUE"""),86.41)</f>
        <v>86.41</v>
      </c>
      <c r="F225" s="1">
        <f>IFERROR(__xludf.DUMMYFUNCTION("""COMPUTED_VALUE"""),589172.0)</f>
        <v>589172</v>
      </c>
      <c r="G225" s="2" t="s">
        <v>1</v>
      </c>
    </row>
    <row r="226">
      <c r="A226" s="3">
        <f>IFERROR(__xludf.DUMMYFUNCTION("""COMPUTED_VALUE"""),44887.66666666667)</f>
        <v>44887.66667</v>
      </c>
      <c r="B226" s="1">
        <f>IFERROR(__xludf.DUMMYFUNCTION("""COMPUTED_VALUE"""),86.67)</f>
        <v>86.67</v>
      </c>
      <c r="C226" s="1">
        <f>IFERROR(__xludf.DUMMYFUNCTION("""COMPUTED_VALUE"""),87.83)</f>
        <v>87.83</v>
      </c>
      <c r="D226" s="1">
        <f>IFERROR(__xludf.DUMMYFUNCTION("""COMPUTED_VALUE"""),86.42)</f>
        <v>86.42</v>
      </c>
      <c r="E226" s="1">
        <f>IFERROR(__xludf.DUMMYFUNCTION("""COMPUTED_VALUE"""),87.81)</f>
        <v>87.81</v>
      </c>
      <c r="F226" s="1">
        <f>IFERROR(__xludf.DUMMYFUNCTION("""COMPUTED_VALUE"""),644534.0)</f>
        <v>644534</v>
      </c>
      <c r="G226" s="2" t="s">
        <v>1</v>
      </c>
    </row>
    <row r="227">
      <c r="A227" s="3">
        <f>IFERROR(__xludf.DUMMYFUNCTION("""COMPUTED_VALUE"""),44888.66666666667)</f>
        <v>44888.66667</v>
      </c>
      <c r="B227" s="1">
        <f>IFERROR(__xludf.DUMMYFUNCTION("""COMPUTED_VALUE"""),87.51)</f>
        <v>87.51</v>
      </c>
      <c r="C227" s="1">
        <f>IFERROR(__xludf.DUMMYFUNCTION("""COMPUTED_VALUE"""),88.11)</f>
        <v>88.11</v>
      </c>
      <c r="D227" s="1">
        <f>IFERROR(__xludf.DUMMYFUNCTION("""COMPUTED_VALUE"""),86.81)</f>
        <v>86.81</v>
      </c>
      <c r="E227" s="1">
        <f>IFERROR(__xludf.DUMMYFUNCTION("""COMPUTED_VALUE"""),87.37)</f>
        <v>87.37</v>
      </c>
      <c r="F227" s="1">
        <f>IFERROR(__xludf.DUMMYFUNCTION("""COMPUTED_VALUE"""),405694.0)</f>
        <v>405694</v>
      </c>
      <c r="G227" s="2" t="s">
        <v>1</v>
      </c>
    </row>
    <row r="228">
      <c r="A228" s="3">
        <f>IFERROR(__xludf.DUMMYFUNCTION("""COMPUTED_VALUE"""),44890.54166666667)</f>
        <v>44890.54167</v>
      </c>
      <c r="B228" s="1">
        <f>IFERROR(__xludf.DUMMYFUNCTION("""COMPUTED_VALUE"""),87.32)</f>
        <v>87.32</v>
      </c>
      <c r="C228" s="1">
        <f>IFERROR(__xludf.DUMMYFUNCTION("""COMPUTED_VALUE"""),88.19)</f>
        <v>88.19</v>
      </c>
      <c r="D228" s="1">
        <f>IFERROR(__xludf.DUMMYFUNCTION("""COMPUTED_VALUE"""),87.02)</f>
        <v>87.02</v>
      </c>
      <c r="E228" s="1">
        <f>IFERROR(__xludf.DUMMYFUNCTION("""COMPUTED_VALUE"""),87.78)</f>
        <v>87.78</v>
      </c>
      <c r="F228" s="1">
        <f>IFERROR(__xludf.DUMMYFUNCTION("""COMPUTED_VALUE"""),159247.0)</f>
        <v>159247</v>
      </c>
      <c r="G228" s="2" t="s">
        <v>1</v>
      </c>
    </row>
    <row r="229">
      <c r="A229" s="3">
        <f>IFERROR(__xludf.DUMMYFUNCTION("""COMPUTED_VALUE"""),44893.66666666667)</f>
        <v>44893.66667</v>
      </c>
      <c r="B229" s="1">
        <f>IFERROR(__xludf.DUMMYFUNCTION("""COMPUTED_VALUE"""),86.64)</f>
        <v>86.64</v>
      </c>
      <c r="C229" s="1">
        <f>IFERROR(__xludf.DUMMYFUNCTION("""COMPUTED_VALUE"""),87.09)</f>
        <v>87.09</v>
      </c>
      <c r="D229" s="1">
        <f>IFERROR(__xludf.DUMMYFUNCTION("""COMPUTED_VALUE"""),85.78)</f>
        <v>85.78</v>
      </c>
      <c r="E229" s="1">
        <f>IFERROR(__xludf.DUMMYFUNCTION("""COMPUTED_VALUE"""),86.44)</f>
        <v>86.44</v>
      </c>
      <c r="F229" s="1">
        <f>IFERROR(__xludf.DUMMYFUNCTION("""COMPUTED_VALUE"""),785813.0)</f>
        <v>785813</v>
      </c>
      <c r="G229" s="2" t="s">
        <v>1</v>
      </c>
    </row>
    <row r="230">
      <c r="A230" s="3">
        <f>IFERROR(__xludf.DUMMYFUNCTION("""COMPUTED_VALUE"""),44894.66666666667)</f>
        <v>44894.66667</v>
      </c>
      <c r="B230" s="1">
        <f>IFERROR(__xludf.DUMMYFUNCTION("""COMPUTED_VALUE"""),87.05)</f>
        <v>87.05</v>
      </c>
      <c r="C230" s="1">
        <f>IFERROR(__xludf.DUMMYFUNCTION("""COMPUTED_VALUE"""),87.46)</f>
        <v>87.46</v>
      </c>
      <c r="D230" s="1">
        <f>IFERROR(__xludf.DUMMYFUNCTION("""COMPUTED_VALUE"""),86.15)</f>
        <v>86.15</v>
      </c>
      <c r="E230" s="1">
        <f>IFERROR(__xludf.DUMMYFUNCTION("""COMPUTED_VALUE"""),86.18)</f>
        <v>86.18</v>
      </c>
      <c r="F230" s="1">
        <f>IFERROR(__xludf.DUMMYFUNCTION("""COMPUTED_VALUE"""),562170.0)</f>
        <v>562170</v>
      </c>
      <c r="G230" s="2" t="s">
        <v>1</v>
      </c>
    </row>
    <row r="231">
      <c r="A231" s="3">
        <f>IFERROR(__xludf.DUMMYFUNCTION("""COMPUTED_VALUE"""),44895.66666666667)</f>
        <v>44895.66667</v>
      </c>
      <c r="B231" s="1">
        <f>IFERROR(__xludf.DUMMYFUNCTION("""COMPUTED_VALUE"""),87.02)</f>
        <v>87.02</v>
      </c>
      <c r="C231" s="1">
        <f>IFERROR(__xludf.DUMMYFUNCTION("""COMPUTED_VALUE"""),88.5)</f>
        <v>88.5</v>
      </c>
      <c r="D231" s="1">
        <f>IFERROR(__xludf.DUMMYFUNCTION("""COMPUTED_VALUE"""),85.91)</f>
        <v>85.91</v>
      </c>
      <c r="E231" s="1">
        <f>IFERROR(__xludf.DUMMYFUNCTION("""COMPUTED_VALUE"""),88.4)</f>
        <v>88.4</v>
      </c>
      <c r="F231" s="1">
        <f>IFERROR(__xludf.DUMMYFUNCTION("""COMPUTED_VALUE"""),619168.0)</f>
        <v>619168</v>
      </c>
      <c r="G231" s="2" t="s">
        <v>1</v>
      </c>
    </row>
    <row r="232">
      <c r="A232" s="3">
        <f>IFERROR(__xludf.DUMMYFUNCTION("""COMPUTED_VALUE"""),44896.66666666667)</f>
        <v>44896.66667</v>
      </c>
      <c r="B232" s="1">
        <f>IFERROR(__xludf.DUMMYFUNCTION("""COMPUTED_VALUE"""),88.54)</f>
        <v>88.54</v>
      </c>
      <c r="C232" s="1">
        <f>IFERROR(__xludf.DUMMYFUNCTION("""COMPUTED_VALUE"""),88.99)</f>
        <v>88.99</v>
      </c>
      <c r="D232" s="1">
        <f>IFERROR(__xludf.DUMMYFUNCTION("""COMPUTED_VALUE"""),86.72)</f>
        <v>86.72</v>
      </c>
      <c r="E232" s="1">
        <f>IFERROR(__xludf.DUMMYFUNCTION("""COMPUTED_VALUE"""),86.88)</f>
        <v>86.88</v>
      </c>
      <c r="F232" s="1">
        <f>IFERROR(__xludf.DUMMYFUNCTION("""COMPUTED_VALUE"""),662602.0)</f>
        <v>662602</v>
      </c>
      <c r="G232" s="2" t="s">
        <v>1</v>
      </c>
    </row>
    <row r="233">
      <c r="A233" s="3">
        <f>IFERROR(__xludf.DUMMYFUNCTION("""COMPUTED_VALUE"""),44897.66666666667)</f>
        <v>44897.66667</v>
      </c>
      <c r="B233" s="1">
        <f>IFERROR(__xludf.DUMMYFUNCTION("""COMPUTED_VALUE"""),86.3)</f>
        <v>86.3</v>
      </c>
      <c r="C233" s="1">
        <f>IFERROR(__xludf.DUMMYFUNCTION("""COMPUTED_VALUE"""),86.89)</f>
        <v>86.89</v>
      </c>
      <c r="D233" s="1">
        <f>IFERROR(__xludf.DUMMYFUNCTION("""COMPUTED_VALUE"""),85.02)</f>
        <v>85.02</v>
      </c>
      <c r="E233" s="1">
        <f>IFERROR(__xludf.DUMMYFUNCTION("""COMPUTED_VALUE"""),85.9)</f>
        <v>85.9</v>
      </c>
      <c r="F233" s="1">
        <f>IFERROR(__xludf.DUMMYFUNCTION("""COMPUTED_VALUE"""),884422.0)</f>
        <v>884422</v>
      </c>
      <c r="G233" s="2" t="s">
        <v>1</v>
      </c>
    </row>
    <row r="234">
      <c r="A234" s="3">
        <f>IFERROR(__xludf.DUMMYFUNCTION("""COMPUTED_VALUE"""),44900.66666666667)</f>
        <v>44900.66667</v>
      </c>
      <c r="B234" s="1">
        <f>IFERROR(__xludf.DUMMYFUNCTION("""COMPUTED_VALUE"""),84.82)</f>
        <v>84.82</v>
      </c>
      <c r="C234" s="1">
        <f>IFERROR(__xludf.DUMMYFUNCTION("""COMPUTED_VALUE"""),85.01)</f>
        <v>85.01</v>
      </c>
      <c r="D234" s="1">
        <f>IFERROR(__xludf.DUMMYFUNCTION("""COMPUTED_VALUE"""),83.81)</f>
        <v>83.81</v>
      </c>
      <c r="E234" s="1">
        <f>IFERROR(__xludf.DUMMYFUNCTION("""COMPUTED_VALUE"""),83.96)</f>
        <v>83.96</v>
      </c>
      <c r="F234" s="1">
        <f>IFERROR(__xludf.DUMMYFUNCTION("""COMPUTED_VALUE"""),431698.0)</f>
        <v>431698</v>
      </c>
      <c r="G234" s="2" t="s">
        <v>1</v>
      </c>
    </row>
    <row r="235">
      <c r="A235" s="3">
        <f>IFERROR(__xludf.DUMMYFUNCTION("""COMPUTED_VALUE"""),44901.66666666667)</f>
        <v>44901.66667</v>
      </c>
      <c r="B235" s="1">
        <f>IFERROR(__xludf.DUMMYFUNCTION("""COMPUTED_VALUE"""),83.99)</f>
        <v>83.99</v>
      </c>
      <c r="C235" s="1">
        <f>IFERROR(__xludf.DUMMYFUNCTION("""COMPUTED_VALUE"""),84.4)</f>
        <v>84.4</v>
      </c>
      <c r="D235" s="1">
        <f>IFERROR(__xludf.DUMMYFUNCTION("""COMPUTED_VALUE"""),82.89)</f>
        <v>82.89</v>
      </c>
      <c r="E235" s="1">
        <f>IFERROR(__xludf.DUMMYFUNCTION("""COMPUTED_VALUE"""),84.01)</f>
        <v>84.01</v>
      </c>
      <c r="F235" s="1">
        <f>IFERROR(__xludf.DUMMYFUNCTION("""COMPUTED_VALUE"""),569990.0)</f>
        <v>569990</v>
      </c>
      <c r="G235" s="2" t="s">
        <v>1</v>
      </c>
    </row>
    <row r="236">
      <c r="A236" s="3">
        <f>IFERROR(__xludf.DUMMYFUNCTION("""COMPUTED_VALUE"""),44902.66666666667)</f>
        <v>44902.66667</v>
      </c>
      <c r="B236" s="1">
        <f>IFERROR(__xludf.DUMMYFUNCTION("""COMPUTED_VALUE"""),82.07)</f>
        <v>82.07</v>
      </c>
      <c r="C236" s="1">
        <f>IFERROR(__xludf.DUMMYFUNCTION("""COMPUTED_VALUE"""),82.73)</f>
        <v>82.73</v>
      </c>
      <c r="D236" s="1">
        <f>IFERROR(__xludf.DUMMYFUNCTION("""COMPUTED_VALUE"""),81.12)</f>
        <v>81.12</v>
      </c>
      <c r="E236" s="1">
        <f>IFERROR(__xludf.DUMMYFUNCTION("""COMPUTED_VALUE"""),81.39)</f>
        <v>81.39</v>
      </c>
      <c r="F236" s="1">
        <f>IFERROR(__xludf.DUMMYFUNCTION("""COMPUTED_VALUE"""),720672.0)</f>
        <v>720672</v>
      </c>
      <c r="G236" s="2" t="s">
        <v>1</v>
      </c>
    </row>
    <row r="237">
      <c r="A237" s="3">
        <f>IFERROR(__xludf.DUMMYFUNCTION("""COMPUTED_VALUE"""),44903.66666666667)</f>
        <v>44903.66667</v>
      </c>
      <c r="B237" s="1">
        <f>IFERROR(__xludf.DUMMYFUNCTION("""COMPUTED_VALUE"""),81.54)</f>
        <v>81.54</v>
      </c>
      <c r="C237" s="1">
        <f>IFERROR(__xludf.DUMMYFUNCTION("""COMPUTED_VALUE"""),81.79)</f>
        <v>81.79</v>
      </c>
      <c r="D237" s="1">
        <f>IFERROR(__xludf.DUMMYFUNCTION("""COMPUTED_VALUE"""),80.37)</f>
        <v>80.37</v>
      </c>
      <c r="E237" s="1">
        <f>IFERROR(__xludf.DUMMYFUNCTION("""COMPUTED_VALUE"""),81.33)</f>
        <v>81.33</v>
      </c>
      <c r="F237" s="1">
        <f>IFERROR(__xludf.DUMMYFUNCTION("""COMPUTED_VALUE"""),583520.0)</f>
        <v>583520</v>
      </c>
      <c r="G237" s="2" t="s">
        <v>1</v>
      </c>
    </row>
    <row r="238">
      <c r="A238" s="3">
        <f>IFERROR(__xludf.DUMMYFUNCTION("""COMPUTED_VALUE"""),44904.66666666667)</f>
        <v>44904.66667</v>
      </c>
      <c r="B238" s="1">
        <f>IFERROR(__xludf.DUMMYFUNCTION("""COMPUTED_VALUE"""),80.71)</f>
        <v>80.71</v>
      </c>
      <c r="C238" s="1">
        <f>IFERROR(__xludf.DUMMYFUNCTION("""COMPUTED_VALUE"""),80.84)</f>
        <v>80.84</v>
      </c>
      <c r="D238" s="1">
        <f>IFERROR(__xludf.DUMMYFUNCTION("""COMPUTED_VALUE"""),79.42)</f>
        <v>79.42</v>
      </c>
      <c r="E238" s="1">
        <f>IFERROR(__xludf.DUMMYFUNCTION("""COMPUTED_VALUE"""),79.84)</f>
        <v>79.84</v>
      </c>
      <c r="F238" s="1">
        <f>IFERROR(__xludf.DUMMYFUNCTION("""COMPUTED_VALUE"""),855532.0)</f>
        <v>855532</v>
      </c>
      <c r="G238" s="2" t="s">
        <v>1</v>
      </c>
    </row>
    <row r="239">
      <c r="A239" s="3">
        <f>IFERROR(__xludf.DUMMYFUNCTION("""COMPUTED_VALUE"""),44907.66666666667)</f>
        <v>44907.66667</v>
      </c>
      <c r="B239" s="1">
        <f>IFERROR(__xludf.DUMMYFUNCTION("""COMPUTED_VALUE"""),79.61)</f>
        <v>79.61</v>
      </c>
      <c r="C239" s="1">
        <f>IFERROR(__xludf.DUMMYFUNCTION("""COMPUTED_VALUE"""),81.59)</f>
        <v>81.59</v>
      </c>
      <c r="D239" s="1">
        <f>IFERROR(__xludf.DUMMYFUNCTION("""COMPUTED_VALUE"""),79.13)</f>
        <v>79.13</v>
      </c>
      <c r="E239" s="1">
        <f>IFERROR(__xludf.DUMMYFUNCTION("""COMPUTED_VALUE"""),81.56)</f>
        <v>81.56</v>
      </c>
      <c r="F239" s="1">
        <f>IFERROR(__xludf.DUMMYFUNCTION("""COMPUTED_VALUE"""),885464.0)</f>
        <v>885464</v>
      </c>
      <c r="G239" s="2" t="s">
        <v>1</v>
      </c>
    </row>
    <row r="240">
      <c r="A240" s="3">
        <f>IFERROR(__xludf.DUMMYFUNCTION("""COMPUTED_VALUE"""),44908.66666666667)</f>
        <v>44908.66667</v>
      </c>
      <c r="B240" s="1">
        <f>IFERROR(__xludf.DUMMYFUNCTION("""COMPUTED_VALUE"""),82.87)</f>
        <v>82.87</v>
      </c>
      <c r="C240" s="1">
        <f>IFERROR(__xludf.DUMMYFUNCTION("""COMPUTED_VALUE"""),83.28)</f>
        <v>83.28</v>
      </c>
      <c r="D240" s="1">
        <f>IFERROR(__xludf.DUMMYFUNCTION("""COMPUTED_VALUE"""),80.03)</f>
        <v>80.03</v>
      </c>
      <c r="E240" s="1">
        <f>IFERROR(__xludf.DUMMYFUNCTION("""COMPUTED_VALUE"""),81.27)</f>
        <v>81.27</v>
      </c>
      <c r="F240" s="1">
        <f>IFERROR(__xludf.DUMMYFUNCTION("""COMPUTED_VALUE"""),852931.0)</f>
        <v>852931</v>
      </c>
      <c r="G240" s="2" t="s">
        <v>1</v>
      </c>
    </row>
    <row r="241">
      <c r="A241" s="3">
        <f>IFERROR(__xludf.DUMMYFUNCTION("""COMPUTED_VALUE"""),44909.66666666667)</f>
        <v>44909.66667</v>
      </c>
      <c r="B241" s="1">
        <f>IFERROR(__xludf.DUMMYFUNCTION("""COMPUTED_VALUE"""),80.61)</f>
        <v>80.61</v>
      </c>
      <c r="C241" s="1">
        <f>IFERROR(__xludf.DUMMYFUNCTION("""COMPUTED_VALUE"""),81.68)</f>
        <v>81.68</v>
      </c>
      <c r="D241" s="1">
        <f>IFERROR(__xludf.DUMMYFUNCTION("""COMPUTED_VALUE"""),80.11)</f>
        <v>80.11</v>
      </c>
      <c r="E241" s="1">
        <f>IFERROR(__xludf.DUMMYFUNCTION("""COMPUTED_VALUE"""),80.41)</f>
        <v>80.41</v>
      </c>
      <c r="F241" s="1">
        <f>IFERROR(__xludf.DUMMYFUNCTION("""COMPUTED_VALUE"""),623120.0)</f>
        <v>623120</v>
      </c>
      <c r="G241" s="2" t="s">
        <v>1</v>
      </c>
    </row>
    <row r="242">
      <c r="A242" s="3">
        <f>IFERROR(__xludf.DUMMYFUNCTION("""COMPUTED_VALUE"""),44910.66666666667)</f>
        <v>44910.66667</v>
      </c>
      <c r="B242" s="1">
        <f>IFERROR(__xludf.DUMMYFUNCTION("""COMPUTED_VALUE"""),79.48)</f>
        <v>79.48</v>
      </c>
      <c r="C242" s="1">
        <f>IFERROR(__xludf.DUMMYFUNCTION("""COMPUTED_VALUE"""),79.49)</f>
        <v>79.49</v>
      </c>
      <c r="D242" s="1">
        <f>IFERROR(__xludf.DUMMYFUNCTION("""COMPUTED_VALUE"""),78.04)</f>
        <v>78.04</v>
      </c>
      <c r="E242" s="1">
        <f>IFERROR(__xludf.DUMMYFUNCTION("""COMPUTED_VALUE"""),78.55)</f>
        <v>78.55</v>
      </c>
      <c r="F242" s="1">
        <f>IFERROR(__xludf.DUMMYFUNCTION("""COMPUTED_VALUE"""),563971.0)</f>
        <v>563971</v>
      </c>
      <c r="G242" s="2" t="s">
        <v>1</v>
      </c>
    </row>
    <row r="243">
      <c r="A243" s="3">
        <f>IFERROR(__xludf.DUMMYFUNCTION("""COMPUTED_VALUE"""),44911.66666666667)</f>
        <v>44911.66667</v>
      </c>
      <c r="B243" s="1">
        <f>IFERROR(__xludf.DUMMYFUNCTION("""COMPUTED_VALUE"""),77.58)</f>
        <v>77.58</v>
      </c>
      <c r="C243" s="1">
        <f>IFERROR(__xludf.DUMMYFUNCTION("""COMPUTED_VALUE"""),77.8)</f>
        <v>77.8</v>
      </c>
      <c r="D243" s="1">
        <f>IFERROR(__xludf.DUMMYFUNCTION("""COMPUTED_VALUE"""),75.83)</f>
        <v>75.83</v>
      </c>
      <c r="E243" s="1">
        <f>IFERROR(__xludf.DUMMYFUNCTION("""COMPUTED_VALUE"""),76.11)</f>
        <v>76.11</v>
      </c>
      <c r="F243" s="1">
        <f>IFERROR(__xludf.DUMMYFUNCTION("""COMPUTED_VALUE"""),810289.0)</f>
        <v>810289</v>
      </c>
      <c r="G243" s="2" t="s">
        <v>1</v>
      </c>
    </row>
    <row r="244">
      <c r="A244" s="3">
        <f>IFERROR(__xludf.DUMMYFUNCTION("""COMPUTED_VALUE"""),44914.66666666667)</f>
        <v>44914.66667</v>
      </c>
      <c r="B244" s="1">
        <f>IFERROR(__xludf.DUMMYFUNCTION("""COMPUTED_VALUE"""),76.22)</f>
        <v>76.22</v>
      </c>
      <c r="C244" s="1">
        <f>IFERROR(__xludf.DUMMYFUNCTION("""COMPUTED_VALUE"""),76.56)</f>
        <v>76.56</v>
      </c>
      <c r="D244" s="1">
        <f>IFERROR(__xludf.DUMMYFUNCTION("""COMPUTED_VALUE"""),74.99)</f>
        <v>74.99</v>
      </c>
      <c r="E244" s="1">
        <f>IFERROR(__xludf.DUMMYFUNCTION("""COMPUTED_VALUE"""),75.7)</f>
        <v>75.7</v>
      </c>
      <c r="F244" s="1">
        <f>IFERROR(__xludf.DUMMYFUNCTION("""COMPUTED_VALUE"""),536103.0)</f>
        <v>536103</v>
      </c>
      <c r="G244" s="2" t="s">
        <v>1</v>
      </c>
    </row>
    <row r="245">
      <c r="A245" s="3">
        <f>IFERROR(__xludf.DUMMYFUNCTION("""COMPUTED_VALUE"""),44915.66666666667)</f>
        <v>44915.66667</v>
      </c>
      <c r="B245" s="1">
        <f>IFERROR(__xludf.DUMMYFUNCTION("""COMPUTED_VALUE"""),75.26)</f>
        <v>75.26</v>
      </c>
      <c r="C245" s="1">
        <f>IFERROR(__xludf.DUMMYFUNCTION("""COMPUTED_VALUE"""),76.4)</f>
        <v>76.4</v>
      </c>
      <c r="D245" s="1">
        <f>IFERROR(__xludf.DUMMYFUNCTION("""COMPUTED_VALUE"""),75.18)</f>
        <v>75.18</v>
      </c>
      <c r="E245" s="1">
        <f>IFERROR(__xludf.DUMMYFUNCTION("""COMPUTED_VALUE"""),76.29)</f>
        <v>76.29</v>
      </c>
      <c r="F245" s="1">
        <f>IFERROR(__xludf.DUMMYFUNCTION("""COMPUTED_VALUE"""),523850.0)</f>
        <v>523850</v>
      </c>
      <c r="G245" s="2" t="s">
        <v>1</v>
      </c>
    </row>
    <row r="246">
      <c r="A246" s="3">
        <f>IFERROR(__xludf.DUMMYFUNCTION("""COMPUTED_VALUE"""),44916.66666666667)</f>
        <v>44916.66667</v>
      </c>
      <c r="B246" s="1">
        <f>IFERROR(__xludf.DUMMYFUNCTION("""COMPUTED_VALUE"""),76.47)</f>
        <v>76.47</v>
      </c>
      <c r="C246" s="1">
        <f>IFERROR(__xludf.DUMMYFUNCTION("""COMPUTED_VALUE"""),77.15)</f>
        <v>77.15</v>
      </c>
      <c r="D246" s="1">
        <f>IFERROR(__xludf.DUMMYFUNCTION("""COMPUTED_VALUE"""),75.53)</f>
        <v>75.53</v>
      </c>
      <c r="E246" s="1">
        <f>IFERROR(__xludf.DUMMYFUNCTION("""COMPUTED_VALUE"""),76.56)</f>
        <v>76.56</v>
      </c>
      <c r="F246" s="1">
        <f>IFERROR(__xludf.DUMMYFUNCTION("""COMPUTED_VALUE"""),677923.0)</f>
        <v>677923</v>
      </c>
      <c r="G246" s="2" t="s">
        <v>1</v>
      </c>
    </row>
    <row r="247">
      <c r="A247" s="3">
        <f>IFERROR(__xludf.DUMMYFUNCTION("""COMPUTED_VALUE"""),44917.66666666667)</f>
        <v>44917.66667</v>
      </c>
      <c r="B247" s="1">
        <f>IFERROR(__xludf.DUMMYFUNCTION("""COMPUTED_VALUE"""),75.97)</f>
        <v>75.97</v>
      </c>
      <c r="C247" s="1">
        <f>IFERROR(__xludf.DUMMYFUNCTION("""COMPUTED_VALUE"""),76.25)</f>
        <v>76.25</v>
      </c>
      <c r="D247" s="1">
        <f>IFERROR(__xludf.DUMMYFUNCTION("""COMPUTED_VALUE"""),73.66)</f>
        <v>73.66</v>
      </c>
      <c r="E247" s="1">
        <f>IFERROR(__xludf.DUMMYFUNCTION("""COMPUTED_VALUE"""),74.51)</f>
        <v>74.51</v>
      </c>
      <c r="F247" s="1">
        <f>IFERROR(__xludf.DUMMYFUNCTION("""COMPUTED_VALUE"""),746611.0)</f>
        <v>746611</v>
      </c>
      <c r="G247" s="2" t="s">
        <v>1</v>
      </c>
    </row>
    <row r="248">
      <c r="A248" s="3">
        <f>IFERROR(__xludf.DUMMYFUNCTION("""COMPUTED_VALUE"""),44918.66666666667)</f>
        <v>44918.66667</v>
      </c>
      <c r="B248" s="1">
        <f>IFERROR(__xludf.DUMMYFUNCTION("""COMPUTED_VALUE"""),74.11)</f>
        <v>74.11</v>
      </c>
      <c r="C248" s="1">
        <f>IFERROR(__xludf.DUMMYFUNCTION("""COMPUTED_VALUE"""),74.6)</f>
        <v>74.6</v>
      </c>
      <c r="D248" s="1">
        <f>IFERROR(__xludf.DUMMYFUNCTION("""COMPUTED_VALUE"""),73.89)</f>
        <v>73.89</v>
      </c>
      <c r="E248" s="1">
        <f>IFERROR(__xludf.DUMMYFUNCTION("""COMPUTED_VALUE"""),74.57)</f>
        <v>74.57</v>
      </c>
      <c r="F248" s="1">
        <f>IFERROR(__xludf.DUMMYFUNCTION("""COMPUTED_VALUE"""),611533.0)</f>
        <v>611533</v>
      </c>
      <c r="G248" s="2" t="s">
        <v>1</v>
      </c>
    </row>
    <row r="249">
      <c r="A249" s="3">
        <f>IFERROR(__xludf.DUMMYFUNCTION("""COMPUTED_VALUE"""),44922.66666666667)</f>
        <v>44922.66667</v>
      </c>
      <c r="B249" s="1">
        <f>IFERROR(__xludf.DUMMYFUNCTION("""COMPUTED_VALUE"""),75.25)</f>
        <v>75.25</v>
      </c>
      <c r="C249" s="1">
        <f>IFERROR(__xludf.DUMMYFUNCTION("""COMPUTED_VALUE"""),75.84)</f>
        <v>75.84</v>
      </c>
      <c r="D249" s="1">
        <f>IFERROR(__xludf.DUMMYFUNCTION("""COMPUTED_VALUE"""),74.86)</f>
        <v>74.86</v>
      </c>
      <c r="E249" s="1">
        <f>IFERROR(__xludf.DUMMYFUNCTION("""COMPUTED_VALUE"""),75.54)</f>
        <v>75.54</v>
      </c>
      <c r="F249" s="1">
        <f>IFERROR(__xludf.DUMMYFUNCTION("""COMPUTED_VALUE"""),447786.0)</f>
        <v>447786</v>
      </c>
      <c r="G249" s="2" t="s">
        <v>1</v>
      </c>
    </row>
    <row r="250">
      <c r="A250" s="3">
        <f>IFERROR(__xludf.DUMMYFUNCTION("""COMPUTED_VALUE"""),44923.66666666667)</f>
        <v>44923.66667</v>
      </c>
      <c r="B250" s="1">
        <f>IFERROR(__xludf.DUMMYFUNCTION("""COMPUTED_VALUE"""),76.09)</f>
        <v>76.09</v>
      </c>
      <c r="C250" s="1">
        <f>IFERROR(__xludf.DUMMYFUNCTION("""COMPUTED_VALUE"""),76.59)</f>
        <v>76.59</v>
      </c>
      <c r="D250" s="1">
        <f>IFERROR(__xludf.DUMMYFUNCTION("""COMPUTED_VALUE"""),75.07)</f>
        <v>75.07</v>
      </c>
      <c r="E250" s="1">
        <f>IFERROR(__xludf.DUMMYFUNCTION("""COMPUTED_VALUE"""),75.11)</f>
        <v>75.11</v>
      </c>
      <c r="F250" s="1">
        <f>IFERROR(__xludf.DUMMYFUNCTION("""COMPUTED_VALUE"""),438212.0)</f>
        <v>438212</v>
      </c>
      <c r="G250" s="2" t="s">
        <v>1</v>
      </c>
    </row>
    <row r="251">
      <c r="A251" s="3">
        <f>IFERROR(__xludf.DUMMYFUNCTION("""COMPUTED_VALUE"""),44924.66666666667)</f>
        <v>44924.66667</v>
      </c>
      <c r="B251" s="1">
        <f>IFERROR(__xludf.DUMMYFUNCTION("""COMPUTED_VALUE"""),76.65)</f>
        <v>76.65</v>
      </c>
      <c r="C251" s="1">
        <f>IFERROR(__xludf.DUMMYFUNCTION("""COMPUTED_VALUE"""),77.74)</f>
        <v>77.74</v>
      </c>
      <c r="D251" s="1">
        <f>IFERROR(__xludf.DUMMYFUNCTION("""COMPUTED_VALUE"""),76.65)</f>
        <v>76.65</v>
      </c>
      <c r="E251" s="1">
        <f>IFERROR(__xludf.DUMMYFUNCTION("""COMPUTED_VALUE"""),77.56)</f>
        <v>77.56</v>
      </c>
      <c r="F251" s="1">
        <f>IFERROR(__xludf.DUMMYFUNCTION("""COMPUTED_VALUE"""),352489.0)</f>
        <v>352489</v>
      </c>
      <c r="G251" s="2" t="s">
        <v>1</v>
      </c>
    </row>
    <row r="252">
      <c r="A252" s="3">
        <f>IFERROR(__xludf.DUMMYFUNCTION("""COMPUTED_VALUE"""),44925.66666666667)</f>
        <v>44925.66667</v>
      </c>
      <c r="B252" s="1">
        <f>IFERROR(__xludf.DUMMYFUNCTION("""COMPUTED_VALUE"""),76.95)</f>
        <v>76.95</v>
      </c>
      <c r="C252" s="1">
        <f>IFERROR(__xludf.DUMMYFUNCTION("""COMPUTED_VALUE"""),77.11)</f>
        <v>77.11</v>
      </c>
      <c r="D252" s="1">
        <f>IFERROR(__xludf.DUMMYFUNCTION("""COMPUTED_VALUE"""),76.05)</f>
        <v>76.05</v>
      </c>
      <c r="E252" s="1">
        <f>IFERROR(__xludf.DUMMYFUNCTION("""COMPUTED_VALUE"""),76.58)</f>
        <v>76.58</v>
      </c>
      <c r="F252" s="1">
        <f>IFERROR(__xludf.DUMMYFUNCTION("""COMPUTED_VALUE"""),328850.0)</f>
        <v>328850</v>
      </c>
      <c r="G252" s="2" t="s">
        <v>1</v>
      </c>
    </row>
    <row r="253">
      <c r="A253" s="3">
        <f>IFERROR(__xludf.DUMMYFUNCTION("""COMPUTED_VALUE"""),44929.66666666667)</f>
        <v>44929.66667</v>
      </c>
      <c r="B253" s="1">
        <f>IFERROR(__xludf.DUMMYFUNCTION("""COMPUTED_VALUE"""),78.26)</f>
        <v>78.26</v>
      </c>
      <c r="C253" s="1">
        <f>IFERROR(__xludf.DUMMYFUNCTION("""COMPUTED_VALUE"""),78.88)</f>
        <v>78.88</v>
      </c>
      <c r="D253" s="1">
        <f>IFERROR(__xludf.DUMMYFUNCTION("""COMPUTED_VALUE"""),76.94)</f>
        <v>76.94</v>
      </c>
      <c r="E253" s="1">
        <f>IFERROR(__xludf.DUMMYFUNCTION("""COMPUTED_VALUE"""),77.55)</f>
        <v>77.55</v>
      </c>
      <c r="F253" s="1">
        <f>IFERROR(__xludf.DUMMYFUNCTION("""COMPUTED_VALUE"""),758280.0)</f>
        <v>758280</v>
      </c>
      <c r="G253" s="2" t="s">
        <v>1</v>
      </c>
    </row>
    <row r="254">
      <c r="A254" s="3">
        <f>IFERROR(__xludf.DUMMYFUNCTION("""COMPUTED_VALUE"""),44930.66666666667)</f>
        <v>44930.66667</v>
      </c>
      <c r="B254" s="1">
        <f>IFERROR(__xludf.DUMMYFUNCTION("""COMPUTED_VALUE"""),77.9)</f>
        <v>77.9</v>
      </c>
      <c r="C254" s="1">
        <f>IFERROR(__xludf.DUMMYFUNCTION("""COMPUTED_VALUE"""),78.88)</f>
        <v>78.88</v>
      </c>
      <c r="D254" s="1">
        <f>IFERROR(__xludf.DUMMYFUNCTION("""COMPUTED_VALUE"""),77.39)</f>
        <v>77.39</v>
      </c>
      <c r="E254" s="1">
        <f>IFERROR(__xludf.DUMMYFUNCTION("""COMPUTED_VALUE"""),77.78)</f>
        <v>77.78</v>
      </c>
      <c r="F254" s="1">
        <f>IFERROR(__xludf.DUMMYFUNCTION("""COMPUTED_VALUE"""),1009795.0)</f>
        <v>1009795</v>
      </c>
      <c r="G254" s="2" t="s">
        <v>1</v>
      </c>
    </row>
    <row r="255">
      <c r="A255" s="3">
        <f>IFERROR(__xludf.DUMMYFUNCTION("""COMPUTED_VALUE"""),44931.66666666667)</f>
        <v>44931.66667</v>
      </c>
      <c r="B255" s="1">
        <f>IFERROR(__xludf.DUMMYFUNCTION("""COMPUTED_VALUE"""),76.98)</f>
        <v>76.98</v>
      </c>
      <c r="C255" s="1">
        <f>IFERROR(__xludf.DUMMYFUNCTION("""COMPUTED_VALUE"""),78.51)</f>
        <v>78.51</v>
      </c>
      <c r="D255" s="1">
        <f>IFERROR(__xludf.DUMMYFUNCTION("""COMPUTED_VALUE"""),76.66)</f>
        <v>76.66</v>
      </c>
      <c r="E255" s="1">
        <f>IFERROR(__xludf.DUMMYFUNCTION("""COMPUTED_VALUE"""),77.56)</f>
        <v>77.56</v>
      </c>
      <c r="F255" s="1">
        <f>IFERROR(__xludf.DUMMYFUNCTION("""COMPUTED_VALUE"""),566444.0)</f>
        <v>566444</v>
      </c>
      <c r="G255" s="2" t="s">
        <v>1</v>
      </c>
    </row>
    <row r="256">
      <c r="A256" s="3">
        <f>IFERROR(__xludf.DUMMYFUNCTION("""COMPUTED_VALUE"""),44932.66666666667)</f>
        <v>44932.66667</v>
      </c>
      <c r="B256" s="1">
        <f>IFERROR(__xludf.DUMMYFUNCTION("""COMPUTED_VALUE"""),77.76)</f>
        <v>77.76</v>
      </c>
      <c r="C256" s="1">
        <f>IFERROR(__xludf.DUMMYFUNCTION("""COMPUTED_VALUE"""),79.25)</f>
        <v>79.25</v>
      </c>
      <c r="D256" s="1">
        <f>IFERROR(__xludf.DUMMYFUNCTION("""COMPUTED_VALUE"""),77.41)</f>
        <v>77.41</v>
      </c>
      <c r="E256" s="1">
        <f>IFERROR(__xludf.DUMMYFUNCTION("""COMPUTED_VALUE"""),78.49)</f>
        <v>78.49</v>
      </c>
      <c r="F256" s="1">
        <f>IFERROR(__xludf.DUMMYFUNCTION("""COMPUTED_VALUE"""),624993.0)</f>
        <v>624993</v>
      </c>
      <c r="G256" s="2" t="s">
        <v>1</v>
      </c>
    </row>
    <row r="257">
      <c r="A257" s="3">
        <f>IFERROR(__xludf.DUMMYFUNCTION("""COMPUTED_VALUE"""),44935.66666666667)</f>
        <v>44935.66667</v>
      </c>
      <c r="B257" s="1">
        <f>IFERROR(__xludf.DUMMYFUNCTION("""COMPUTED_VALUE"""),79.43)</f>
        <v>79.43</v>
      </c>
      <c r="C257" s="1">
        <f>IFERROR(__xludf.DUMMYFUNCTION("""COMPUTED_VALUE"""),80.11)</f>
        <v>80.11</v>
      </c>
      <c r="D257" s="1">
        <f>IFERROR(__xludf.DUMMYFUNCTION("""COMPUTED_VALUE"""),78.67)</f>
        <v>78.67</v>
      </c>
      <c r="E257" s="1">
        <f>IFERROR(__xludf.DUMMYFUNCTION("""COMPUTED_VALUE"""),78.7)</f>
        <v>78.7</v>
      </c>
      <c r="F257" s="1">
        <f>IFERROR(__xludf.DUMMYFUNCTION("""COMPUTED_VALUE"""),707117.0)</f>
        <v>707117</v>
      </c>
      <c r="G257" s="2" t="s">
        <v>1</v>
      </c>
    </row>
    <row r="258">
      <c r="A258" s="3">
        <f>IFERROR(__xludf.DUMMYFUNCTION("""COMPUTED_VALUE"""),44936.66666666667)</f>
        <v>44936.66667</v>
      </c>
      <c r="B258" s="1">
        <f>IFERROR(__xludf.DUMMYFUNCTION("""COMPUTED_VALUE"""),78.63)</f>
        <v>78.63</v>
      </c>
      <c r="C258" s="1">
        <f>IFERROR(__xludf.DUMMYFUNCTION("""COMPUTED_VALUE"""),78.98)</f>
        <v>78.98</v>
      </c>
      <c r="D258" s="1">
        <f>IFERROR(__xludf.DUMMYFUNCTION("""COMPUTED_VALUE"""),78.0)</f>
        <v>78</v>
      </c>
      <c r="E258" s="1">
        <f>IFERROR(__xludf.DUMMYFUNCTION("""COMPUTED_VALUE"""),78.82)</f>
        <v>78.82</v>
      </c>
      <c r="F258" s="1">
        <f>IFERROR(__xludf.DUMMYFUNCTION("""COMPUTED_VALUE"""),580857.0)</f>
        <v>580857</v>
      </c>
      <c r="G258" s="2" t="s">
        <v>1</v>
      </c>
    </row>
    <row r="259">
      <c r="A259" s="3">
        <f>IFERROR(__xludf.DUMMYFUNCTION("""COMPUTED_VALUE"""),44937.66666666667)</f>
        <v>44937.66667</v>
      </c>
      <c r="B259" s="1">
        <f>IFERROR(__xludf.DUMMYFUNCTION("""COMPUTED_VALUE"""),79.03)</f>
        <v>79.03</v>
      </c>
      <c r="C259" s="1">
        <f>IFERROR(__xludf.DUMMYFUNCTION("""COMPUTED_VALUE"""),80.31)</f>
        <v>80.31</v>
      </c>
      <c r="D259" s="1">
        <f>IFERROR(__xludf.DUMMYFUNCTION("""COMPUTED_VALUE"""),78.76)</f>
        <v>78.76</v>
      </c>
      <c r="E259" s="1">
        <f>IFERROR(__xludf.DUMMYFUNCTION("""COMPUTED_VALUE"""),80.31)</f>
        <v>80.31</v>
      </c>
      <c r="F259" s="1">
        <f>IFERROR(__xludf.DUMMYFUNCTION("""COMPUTED_VALUE"""),723601.0)</f>
        <v>723601</v>
      </c>
      <c r="G259" s="2" t="s">
        <v>1</v>
      </c>
    </row>
    <row r="260">
      <c r="A260" s="3">
        <f>IFERROR(__xludf.DUMMYFUNCTION("""COMPUTED_VALUE"""),44938.66666666667)</f>
        <v>44938.66667</v>
      </c>
      <c r="B260" s="1">
        <f>IFERROR(__xludf.DUMMYFUNCTION("""COMPUTED_VALUE"""),79.7)</f>
        <v>79.7</v>
      </c>
      <c r="C260" s="1">
        <f>IFERROR(__xludf.DUMMYFUNCTION("""COMPUTED_VALUE"""),80.54)</f>
        <v>80.54</v>
      </c>
      <c r="D260" s="1">
        <f>IFERROR(__xludf.DUMMYFUNCTION("""COMPUTED_VALUE"""),78.74)</f>
        <v>78.74</v>
      </c>
      <c r="E260" s="1">
        <f>IFERROR(__xludf.DUMMYFUNCTION("""COMPUTED_VALUE"""),80.08)</f>
        <v>80.08</v>
      </c>
      <c r="F260" s="1">
        <f>IFERROR(__xludf.DUMMYFUNCTION("""COMPUTED_VALUE"""),887641.0)</f>
        <v>887641</v>
      </c>
      <c r="G260" s="2" t="s">
        <v>1</v>
      </c>
    </row>
    <row r="261">
      <c r="A261" s="3">
        <f>IFERROR(__xludf.DUMMYFUNCTION("""COMPUTED_VALUE"""),44939.66666666667)</f>
        <v>44939.66667</v>
      </c>
      <c r="B261" s="1">
        <f>IFERROR(__xludf.DUMMYFUNCTION("""COMPUTED_VALUE"""),79.11)</f>
        <v>79.11</v>
      </c>
      <c r="C261" s="1">
        <f>IFERROR(__xludf.DUMMYFUNCTION("""COMPUTED_VALUE"""),80.35)</f>
        <v>80.35</v>
      </c>
      <c r="D261" s="1">
        <f>IFERROR(__xludf.DUMMYFUNCTION("""COMPUTED_VALUE"""),78.68)</f>
        <v>78.68</v>
      </c>
      <c r="E261" s="1">
        <f>IFERROR(__xludf.DUMMYFUNCTION("""COMPUTED_VALUE"""),80.34)</f>
        <v>80.34</v>
      </c>
      <c r="F261" s="1">
        <f>IFERROR(__xludf.DUMMYFUNCTION("""COMPUTED_VALUE"""),720823.0)</f>
        <v>720823</v>
      </c>
      <c r="G261" s="2" t="s">
        <v>1</v>
      </c>
    </row>
    <row r="262">
      <c r="A262" s="3">
        <f>IFERROR(__xludf.DUMMYFUNCTION("""COMPUTED_VALUE"""),44943.66666666667)</f>
        <v>44943.66667</v>
      </c>
      <c r="B262" s="1">
        <f>IFERROR(__xludf.DUMMYFUNCTION("""COMPUTED_VALUE"""),81.2)</f>
        <v>81.2</v>
      </c>
      <c r="C262" s="1">
        <f>IFERROR(__xludf.DUMMYFUNCTION("""COMPUTED_VALUE"""),82.31)</f>
        <v>82.31</v>
      </c>
      <c r="D262" s="1">
        <f>IFERROR(__xludf.DUMMYFUNCTION("""COMPUTED_VALUE"""),80.93)</f>
        <v>80.93</v>
      </c>
      <c r="E262" s="1">
        <f>IFERROR(__xludf.DUMMYFUNCTION("""COMPUTED_VALUE"""),81.14)</f>
        <v>81.14</v>
      </c>
      <c r="F262" s="1">
        <f>IFERROR(__xludf.DUMMYFUNCTION("""COMPUTED_VALUE"""),779637.0)</f>
        <v>779637</v>
      </c>
      <c r="G262" s="2" t="s">
        <v>1</v>
      </c>
    </row>
    <row r="263">
      <c r="A263" s="3">
        <f>IFERROR(__xludf.DUMMYFUNCTION("""COMPUTED_VALUE"""),44944.66666666667)</f>
        <v>44944.66667</v>
      </c>
      <c r="B263" s="1">
        <f>IFERROR(__xludf.DUMMYFUNCTION("""COMPUTED_VALUE"""),82.62)</f>
        <v>82.62</v>
      </c>
      <c r="C263" s="1">
        <f>IFERROR(__xludf.DUMMYFUNCTION("""COMPUTED_VALUE"""),83.42)</f>
        <v>83.42</v>
      </c>
      <c r="D263" s="1">
        <f>IFERROR(__xludf.DUMMYFUNCTION("""COMPUTED_VALUE"""),81.06)</f>
        <v>81.06</v>
      </c>
      <c r="E263" s="1">
        <f>IFERROR(__xludf.DUMMYFUNCTION("""COMPUTED_VALUE"""),81.13)</f>
        <v>81.13</v>
      </c>
      <c r="F263" s="1">
        <f>IFERROR(__xludf.DUMMYFUNCTION("""COMPUTED_VALUE"""),681890.0)</f>
        <v>681890</v>
      </c>
      <c r="G263" s="2" t="s">
        <v>1</v>
      </c>
    </row>
    <row r="264">
      <c r="A264" s="3">
        <f>IFERROR(__xludf.DUMMYFUNCTION("""COMPUTED_VALUE"""),44945.66666666667)</f>
        <v>44945.66667</v>
      </c>
      <c r="B264" s="1">
        <f>IFERROR(__xludf.DUMMYFUNCTION("""COMPUTED_VALUE"""),80.62)</f>
        <v>80.62</v>
      </c>
      <c r="C264" s="1">
        <f>IFERROR(__xludf.DUMMYFUNCTION("""COMPUTED_VALUE"""),80.93)</f>
        <v>80.93</v>
      </c>
      <c r="D264" s="1">
        <f>IFERROR(__xludf.DUMMYFUNCTION("""COMPUTED_VALUE"""),79.59)</f>
        <v>79.59</v>
      </c>
      <c r="E264" s="1">
        <f>IFERROR(__xludf.DUMMYFUNCTION("""COMPUTED_VALUE"""),80.2)</f>
        <v>80.2</v>
      </c>
      <c r="F264" s="1">
        <f>IFERROR(__xludf.DUMMYFUNCTION("""COMPUTED_VALUE"""),642810.0)</f>
        <v>642810</v>
      </c>
      <c r="G264" s="2" t="s">
        <v>1</v>
      </c>
    </row>
    <row r="265">
      <c r="A265" s="3">
        <f>IFERROR(__xludf.DUMMYFUNCTION("""COMPUTED_VALUE"""),44946.66666666667)</f>
        <v>44946.66667</v>
      </c>
      <c r="B265" s="1">
        <f>IFERROR(__xludf.DUMMYFUNCTION("""COMPUTED_VALUE"""),80.86)</f>
        <v>80.86</v>
      </c>
      <c r="C265" s="1">
        <f>IFERROR(__xludf.DUMMYFUNCTION("""COMPUTED_VALUE"""),81.91)</f>
        <v>81.91</v>
      </c>
      <c r="D265" s="1">
        <f>IFERROR(__xludf.DUMMYFUNCTION("""COMPUTED_VALUE"""),80.57)</f>
        <v>80.57</v>
      </c>
      <c r="E265" s="1">
        <f>IFERROR(__xludf.DUMMYFUNCTION("""COMPUTED_VALUE"""),81.84)</f>
        <v>81.84</v>
      </c>
      <c r="F265" s="1">
        <f>IFERROR(__xludf.DUMMYFUNCTION("""COMPUTED_VALUE"""),581791.0)</f>
        <v>581791</v>
      </c>
      <c r="G265" s="2" t="s">
        <v>1</v>
      </c>
    </row>
    <row r="266">
      <c r="A266" s="3">
        <f>IFERROR(__xludf.DUMMYFUNCTION("""COMPUTED_VALUE"""),44949.66666666667)</f>
        <v>44949.66667</v>
      </c>
      <c r="B266" s="1">
        <f>IFERROR(__xludf.DUMMYFUNCTION("""COMPUTED_VALUE"""),83.15)</f>
        <v>83.15</v>
      </c>
      <c r="C266" s="1">
        <f>IFERROR(__xludf.DUMMYFUNCTION("""COMPUTED_VALUE"""),85.37)</f>
        <v>85.37</v>
      </c>
      <c r="D266" s="1">
        <f>IFERROR(__xludf.DUMMYFUNCTION("""COMPUTED_VALUE"""),83.0)</f>
        <v>83</v>
      </c>
      <c r="E266" s="1">
        <f>IFERROR(__xludf.DUMMYFUNCTION("""COMPUTED_VALUE"""),84.85)</f>
        <v>84.85</v>
      </c>
      <c r="F266" s="1">
        <f>IFERROR(__xludf.DUMMYFUNCTION("""COMPUTED_VALUE"""),765497.0)</f>
        <v>765497</v>
      </c>
      <c r="G266" s="2" t="s">
        <v>1</v>
      </c>
    </row>
    <row r="267">
      <c r="A267" s="3">
        <f>IFERROR(__xludf.DUMMYFUNCTION("""COMPUTED_VALUE"""),44950.66666666667)</f>
        <v>44950.66667</v>
      </c>
      <c r="B267" s="1">
        <f>IFERROR(__xludf.DUMMYFUNCTION("""COMPUTED_VALUE"""),82.82)</f>
        <v>82.82</v>
      </c>
      <c r="C267" s="1">
        <f>IFERROR(__xludf.DUMMYFUNCTION("""COMPUTED_VALUE"""),84.38)</f>
        <v>84.38</v>
      </c>
      <c r="D267" s="1">
        <f>IFERROR(__xludf.DUMMYFUNCTION("""COMPUTED_VALUE"""),82.39)</f>
        <v>82.39</v>
      </c>
      <c r="E267" s="1">
        <f>IFERROR(__xludf.DUMMYFUNCTION("""COMPUTED_VALUE"""),83.61)</f>
        <v>83.61</v>
      </c>
      <c r="F267" s="1">
        <f>IFERROR(__xludf.DUMMYFUNCTION("""COMPUTED_VALUE"""),801509.0)</f>
        <v>801509</v>
      </c>
      <c r="G267" s="2" t="s">
        <v>1</v>
      </c>
    </row>
    <row r="268">
      <c r="A268" s="3">
        <f>IFERROR(__xludf.DUMMYFUNCTION("""COMPUTED_VALUE"""),44951.66666666667)</f>
        <v>44951.66667</v>
      </c>
      <c r="B268" s="1">
        <f>IFERROR(__xludf.DUMMYFUNCTION("""COMPUTED_VALUE"""),82.66)</f>
        <v>82.66</v>
      </c>
      <c r="C268" s="1">
        <f>IFERROR(__xludf.DUMMYFUNCTION("""COMPUTED_VALUE"""),83.67)</f>
        <v>83.67</v>
      </c>
      <c r="D268" s="1">
        <f>IFERROR(__xludf.DUMMYFUNCTION("""COMPUTED_VALUE"""),82.27)</f>
        <v>82.27</v>
      </c>
      <c r="E268" s="1">
        <f>IFERROR(__xludf.DUMMYFUNCTION("""COMPUTED_VALUE"""),83.57)</f>
        <v>83.57</v>
      </c>
      <c r="F268" s="1">
        <f>IFERROR(__xludf.DUMMYFUNCTION("""COMPUTED_VALUE"""),765859.0)</f>
        <v>765859</v>
      </c>
      <c r="G268" s="2" t="s">
        <v>1</v>
      </c>
    </row>
    <row r="269">
      <c r="A269" s="3">
        <f>IFERROR(__xludf.DUMMYFUNCTION("""COMPUTED_VALUE"""),44952.66666666667)</f>
        <v>44952.66667</v>
      </c>
      <c r="B269" s="1">
        <f>IFERROR(__xludf.DUMMYFUNCTION("""COMPUTED_VALUE"""),84.23)</f>
        <v>84.23</v>
      </c>
      <c r="C269" s="1">
        <f>IFERROR(__xludf.DUMMYFUNCTION("""COMPUTED_VALUE"""),84.94)</f>
        <v>84.94</v>
      </c>
      <c r="D269" s="1">
        <f>IFERROR(__xludf.DUMMYFUNCTION("""COMPUTED_VALUE"""),82.8)</f>
        <v>82.8</v>
      </c>
      <c r="E269" s="1">
        <f>IFERROR(__xludf.DUMMYFUNCTION("""COMPUTED_VALUE"""),84.93)</f>
        <v>84.93</v>
      </c>
      <c r="F269" s="1">
        <f>IFERROR(__xludf.DUMMYFUNCTION("""COMPUTED_VALUE"""),884487.0)</f>
        <v>884487</v>
      </c>
      <c r="G269" s="2" t="s">
        <v>1</v>
      </c>
    </row>
    <row r="270">
      <c r="A270" s="3">
        <f>IFERROR(__xludf.DUMMYFUNCTION("""COMPUTED_VALUE"""),44953.66666666667)</f>
        <v>44953.66667</v>
      </c>
      <c r="B270" s="1">
        <f>IFERROR(__xludf.DUMMYFUNCTION("""COMPUTED_VALUE"""),90.43)</f>
        <v>90.43</v>
      </c>
      <c r="C270" s="1">
        <f>IFERROR(__xludf.DUMMYFUNCTION("""COMPUTED_VALUE"""),93.78)</f>
        <v>93.78</v>
      </c>
      <c r="D270" s="1">
        <f>IFERROR(__xludf.DUMMYFUNCTION("""COMPUTED_VALUE"""),90.37)</f>
        <v>90.37</v>
      </c>
      <c r="E270" s="1">
        <f>IFERROR(__xludf.DUMMYFUNCTION("""COMPUTED_VALUE"""),92.78)</f>
        <v>92.78</v>
      </c>
      <c r="F270" s="1">
        <f>IFERROR(__xludf.DUMMYFUNCTION("""COMPUTED_VALUE"""),2079965.0)</f>
        <v>2079965</v>
      </c>
      <c r="G270" s="2" t="s">
        <v>1</v>
      </c>
    </row>
    <row r="271">
      <c r="A271" s="3">
        <f>IFERROR(__xludf.DUMMYFUNCTION("""COMPUTED_VALUE"""),44956.66666666667)</f>
        <v>44956.66667</v>
      </c>
      <c r="B271" s="1">
        <f>IFERROR(__xludf.DUMMYFUNCTION("""COMPUTED_VALUE"""),91.42)</f>
        <v>91.42</v>
      </c>
      <c r="C271" s="1">
        <f>IFERROR(__xludf.DUMMYFUNCTION("""COMPUTED_VALUE"""),91.78)</f>
        <v>91.78</v>
      </c>
      <c r="D271" s="1">
        <f>IFERROR(__xludf.DUMMYFUNCTION("""COMPUTED_VALUE"""),90.12)</f>
        <v>90.12</v>
      </c>
      <c r="E271" s="1">
        <f>IFERROR(__xludf.DUMMYFUNCTION("""COMPUTED_VALUE"""),91.01)</f>
        <v>91.01</v>
      </c>
      <c r="F271" s="1">
        <f>IFERROR(__xludf.DUMMYFUNCTION("""COMPUTED_VALUE"""),1158270.0)</f>
        <v>1158270</v>
      </c>
      <c r="G271" s="2" t="s">
        <v>1</v>
      </c>
    </row>
    <row r="272">
      <c r="A272" s="3">
        <f>IFERROR(__xludf.DUMMYFUNCTION("""COMPUTED_VALUE"""),44957.66666666667)</f>
        <v>44957.66667</v>
      </c>
      <c r="B272" s="1">
        <f>IFERROR(__xludf.DUMMYFUNCTION("""COMPUTED_VALUE"""),90.05)</f>
        <v>90.05</v>
      </c>
      <c r="C272" s="1">
        <f>IFERROR(__xludf.DUMMYFUNCTION("""COMPUTED_VALUE"""),92.12)</f>
        <v>92.12</v>
      </c>
      <c r="D272" s="1">
        <f>IFERROR(__xludf.DUMMYFUNCTION("""COMPUTED_VALUE"""),89.86)</f>
        <v>89.86</v>
      </c>
      <c r="E272" s="1">
        <f>IFERROR(__xludf.DUMMYFUNCTION("""COMPUTED_VALUE"""),92.12)</f>
        <v>92.12</v>
      </c>
      <c r="F272" s="1">
        <f>IFERROR(__xludf.DUMMYFUNCTION("""COMPUTED_VALUE"""),1292817.0)</f>
        <v>1292817</v>
      </c>
      <c r="G272" s="2" t="s">
        <v>1</v>
      </c>
    </row>
    <row r="273">
      <c r="A273" s="3">
        <f>IFERROR(__xludf.DUMMYFUNCTION("""COMPUTED_VALUE"""),44958.66666666667)</f>
        <v>44958.66667</v>
      </c>
      <c r="B273" s="1">
        <f>IFERROR(__xludf.DUMMYFUNCTION("""COMPUTED_VALUE"""),91.26)</f>
        <v>91.26</v>
      </c>
      <c r="C273" s="1">
        <f>IFERROR(__xludf.DUMMYFUNCTION("""COMPUTED_VALUE"""),92.22)</f>
        <v>92.22</v>
      </c>
      <c r="D273" s="1">
        <f>IFERROR(__xludf.DUMMYFUNCTION("""COMPUTED_VALUE"""),90.15)</f>
        <v>90.15</v>
      </c>
      <c r="E273" s="1">
        <f>IFERROR(__xludf.DUMMYFUNCTION("""COMPUTED_VALUE"""),91.57)</f>
        <v>91.57</v>
      </c>
      <c r="F273" s="1">
        <f>IFERROR(__xludf.DUMMYFUNCTION("""COMPUTED_VALUE"""),780477.0)</f>
        <v>780477</v>
      </c>
      <c r="G273" s="2" t="s">
        <v>1</v>
      </c>
    </row>
    <row r="274">
      <c r="A274" s="3">
        <f>IFERROR(__xludf.DUMMYFUNCTION("""COMPUTED_VALUE"""),44959.66666666667)</f>
        <v>44959.66667</v>
      </c>
      <c r="B274" s="1">
        <f>IFERROR(__xludf.DUMMYFUNCTION("""COMPUTED_VALUE"""),91.52)</f>
        <v>91.52</v>
      </c>
      <c r="C274" s="1">
        <f>IFERROR(__xludf.DUMMYFUNCTION("""COMPUTED_VALUE"""),93.4)</f>
        <v>93.4</v>
      </c>
      <c r="D274" s="1">
        <f>IFERROR(__xludf.DUMMYFUNCTION("""COMPUTED_VALUE"""),90.27)</f>
        <v>90.27</v>
      </c>
      <c r="E274" s="1">
        <f>IFERROR(__xludf.DUMMYFUNCTION("""COMPUTED_VALUE"""),91.9)</f>
        <v>91.9</v>
      </c>
      <c r="F274" s="1">
        <f>IFERROR(__xludf.DUMMYFUNCTION("""COMPUTED_VALUE"""),1316986.0)</f>
        <v>1316986</v>
      </c>
      <c r="G274" s="2" t="s">
        <v>1</v>
      </c>
    </row>
    <row r="275">
      <c r="A275" s="3">
        <f>IFERROR(__xludf.DUMMYFUNCTION("""COMPUTED_VALUE"""),44960.66666666667)</f>
        <v>44960.66667</v>
      </c>
      <c r="B275" s="1">
        <f>IFERROR(__xludf.DUMMYFUNCTION("""COMPUTED_VALUE"""),89.1)</f>
        <v>89.1</v>
      </c>
      <c r="C275" s="1">
        <f>IFERROR(__xludf.DUMMYFUNCTION("""COMPUTED_VALUE"""),91.12)</f>
        <v>91.12</v>
      </c>
      <c r="D275" s="1">
        <f>IFERROR(__xludf.DUMMYFUNCTION("""COMPUTED_VALUE"""),88.9)</f>
        <v>88.9</v>
      </c>
      <c r="E275" s="1">
        <f>IFERROR(__xludf.DUMMYFUNCTION("""COMPUTED_VALUE"""),90.27)</f>
        <v>90.27</v>
      </c>
      <c r="F275" s="1">
        <f>IFERROR(__xludf.DUMMYFUNCTION("""COMPUTED_VALUE"""),1022701.0)</f>
        <v>1022701</v>
      </c>
      <c r="G275" s="2" t="s">
        <v>1</v>
      </c>
    </row>
    <row r="276">
      <c r="A276" s="3">
        <f>IFERROR(__xludf.DUMMYFUNCTION("""COMPUTED_VALUE"""),44963.66666666667)</f>
        <v>44963.66667</v>
      </c>
      <c r="B276" s="1">
        <f>IFERROR(__xludf.DUMMYFUNCTION("""COMPUTED_VALUE"""),89.35)</f>
        <v>89.35</v>
      </c>
      <c r="C276" s="1">
        <f>IFERROR(__xludf.DUMMYFUNCTION("""COMPUTED_VALUE"""),90.56)</f>
        <v>90.56</v>
      </c>
      <c r="D276" s="1">
        <f>IFERROR(__xludf.DUMMYFUNCTION("""COMPUTED_VALUE"""),88.59)</f>
        <v>88.59</v>
      </c>
      <c r="E276" s="1">
        <f>IFERROR(__xludf.DUMMYFUNCTION("""COMPUTED_VALUE"""),90.53)</f>
        <v>90.53</v>
      </c>
      <c r="F276" s="1">
        <f>IFERROR(__xludf.DUMMYFUNCTION("""COMPUTED_VALUE"""),1186101.0)</f>
        <v>1186101</v>
      </c>
      <c r="G276" s="2" t="s">
        <v>1</v>
      </c>
    </row>
    <row r="277">
      <c r="A277" s="3">
        <f>IFERROR(__xludf.DUMMYFUNCTION("""COMPUTED_VALUE"""),44964.66666666667)</f>
        <v>44964.66667</v>
      </c>
      <c r="B277" s="1">
        <f>IFERROR(__xludf.DUMMYFUNCTION("""COMPUTED_VALUE"""),90.39)</f>
        <v>90.39</v>
      </c>
      <c r="C277" s="1">
        <f>IFERROR(__xludf.DUMMYFUNCTION("""COMPUTED_VALUE"""),92.07)</f>
        <v>92.07</v>
      </c>
      <c r="D277" s="1">
        <f>IFERROR(__xludf.DUMMYFUNCTION("""COMPUTED_VALUE"""),89.3)</f>
        <v>89.3</v>
      </c>
      <c r="E277" s="1">
        <f>IFERROR(__xludf.DUMMYFUNCTION("""COMPUTED_VALUE"""),91.76)</f>
        <v>91.76</v>
      </c>
      <c r="F277" s="1">
        <f>IFERROR(__xludf.DUMMYFUNCTION("""COMPUTED_VALUE"""),1171570.0)</f>
        <v>1171570</v>
      </c>
      <c r="G277" s="2" t="s">
        <v>1</v>
      </c>
    </row>
    <row r="278">
      <c r="A278" s="3">
        <f>IFERROR(__xludf.DUMMYFUNCTION("""COMPUTED_VALUE"""),44965.66666666667)</f>
        <v>44965.66667</v>
      </c>
      <c r="B278" s="1">
        <f>IFERROR(__xludf.DUMMYFUNCTION("""COMPUTED_VALUE"""),90.77)</f>
        <v>90.77</v>
      </c>
      <c r="C278" s="1">
        <f>IFERROR(__xludf.DUMMYFUNCTION("""COMPUTED_VALUE"""),91.35)</f>
        <v>91.35</v>
      </c>
      <c r="D278" s="1">
        <f>IFERROR(__xludf.DUMMYFUNCTION("""COMPUTED_VALUE"""),90.43)</f>
        <v>90.43</v>
      </c>
      <c r="E278" s="1">
        <f>IFERROR(__xludf.DUMMYFUNCTION("""COMPUTED_VALUE"""),91.05)</f>
        <v>91.05</v>
      </c>
      <c r="F278" s="1">
        <f>IFERROR(__xludf.DUMMYFUNCTION("""COMPUTED_VALUE"""),902520.0)</f>
        <v>902520</v>
      </c>
      <c r="G278" s="2" t="s">
        <v>1</v>
      </c>
    </row>
    <row r="279">
      <c r="A279" s="3">
        <f>IFERROR(__xludf.DUMMYFUNCTION("""COMPUTED_VALUE"""),44966.66666666667)</f>
        <v>44966.66667</v>
      </c>
      <c r="B279" s="1">
        <f>IFERROR(__xludf.DUMMYFUNCTION("""COMPUTED_VALUE"""),92.73)</f>
        <v>92.73</v>
      </c>
      <c r="C279" s="1">
        <f>IFERROR(__xludf.DUMMYFUNCTION("""COMPUTED_VALUE"""),93.28)</f>
        <v>93.28</v>
      </c>
      <c r="D279" s="1">
        <f>IFERROR(__xludf.DUMMYFUNCTION("""COMPUTED_VALUE"""),91.58)</f>
        <v>91.58</v>
      </c>
      <c r="E279" s="1">
        <f>IFERROR(__xludf.DUMMYFUNCTION("""COMPUTED_VALUE"""),91.6)</f>
        <v>91.6</v>
      </c>
      <c r="F279" s="1">
        <f>IFERROR(__xludf.DUMMYFUNCTION("""COMPUTED_VALUE"""),1127640.0)</f>
        <v>1127640</v>
      </c>
      <c r="G279" s="2" t="s">
        <v>1</v>
      </c>
    </row>
    <row r="280">
      <c r="A280" s="3">
        <f>IFERROR(__xludf.DUMMYFUNCTION("""COMPUTED_VALUE"""),44967.66666666667)</f>
        <v>44967.66667</v>
      </c>
      <c r="B280" s="1">
        <f>IFERROR(__xludf.DUMMYFUNCTION("""COMPUTED_VALUE"""),89.93)</f>
        <v>89.93</v>
      </c>
      <c r="C280" s="1">
        <f>IFERROR(__xludf.DUMMYFUNCTION("""COMPUTED_VALUE"""),89.95)</f>
        <v>89.95</v>
      </c>
      <c r="D280" s="1">
        <f>IFERROR(__xludf.DUMMYFUNCTION("""COMPUTED_VALUE"""),88.97)</f>
        <v>88.97</v>
      </c>
      <c r="E280" s="1">
        <f>IFERROR(__xludf.DUMMYFUNCTION("""COMPUTED_VALUE"""),89.34)</f>
        <v>89.34</v>
      </c>
      <c r="F280" s="1">
        <f>IFERROR(__xludf.DUMMYFUNCTION("""COMPUTED_VALUE"""),579370.0)</f>
        <v>579370</v>
      </c>
      <c r="G280" s="2" t="s">
        <v>1</v>
      </c>
    </row>
    <row r="281">
      <c r="A281" s="3">
        <f>IFERROR(__xludf.DUMMYFUNCTION("""COMPUTED_VALUE"""),44970.66666666667)</f>
        <v>44970.66667</v>
      </c>
      <c r="B281" s="1">
        <f>IFERROR(__xludf.DUMMYFUNCTION("""COMPUTED_VALUE"""),89.28)</f>
        <v>89.28</v>
      </c>
      <c r="C281" s="1">
        <f>IFERROR(__xludf.DUMMYFUNCTION("""COMPUTED_VALUE"""),90.45)</f>
        <v>90.45</v>
      </c>
      <c r="D281" s="1">
        <f>IFERROR(__xludf.DUMMYFUNCTION("""COMPUTED_VALUE"""),89.16)</f>
        <v>89.16</v>
      </c>
      <c r="E281" s="1">
        <f>IFERROR(__xludf.DUMMYFUNCTION("""COMPUTED_VALUE"""),90.26)</f>
        <v>90.26</v>
      </c>
      <c r="F281" s="1">
        <f>IFERROR(__xludf.DUMMYFUNCTION("""COMPUTED_VALUE"""),497203.0)</f>
        <v>497203</v>
      </c>
      <c r="G281" s="2" t="s">
        <v>1</v>
      </c>
    </row>
    <row r="282">
      <c r="A282" s="3">
        <f>IFERROR(__xludf.DUMMYFUNCTION("""COMPUTED_VALUE"""),44971.66666666667)</f>
        <v>44971.66667</v>
      </c>
      <c r="B282" s="1">
        <f>IFERROR(__xludf.DUMMYFUNCTION("""COMPUTED_VALUE"""),88.9)</f>
        <v>88.9</v>
      </c>
      <c r="C282" s="1">
        <f>IFERROR(__xludf.DUMMYFUNCTION("""COMPUTED_VALUE"""),90.83)</f>
        <v>90.83</v>
      </c>
      <c r="D282" s="1">
        <f>IFERROR(__xludf.DUMMYFUNCTION("""COMPUTED_VALUE"""),88.63)</f>
        <v>88.63</v>
      </c>
      <c r="E282" s="1">
        <f>IFERROR(__xludf.DUMMYFUNCTION("""COMPUTED_VALUE"""),90.51)</f>
        <v>90.51</v>
      </c>
      <c r="F282" s="1">
        <f>IFERROR(__xludf.DUMMYFUNCTION("""COMPUTED_VALUE"""),762650.0)</f>
        <v>762650</v>
      </c>
      <c r="G282" s="2" t="s">
        <v>1</v>
      </c>
    </row>
    <row r="283">
      <c r="A283" s="3">
        <f>IFERROR(__xludf.DUMMYFUNCTION("""COMPUTED_VALUE"""),44972.66666666667)</f>
        <v>44972.66667</v>
      </c>
      <c r="B283" s="1">
        <f>IFERROR(__xludf.DUMMYFUNCTION("""COMPUTED_VALUE"""),89.25)</f>
        <v>89.25</v>
      </c>
      <c r="C283" s="1">
        <f>IFERROR(__xludf.DUMMYFUNCTION("""COMPUTED_VALUE"""),90.21)</f>
        <v>90.21</v>
      </c>
      <c r="D283" s="1">
        <f>IFERROR(__xludf.DUMMYFUNCTION("""COMPUTED_VALUE"""),89.12)</f>
        <v>89.12</v>
      </c>
      <c r="E283" s="1">
        <f>IFERROR(__xludf.DUMMYFUNCTION("""COMPUTED_VALUE"""),89.86)</f>
        <v>89.86</v>
      </c>
      <c r="F283" s="1">
        <f>IFERROR(__xludf.DUMMYFUNCTION("""COMPUTED_VALUE"""),743713.0)</f>
        <v>743713</v>
      </c>
      <c r="G283" s="2" t="s">
        <v>1</v>
      </c>
    </row>
    <row r="284">
      <c r="A284" s="3">
        <f>IFERROR(__xludf.DUMMYFUNCTION("""COMPUTED_VALUE"""),44973.66666666667)</f>
        <v>44973.66667</v>
      </c>
      <c r="B284" s="1">
        <f>IFERROR(__xludf.DUMMYFUNCTION("""COMPUTED_VALUE"""),88.88)</f>
        <v>88.88</v>
      </c>
      <c r="C284" s="1">
        <f>IFERROR(__xludf.DUMMYFUNCTION("""COMPUTED_VALUE"""),90.58)</f>
        <v>90.58</v>
      </c>
      <c r="D284" s="1">
        <f>IFERROR(__xludf.DUMMYFUNCTION("""COMPUTED_VALUE"""),88.49)</f>
        <v>88.49</v>
      </c>
      <c r="E284" s="1">
        <f>IFERROR(__xludf.DUMMYFUNCTION("""COMPUTED_VALUE"""),89.27)</f>
        <v>89.27</v>
      </c>
      <c r="F284" s="1">
        <f>IFERROR(__xludf.DUMMYFUNCTION("""COMPUTED_VALUE"""),783524.0)</f>
        <v>783524</v>
      </c>
      <c r="G284" s="2" t="s">
        <v>1</v>
      </c>
    </row>
    <row r="285">
      <c r="A285" s="3">
        <f>IFERROR(__xludf.DUMMYFUNCTION("""COMPUTED_VALUE"""),44974.66666666667)</f>
        <v>44974.66667</v>
      </c>
      <c r="B285" s="1">
        <f>IFERROR(__xludf.DUMMYFUNCTION("""COMPUTED_VALUE"""),89.21)</f>
        <v>89.21</v>
      </c>
      <c r="C285" s="1">
        <f>IFERROR(__xludf.DUMMYFUNCTION("""COMPUTED_VALUE"""),90.9)</f>
        <v>90.9</v>
      </c>
      <c r="D285" s="1">
        <f>IFERROR(__xludf.DUMMYFUNCTION("""COMPUTED_VALUE"""),88.58)</f>
        <v>88.58</v>
      </c>
      <c r="E285" s="1">
        <f>IFERROR(__xludf.DUMMYFUNCTION("""COMPUTED_VALUE"""),90.42)</f>
        <v>90.42</v>
      </c>
      <c r="F285" s="1">
        <f>IFERROR(__xludf.DUMMYFUNCTION("""COMPUTED_VALUE"""),792022.0)</f>
        <v>792022</v>
      </c>
      <c r="G285" s="2" t="s">
        <v>1</v>
      </c>
    </row>
    <row r="286">
      <c r="A286" s="3">
        <f>IFERROR(__xludf.DUMMYFUNCTION("""COMPUTED_VALUE"""),44978.66666666667)</f>
        <v>44978.66667</v>
      </c>
      <c r="B286" s="1">
        <f>IFERROR(__xludf.DUMMYFUNCTION("""COMPUTED_VALUE"""),91.66)</f>
        <v>91.66</v>
      </c>
      <c r="C286" s="1">
        <f>IFERROR(__xludf.DUMMYFUNCTION("""COMPUTED_VALUE"""),92.27)</f>
        <v>92.27</v>
      </c>
      <c r="D286" s="1">
        <f>IFERROR(__xludf.DUMMYFUNCTION("""COMPUTED_VALUE"""),90.0)</f>
        <v>90</v>
      </c>
      <c r="E286" s="1">
        <f>IFERROR(__xludf.DUMMYFUNCTION("""COMPUTED_VALUE"""),90.21)</f>
        <v>90.21</v>
      </c>
      <c r="F286" s="1">
        <f>IFERROR(__xludf.DUMMYFUNCTION("""COMPUTED_VALUE"""),1451767.0)</f>
        <v>1451767</v>
      </c>
      <c r="G286" s="2" t="s">
        <v>1</v>
      </c>
    </row>
    <row r="287">
      <c r="A287" s="3">
        <f>IFERROR(__xludf.DUMMYFUNCTION("""COMPUTED_VALUE"""),44979.66666666667)</f>
        <v>44979.66667</v>
      </c>
      <c r="B287" s="1">
        <f>IFERROR(__xludf.DUMMYFUNCTION("""COMPUTED_VALUE"""),90.1)</f>
        <v>90.1</v>
      </c>
      <c r="C287" s="1">
        <f>IFERROR(__xludf.DUMMYFUNCTION("""COMPUTED_VALUE"""),90.97)</f>
        <v>90.97</v>
      </c>
      <c r="D287" s="1">
        <f>IFERROR(__xludf.DUMMYFUNCTION("""COMPUTED_VALUE"""),89.64)</f>
        <v>89.64</v>
      </c>
      <c r="E287" s="1">
        <f>IFERROR(__xludf.DUMMYFUNCTION("""COMPUTED_VALUE"""),90.43)</f>
        <v>90.43</v>
      </c>
      <c r="F287" s="1">
        <f>IFERROR(__xludf.DUMMYFUNCTION("""COMPUTED_VALUE"""),1219585.0)</f>
        <v>1219585</v>
      </c>
      <c r="G287" s="2" t="s">
        <v>1</v>
      </c>
    </row>
    <row r="288">
      <c r="A288" s="3">
        <f>IFERROR(__xludf.DUMMYFUNCTION("""COMPUTED_VALUE"""),44980.66666666667)</f>
        <v>44980.66667</v>
      </c>
      <c r="B288" s="1">
        <f>IFERROR(__xludf.DUMMYFUNCTION("""COMPUTED_VALUE"""),90.78)</f>
        <v>90.78</v>
      </c>
      <c r="C288" s="1">
        <f>IFERROR(__xludf.DUMMYFUNCTION("""COMPUTED_VALUE"""),91.87)</f>
        <v>91.87</v>
      </c>
      <c r="D288" s="1">
        <f>IFERROR(__xludf.DUMMYFUNCTION("""COMPUTED_VALUE"""),90.23)</f>
        <v>90.23</v>
      </c>
      <c r="E288" s="1">
        <f>IFERROR(__xludf.DUMMYFUNCTION("""COMPUTED_VALUE"""),91.49)</f>
        <v>91.49</v>
      </c>
      <c r="F288" s="1">
        <f>IFERROR(__xludf.DUMMYFUNCTION("""COMPUTED_VALUE"""),1084924.0)</f>
        <v>1084924</v>
      </c>
      <c r="G288" s="2" t="s">
        <v>1</v>
      </c>
    </row>
    <row r="289">
      <c r="A289" s="3">
        <f>IFERROR(__xludf.DUMMYFUNCTION("""COMPUTED_VALUE"""),44981.66666666667)</f>
        <v>44981.66667</v>
      </c>
      <c r="B289" s="1">
        <f>IFERROR(__xludf.DUMMYFUNCTION("""COMPUTED_VALUE"""),89.91)</f>
        <v>89.91</v>
      </c>
      <c r="C289" s="1">
        <f>IFERROR(__xludf.DUMMYFUNCTION("""COMPUTED_VALUE"""),91.63)</f>
        <v>91.63</v>
      </c>
      <c r="D289" s="1">
        <f>IFERROR(__xludf.DUMMYFUNCTION("""COMPUTED_VALUE"""),89.72)</f>
        <v>89.72</v>
      </c>
      <c r="E289" s="1">
        <f>IFERROR(__xludf.DUMMYFUNCTION("""COMPUTED_VALUE"""),91.37)</f>
        <v>91.37</v>
      </c>
      <c r="F289" s="1">
        <f>IFERROR(__xludf.DUMMYFUNCTION("""COMPUTED_VALUE"""),2173572.0)</f>
        <v>2173572</v>
      </c>
      <c r="G289" s="2" t="s">
        <v>1</v>
      </c>
    </row>
    <row r="290">
      <c r="A290" s="3">
        <f>IFERROR(__xludf.DUMMYFUNCTION("""COMPUTED_VALUE"""),44984.66666666667)</f>
        <v>44984.66667</v>
      </c>
      <c r="B290" s="1">
        <f>IFERROR(__xludf.DUMMYFUNCTION("""COMPUTED_VALUE"""),92.88)</f>
        <v>92.88</v>
      </c>
      <c r="C290" s="1">
        <f>IFERROR(__xludf.DUMMYFUNCTION("""COMPUTED_VALUE"""),94.15)</f>
        <v>94.15</v>
      </c>
      <c r="D290" s="1">
        <f>IFERROR(__xludf.DUMMYFUNCTION("""COMPUTED_VALUE"""),92.88)</f>
        <v>92.88</v>
      </c>
      <c r="E290" s="1">
        <f>IFERROR(__xludf.DUMMYFUNCTION("""COMPUTED_VALUE"""),93.16)</f>
        <v>93.16</v>
      </c>
      <c r="F290" s="1">
        <f>IFERROR(__xludf.DUMMYFUNCTION("""COMPUTED_VALUE"""),1369313.0)</f>
        <v>1369313</v>
      </c>
      <c r="G290" s="2" t="s">
        <v>1</v>
      </c>
    </row>
    <row r="291">
      <c r="A291" s="3">
        <f>IFERROR(__xludf.DUMMYFUNCTION("""COMPUTED_VALUE"""),44985.66666666667)</f>
        <v>44985.66667</v>
      </c>
      <c r="B291" s="1">
        <f>IFERROR(__xludf.DUMMYFUNCTION("""COMPUTED_VALUE"""),92.95)</f>
        <v>92.95</v>
      </c>
      <c r="C291" s="1">
        <f>IFERROR(__xludf.DUMMYFUNCTION("""COMPUTED_VALUE"""),93.43)</f>
        <v>93.43</v>
      </c>
      <c r="D291" s="1">
        <f>IFERROR(__xludf.DUMMYFUNCTION("""COMPUTED_VALUE"""),92.41)</f>
        <v>92.41</v>
      </c>
      <c r="E291" s="1">
        <f>IFERROR(__xludf.DUMMYFUNCTION("""COMPUTED_VALUE"""),92.58)</f>
        <v>92.58</v>
      </c>
      <c r="F291" s="1">
        <f>IFERROR(__xludf.DUMMYFUNCTION("""COMPUTED_VALUE"""),1136316.0)</f>
        <v>1136316</v>
      </c>
      <c r="G291" s="2" t="s">
        <v>1</v>
      </c>
    </row>
    <row r="292">
      <c r="A292" s="3">
        <f>IFERROR(__xludf.DUMMYFUNCTION("""COMPUTED_VALUE"""),44986.66666666667)</f>
        <v>44986.66667</v>
      </c>
      <c r="B292" s="1">
        <f>IFERROR(__xludf.DUMMYFUNCTION("""COMPUTED_VALUE"""),93.34)</f>
        <v>93.34</v>
      </c>
      <c r="C292" s="1">
        <f>IFERROR(__xludf.DUMMYFUNCTION("""COMPUTED_VALUE"""),94.54)</f>
        <v>94.54</v>
      </c>
      <c r="D292" s="1">
        <f>IFERROR(__xludf.DUMMYFUNCTION("""COMPUTED_VALUE"""),93.07)</f>
        <v>93.07</v>
      </c>
      <c r="E292" s="1">
        <f>IFERROR(__xludf.DUMMYFUNCTION("""COMPUTED_VALUE"""),94.05)</f>
        <v>94.05</v>
      </c>
      <c r="F292" s="1">
        <f>IFERROR(__xludf.DUMMYFUNCTION("""COMPUTED_VALUE"""),993169.0)</f>
        <v>993169</v>
      </c>
      <c r="G292" s="2" t="s">
        <v>1</v>
      </c>
    </row>
    <row r="293">
      <c r="A293" s="3">
        <f>IFERROR(__xludf.DUMMYFUNCTION("""COMPUTED_VALUE"""),44987.66666666667)</f>
        <v>44987.66667</v>
      </c>
      <c r="B293" s="1">
        <f>IFERROR(__xludf.DUMMYFUNCTION("""COMPUTED_VALUE"""),92.4)</f>
        <v>92.4</v>
      </c>
      <c r="C293" s="1">
        <f>IFERROR(__xludf.DUMMYFUNCTION("""COMPUTED_VALUE"""),93.25)</f>
        <v>93.25</v>
      </c>
      <c r="D293" s="1">
        <f>IFERROR(__xludf.DUMMYFUNCTION("""COMPUTED_VALUE"""),91.73)</f>
        <v>91.73</v>
      </c>
      <c r="E293" s="1">
        <f>IFERROR(__xludf.DUMMYFUNCTION("""COMPUTED_VALUE"""),93.25)</f>
        <v>93.25</v>
      </c>
      <c r="F293" s="1">
        <f>IFERROR(__xludf.DUMMYFUNCTION("""COMPUTED_VALUE"""),742348.0)</f>
        <v>742348</v>
      </c>
      <c r="G293" s="2" t="s">
        <v>1</v>
      </c>
    </row>
    <row r="294">
      <c r="A294" s="3">
        <f>IFERROR(__xludf.DUMMYFUNCTION("""COMPUTED_VALUE"""),44988.66666666667)</f>
        <v>44988.66667</v>
      </c>
      <c r="B294" s="1">
        <f>IFERROR(__xludf.DUMMYFUNCTION("""COMPUTED_VALUE"""),94.06)</f>
        <v>94.06</v>
      </c>
      <c r="C294" s="1">
        <f>IFERROR(__xludf.DUMMYFUNCTION("""COMPUTED_VALUE"""),95.14)</f>
        <v>95.14</v>
      </c>
      <c r="D294" s="1">
        <f>IFERROR(__xludf.DUMMYFUNCTION("""COMPUTED_VALUE"""),93.25)</f>
        <v>93.25</v>
      </c>
      <c r="E294" s="1">
        <f>IFERROR(__xludf.DUMMYFUNCTION("""COMPUTED_VALUE"""),95.08)</f>
        <v>95.08</v>
      </c>
      <c r="F294" s="1">
        <f>IFERROR(__xludf.DUMMYFUNCTION("""COMPUTED_VALUE"""),872656.0)</f>
        <v>872656</v>
      </c>
      <c r="G294" s="2" t="s">
        <v>1</v>
      </c>
    </row>
    <row r="295">
      <c r="A295" s="3">
        <f>IFERROR(__xludf.DUMMYFUNCTION("""COMPUTED_VALUE"""),44991.66666666667)</f>
        <v>44991.66667</v>
      </c>
      <c r="B295" s="1">
        <f>IFERROR(__xludf.DUMMYFUNCTION("""COMPUTED_VALUE"""),97.45)</f>
        <v>97.45</v>
      </c>
      <c r="C295" s="1">
        <f>IFERROR(__xludf.DUMMYFUNCTION("""COMPUTED_VALUE"""),98.0)</f>
        <v>98</v>
      </c>
      <c r="D295" s="1">
        <f>IFERROR(__xludf.DUMMYFUNCTION("""COMPUTED_VALUE"""),96.0)</f>
        <v>96</v>
      </c>
      <c r="E295" s="1">
        <f>IFERROR(__xludf.DUMMYFUNCTION("""COMPUTED_VALUE"""),96.14)</f>
        <v>96.14</v>
      </c>
      <c r="F295" s="1">
        <f>IFERROR(__xludf.DUMMYFUNCTION("""COMPUTED_VALUE"""),3363506.0)</f>
        <v>3363506</v>
      </c>
      <c r="G295" s="2" t="s">
        <v>1</v>
      </c>
    </row>
    <row r="296">
      <c r="A296" s="3">
        <f>IFERROR(__xludf.DUMMYFUNCTION("""COMPUTED_VALUE"""),44992.66666666667)</f>
        <v>44992.66667</v>
      </c>
      <c r="B296" s="1">
        <f>IFERROR(__xludf.DUMMYFUNCTION("""COMPUTED_VALUE"""),95.32)</f>
        <v>95.32</v>
      </c>
      <c r="C296" s="1">
        <f>IFERROR(__xludf.DUMMYFUNCTION("""COMPUTED_VALUE"""),95.95)</f>
        <v>95.95</v>
      </c>
      <c r="D296" s="1">
        <f>IFERROR(__xludf.DUMMYFUNCTION("""COMPUTED_VALUE"""),93.54)</f>
        <v>93.54</v>
      </c>
      <c r="E296" s="1">
        <f>IFERROR(__xludf.DUMMYFUNCTION("""COMPUTED_VALUE"""),94.11)</f>
        <v>94.11</v>
      </c>
      <c r="F296" s="1">
        <f>IFERROR(__xludf.DUMMYFUNCTION("""COMPUTED_VALUE"""),2023169.0)</f>
        <v>2023169</v>
      </c>
      <c r="G296" s="2" t="s">
        <v>1</v>
      </c>
    </row>
    <row r="297">
      <c r="A297" s="3">
        <f>IFERROR(__xludf.DUMMYFUNCTION("""COMPUTED_VALUE"""),44993.66666666667)</f>
        <v>44993.66667</v>
      </c>
      <c r="B297" s="1">
        <f>IFERROR(__xludf.DUMMYFUNCTION("""COMPUTED_VALUE"""),94.49)</f>
        <v>94.49</v>
      </c>
      <c r="C297" s="1">
        <f>IFERROR(__xludf.DUMMYFUNCTION("""COMPUTED_VALUE"""),95.62)</f>
        <v>95.62</v>
      </c>
      <c r="D297" s="1">
        <f>IFERROR(__xludf.DUMMYFUNCTION("""COMPUTED_VALUE"""),94.13)</f>
        <v>94.13</v>
      </c>
      <c r="E297" s="1">
        <f>IFERROR(__xludf.DUMMYFUNCTION("""COMPUTED_VALUE"""),95.29)</f>
        <v>95.29</v>
      </c>
      <c r="F297" s="1">
        <f>IFERROR(__xludf.DUMMYFUNCTION("""COMPUTED_VALUE"""),1057461.0)</f>
        <v>1057461</v>
      </c>
      <c r="G297" s="2" t="s">
        <v>1</v>
      </c>
    </row>
    <row r="298">
      <c r="A298" s="3">
        <f>IFERROR(__xludf.DUMMYFUNCTION("""COMPUTED_VALUE"""),44994.66666666667)</f>
        <v>44994.66667</v>
      </c>
      <c r="B298" s="1">
        <f>IFERROR(__xludf.DUMMYFUNCTION("""COMPUTED_VALUE"""),95.18)</f>
        <v>95.18</v>
      </c>
      <c r="C298" s="1">
        <f>IFERROR(__xludf.DUMMYFUNCTION("""COMPUTED_VALUE"""),96.2)</f>
        <v>96.2</v>
      </c>
      <c r="D298" s="1">
        <f>IFERROR(__xludf.DUMMYFUNCTION("""COMPUTED_VALUE"""),93.39)</f>
        <v>93.39</v>
      </c>
      <c r="E298" s="1">
        <f>IFERROR(__xludf.DUMMYFUNCTION("""COMPUTED_VALUE"""),93.55)</f>
        <v>93.55</v>
      </c>
      <c r="F298" s="1">
        <f>IFERROR(__xludf.DUMMYFUNCTION("""COMPUTED_VALUE"""),1102137.0)</f>
        <v>1102137</v>
      </c>
      <c r="G298" s="2" t="s">
        <v>1</v>
      </c>
    </row>
    <row r="299">
      <c r="A299" s="3">
        <f>IFERROR(__xludf.DUMMYFUNCTION("""COMPUTED_VALUE"""),44995.66666666667)</f>
        <v>44995.66667</v>
      </c>
      <c r="B299" s="1">
        <f>IFERROR(__xludf.DUMMYFUNCTION("""COMPUTED_VALUE"""),93.91)</f>
        <v>93.91</v>
      </c>
      <c r="C299" s="1">
        <f>IFERROR(__xludf.DUMMYFUNCTION("""COMPUTED_VALUE"""),94.04)</f>
        <v>94.04</v>
      </c>
      <c r="D299" s="1">
        <f>IFERROR(__xludf.DUMMYFUNCTION("""COMPUTED_VALUE"""),90.56)</f>
        <v>90.56</v>
      </c>
      <c r="E299" s="1">
        <f>IFERROR(__xludf.DUMMYFUNCTION("""COMPUTED_VALUE"""),91.69)</f>
        <v>91.69</v>
      </c>
      <c r="F299" s="1">
        <f>IFERROR(__xludf.DUMMYFUNCTION("""COMPUTED_VALUE"""),1321944.0)</f>
        <v>1321944</v>
      </c>
      <c r="G299" s="2" t="s">
        <v>1</v>
      </c>
    </row>
    <row r="300">
      <c r="A300" s="3">
        <f>IFERROR(__xludf.DUMMYFUNCTION("""COMPUTED_VALUE"""),44998.66666666667)</f>
        <v>44998.66667</v>
      </c>
      <c r="B300" s="1">
        <f>IFERROR(__xludf.DUMMYFUNCTION("""COMPUTED_VALUE"""),88.58)</f>
        <v>88.58</v>
      </c>
      <c r="C300" s="1">
        <f>IFERROR(__xludf.DUMMYFUNCTION("""COMPUTED_VALUE"""),90.33)</f>
        <v>90.33</v>
      </c>
      <c r="D300" s="1">
        <f>IFERROR(__xludf.DUMMYFUNCTION("""COMPUTED_VALUE"""),87.35)</f>
        <v>87.35</v>
      </c>
      <c r="E300" s="1">
        <f>IFERROR(__xludf.DUMMYFUNCTION("""COMPUTED_VALUE"""),89.57)</f>
        <v>89.57</v>
      </c>
      <c r="F300" s="1">
        <f>IFERROR(__xludf.DUMMYFUNCTION("""COMPUTED_VALUE"""),1765863.0)</f>
        <v>1765863</v>
      </c>
      <c r="G300" s="2" t="s">
        <v>1</v>
      </c>
    </row>
    <row r="301">
      <c r="A301" s="3">
        <f>IFERROR(__xludf.DUMMYFUNCTION("""COMPUTED_VALUE"""),44999.66666666667)</f>
        <v>44999.66667</v>
      </c>
      <c r="B301" s="1">
        <f>IFERROR(__xludf.DUMMYFUNCTION("""COMPUTED_VALUE"""),91.78)</f>
        <v>91.78</v>
      </c>
      <c r="C301" s="1">
        <f>IFERROR(__xludf.DUMMYFUNCTION("""COMPUTED_VALUE"""),93.18)</f>
        <v>93.18</v>
      </c>
      <c r="D301" s="1">
        <f>IFERROR(__xludf.DUMMYFUNCTION("""COMPUTED_VALUE"""),91.11)</f>
        <v>91.11</v>
      </c>
      <c r="E301" s="1">
        <f>IFERROR(__xludf.DUMMYFUNCTION("""COMPUTED_VALUE"""),92.0)</f>
        <v>92</v>
      </c>
      <c r="F301" s="1">
        <f>IFERROR(__xludf.DUMMYFUNCTION("""COMPUTED_VALUE"""),1692999.0)</f>
        <v>1692999</v>
      </c>
      <c r="G301" s="2" t="s">
        <v>1</v>
      </c>
    </row>
    <row r="302">
      <c r="A302" s="3">
        <f>IFERROR(__xludf.DUMMYFUNCTION("""COMPUTED_VALUE"""),45000.66666666667)</f>
        <v>45000.66667</v>
      </c>
      <c r="B302" s="1">
        <f>IFERROR(__xludf.DUMMYFUNCTION("""COMPUTED_VALUE"""),87.56)</f>
        <v>87.56</v>
      </c>
      <c r="C302" s="1">
        <f>IFERROR(__xludf.DUMMYFUNCTION("""COMPUTED_VALUE"""),88.34)</f>
        <v>88.34</v>
      </c>
      <c r="D302" s="1">
        <f>IFERROR(__xludf.DUMMYFUNCTION("""COMPUTED_VALUE"""),86.21)</f>
        <v>86.21</v>
      </c>
      <c r="E302" s="1">
        <f>IFERROR(__xludf.DUMMYFUNCTION("""COMPUTED_VALUE"""),88.22)</f>
        <v>88.22</v>
      </c>
      <c r="F302" s="1">
        <f>IFERROR(__xludf.DUMMYFUNCTION("""COMPUTED_VALUE"""),1768392.0)</f>
        <v>1768392</v>
      </c>
      <c r="G302" s="2" t="s">
        <v>1</v>
      </c>
    </row>
    <row r="303">
      <c r="A303" s="3">
        <f>IFERROR(__xludf.DUMMYFUNCTION("""COMPUTED_VALUE"""),45001.66666666667)</f>
        <v>45001.66667</v>
      </c>
      <c r="B303" s="1">
        <f>IFERROR(__xludf.DUMMYFUNCTION("""COMPUTED_VALUE"""),87.01)</f>
        <v>87.01</v>
      </c>
      <c r="C303" s="1">
        <f>IFERROR(__xludf.DUMMYFUNCTION("""COMPUTED_VALUE"""),90.0)</f>
        <v>90</v>
      </c>
      <c r="D303" s="1">
        <f>IFERROR(__xludf.DUMMYFUNCTION("""COMPUTED_VALUE"""),86.91)</f>
        <v>86.91</v>
      </c>
      <c r="E303" s="1">
        <f>IFERROR(__xludf.DUMMYFUNCTION("""COMPUTED_VALUE"""),89.89)</f>
        <v>89.89</v>
      </c>
      <c r="F303" s="1">
        <f>IFERROR(__xludf.DUMMYFUNCTION("""COMPUTED_VALUE"""),1546633.0)</f>
        <v>1546633</v>
      </c>
      <c r="G303" s="2" t="s">
        <v>1</v>
      </c>
    </row>
    <row r="304">
      <c r="A304" s="3">
        <f>IFERROR(__xludf.DUMMYFUNCTION("""COMPUTED_VALUE"""),45002.66666666667)</f>
        <v>45002.66667</v>
      </c>
      <c r="B304" s="1">
        <f>IFERROR(__xludf.DUMMYFUNCTION("""COMPUTED_VALUE"""),88.45)</f>
        <v>88.45</v>
      </c>
      <c r="C304" s="1">
        <f>IFERROR(__xludf.DUMMYFUNCTION("""COMPUTED_VALUE"""),88.56)</f>
        <v>88.56</v>
      </c>
      <c r="D304" s="1">
        <f>IFERROR(__xludf.DUMMYFUNCTION("""COMPUTED_VALUE"""),86.07)</f>
        <v>86.07</v>
      </c>
      <c r="E304" s="1">
        <f>IFERROR(__xludf.DUMMYFUNCTION("""COMPUTED_VALUE"""),87.38)</f>
        <v>87.38</v>
      </c>
      <c r="F304" s="1">
        <f>IFERROR(__xludf.DUMMYFUNCTION("""COMPUTED_VALUE"""),1.2459525E7)</f>
        <v>12459525</v>
      </c>
      <c r="G304" s="2" t="s">
        <v>1</v>
      </c>
    </row>
    <row r="305">
      <c r="A305" s="3">
        <f>IFERROR(__xludf.DUMMYFUNCTION("""COMPUTED_VALUE"""),45005.66666666667)</f>
        <v>45005.66667</v>
      </c>
      <c r="B305" s="1">
        <f>IFERROR(__xludf.DUMMYFUNCTION("""COMPUTED_VALUE"""),87.45)</f>
        <v>87.45</v>
      </c>
      <c r="C305" s="1">
        <f>IFERROR(__xludf.DUMMYFUNCTION("""COMPUTED_VALUE"""),88.4)</f>
        <v>88.4</v>
      </c>
      <c r="D305" s="1">
        <f>IFERROR(__xludf.DUMMYFUNCTION("""COMPUTED_VALUE"""),86.37)</f>
        <v>86.37</v>
      </c>
      <c r="E305" s="1">
        <f>IFERROR(__xludf.DUMMYFUNCTION("""COMPUTED_VALUE"""),86.67)</f>
        <v>86.67</v>
      </c>
      <c r="F305" s="1">
        <f>IFERROR(__xludf.DUMMYFUNCTION("""COMPUTED_VALUE"""),1364584.0)</f>
        <v>1364584</v>
      </c>
      <c r="G305" s="2" t="s">
        <v>1</v>
      </c>
    </row>
    <row r="306">
      <c r="A306" s="3">
        <f>IFERROR(__xludf.DUMMYFUNCTION("""COMPUTED_VALUE"""),45006.66666666667)</f>
        <v>45006.66667</v>
      </c>
      <c r="B306" s="1">
        <f>IFERROR(__xludf.DUMMYFUNCTION("""COMPUTED_VALUE"""),88.7)</f>
        <v>88.7</v>
      </c>
      <c r="C306" s="1">
        <f>IFERROR(__xludf.DUMMYFUNCTION("""COMPUTED_VALUE"""),90.05)</f>
        <v>90.05</v>
      </c>
      <c r="D306" s="1">
        <f>IFERROR(__xludf.DUMMYFUNCTION("""COMPUTED_VALUE"""),88.62)</f>
        <v>88.62</v>
      </c>
      <c r="E306" s="1">
        <f>IFERROR(__xludf.DUMMYFUNCTION("""COMPUTED_VALUE"""),89.42)</f>
        <v>89.42</v>
      </c>
      <c r="F306" s="1">
        <f>IFERROR(__xludf.DUMMYFUNCTION("""COMPUTED_VALUE"""),1160988.0)</f>
        <v>1160988</v>
      </c>
      <c r="G306" s="2" t="s">
        <v>1</v>
      </c>
    </row>
    <row r="307">
      <c r="A307" s="3">
        <f>IFERROR(__xludf.DUMMYFUNCTION("""COMPUTED_VALUE"""),45007.66666666667)</f>
        <v>45007.66667</v>
      </c>
      <c r="B307" s="1">
        <f>IFERROR(__xludf.DUMMYFUNCTION("""COMPUTED_VALUE"""),89.0)</f>
        <v>89</v>
      </c>
      <c r="C307" s="1">
        <f>IFERROR(__xludf.DUMMYFUNCTION("""COMPUTED_VALUE"""),90.12)</f>
        <v>90.12</v>
      </c>
      <c r="D307" s="1">
        <f>IFERROR(__xludf.DUMMYFUNCTION("""COMPUTED_VALUE"""),87.86)</f>
        <v>87.86</v>
      </c>
      <c r="E307" s="1">
        <f>IFERROR(__xludf.DUMMYFUNCTION("""COMPUTED_VALUE"""),87.92)</f>
        <v>87.92</v>
      </c>
      <c r="F307" s="1">
        <f>IFERROR(__xludf.DUMMYFUNCTION("""COMPUTED_VALUE"""),1046568.0)</f>
        <v>1046568</v>
      </c>
      <c r="G307" s="2" t="s">
        <v>1</v>
      </c>
    </row>
    <row r="308">
      <c r="A308" s="3">
        <f>IFERROR(__xludf.DUMMYFUNCTION("""COMPUTED_VALUE"""),45008.66666666667)</f>
        <v>45008.66667</v>
      </c>
      <c r="B308" s="1">
        <f>IFERROR(__xludf.DUMMYFUNCTION("""COMPUTED_VALUE"""),88.64)</f>
        <v>88.64</v>
      </c>
      <c r="C308" s="1">
        <f>IFERROR(__xludf.DUMMYFUNCTION("""COMPUTED_VALUE"""),89.17)</f>
        <v>89.17</v>
      </c>
      <c r="D308" s="1">
        <f>IFERROR(__xludf.DUMMYFUNCTION("""COMPUTED_VALUE"""),87.13)</f>
        <v>87.13</v>
      </c>
      <c r="E308" s="1">
        <f>IFERROR(__xludf.DUMMYFUNCTION("""COMPUTED_VALUE"""),87.99)</f>
        <v>87.99</v>
      </c>
      <c r="F308" s="1">
        <f>IFERROR(__xludf.DUMMYFUNCTION("""COMPUTED_VALUE"""),953292.0)</f>
        <v>953292</v>
      </c>
      <c r="G308" s="2" t="s">
        <v>1</v>
      </c>
    </row>
    <row r="309">
      <c r="A309" s="3">
        <f>IFERROR(__xludf.DUMMYFUNCTION("""COMPUTED_VALUE"""),45009.66666666667)</f>
        <v>45009.66667</v>
      </c>
      <c r="B309" s="1">
        <f>IFERROR(__xludf.DUMMYFUNCTION("""COMPUTED_VALUE"""),87.47)</f>
        <v>87.47</v>
      </c>
      <c r="C309" s="1">
        <f>IFERROR(__xludf.DUMMYFUNCTION("""COMPUTED_VALUE"""),89.41)</f>
        <v>89.41</v>
      </c>
      <c r="D309" s="1">
        <f>IFERROR(__xludf.DUMMYFUNCTION("""COMPUTED_VALUE"""),86.98)</f>
        <v>86.98</v>
      </c>
      <c r="E309" s="1">
        <f>IFERROR(__xludf.DUMMYFUNCTION("""COMPUTED_VALUE"""),89.24)</f>
        <v>89.24</v>
      </c>
      <c r="F309" s="1">
        <f>IFERROR(__xludf.DUMMYFUNCTION("""COMPUTED_VALUE"""),874650.0)</f>
        <v>874650</v>
      </c>
      <c r="G309" s="2" t="s">
        <v>1</v>
      </c>
    </row>
    <row r="310">
      <c r="A310" s="3">
        <f>IFERROR(__xludf.DUMMYFUNCTION("""COMPUTED_VALUE"""),45012.66666666667)</f>
        <v>45012.66667</v>
      </c>
      <c r="B310" s="1">
        <f>IFERROR(__xludf.DUMMYFUNCTION("""COMPUTED_VALUE"""),90.04)</f>
        <v>90.04</v>
      </c>
      <c r="C310" s="1">
        <f>IFERROR(__xludf.DUMMYFUNCTION("""COMPUTED_VALUE"""),90.42)</f>
        <v>90.42</v>
      </c>
      <c r="D310" s="1">
        <f>IFERROR(__xludf.DUMMYFUNCTION("""COMPUTED_VALUE"""),88.16)</f>
        <v>88.16</v>
      </c>
      <c r="E310" s="1">
        <f>IFERROR(__xludf.DUMMYFUNCTION("""COMPUTED_VALUE"""),89.21)</f>
        <v>89.21</v>
      </c>
      <c r="F310" s="1">
        <f>IFERROR(__xludf.DUMMYFUNCTION("""COMPUTED_VALUE"""),742222.0)</f>
        <v>742222</v>
      </c>
      <c r="G310" s="2" t="s">
        <v>1</v>
      </c>
    </row>
    <row r="311">
      <c r="A311" s="3">
        <f>IFERROR(__xludf.DUMMYFUNCTION("""COMPUTED_VALUE"""),45013.66666666667)</f>
        <v>45013.66667</v>
      </c>
      <c r="B311" s="1">
        <f>IFERROR(__xludf.DUMMYFUNCTION("""COMPUTED_VALUE"""),89.98)</f>
        <v>89.98</v>
      </c>
      <c r="C311" s="1">
        <f>IFERROR(__xludf.DUMMYFUNCTION("""COMPUTED_VALUE"""),90.32)</f>
        <v>90.32</v>
      </c>
      <c r="D311" s="1">
        <f>IFERROR(__xludf.DUMMYFUNCTION("""COMPUTED_VALUE"""),89.43)</f>
        <v>89.43</v>
      </c>
      <c r="E311" s="1">
        <f>IFERROR(__xludf.DUMMYFUNCTION("""COMPUTED_VALUE"""),90.15)</f>
        <v>90.15</v>
      </c>
      <c r="F311" s="1">
        <f>IFERROR(__xludf.DUMMYFUNCTION("""COMPUTED_VALUE"""),990760.0)</f>
        <v>990760</v>
      </c>
      <c r="G311" s="2" t="s">
        <v>1</v>
      </c>
    </row>
    <row r="312">
      <c r="A312" s="3">
        <f>IFERROR(__xludf.DUMMYFUNCTION("""COMPUTED_VALUE"""),45014.66666666667)</f>
        <v>45014.66667</v>
      </c>
      <c r="B312" s="1">
        <f>IFERROR(__xludf.DUMMYFUNCTION("""COMPUTED_VALUE"""),90.21)</f>
        <v>90.21</v>
      </c>
      <c r="C312" s="1">
        <f>IFERROR(__xludf.DUMMYFUNCTION("""COMPUTED_VALUE"""),91.16)</f>
        <v>91.16</v>
      </c>
      <c r="D312" s="1">
        <f>IFERROR(__xludf.DUMMYFUNCTION("""COMPUTED_VALUE"""),89.85)</f>
        <v>89.85</v>
      </c>
      <c r="E312" s="1">
        <f>IFERROR(__xludf.DUMMYFUNCTION("""COMPUTED_VALUE"""),90.99)</f>
        <v>90.99</v>
      </c>
      <c r="F312" s="1">
        <f>IFERROR(__xludf.DUMMYFUNCTION("""COMPUTED_VALUE"""),843161.0)</f>
        <v>843161</v>
      </c>
      <c r="G312" s="2" t="s">
        <v>1</v>
      </c>
    </row>
    <row r="313">
      <c r="A313" s="3">
        <f>IFERROR(__xludf.DUMMYFUNCTION("""COMPUTED_VALUE"""),45015.66666666667)</f>
        <v>45015.66667</v>
      </c>
      <c r="B313" s="1">
        <f>IFERROR(__xludf.DUMMYFUNCTION("""COMPUTED_VALUE"""),92.48)</f>
        <v>92.48</v>
      </c>
      <c r="C313" s="1">
        <f>IFERROR(__xludf.DUMMYFUNCTION("""COMPUTED_VALUE"""),93.14)</f>
        <v>93.14</v>
      </c>
      <c r="D313" s="1">
        <f>IFERROR(__xludf.DUMMYFUNCTION("""COMPUTED_VALUE"""),91.75)</f>
        <v>91.75</v>
      </c>
      <c r="E313" s="1">
        <f>IFERROR(__xludf.DUMMYFUNCTION("""COMPUTED_VALUE"""),92.44)</f>
        <v>92.44</v>
      </c>
      <c r="F313" s="1">
        <f>IFERROR(__xludf.DUMMYFUNCTION("""COMPUTED_VALUE"""),666881.0)</f>
        <v>666881</v>
      </c>
      <c r="G313" s="2" t="s">
        <v>1</v>
      </c>
    </row>
    <row r="314">
      <c r="A314" s="3">
        <f>IFERROR(__xludf.DUMMYFUNCTION("""COMPUTED_VALUE"""),45016.66666666667)</f>
        <v>45016.66667</v>
      </c>
      <c r="B314" s="1">
        <f>IFERROR(__xludf.DUMMYFUNCTION("""COMPUTED_VALUE"""),93.05)</f>
        <v>93.05</v>
      </c>
      <c r="C314" s="1">
        <f>IFERROR(__xludf.DUMMYFUNCTION("""COMPUTED_VALUE"""),93.38)</f>
        <v>93.38</v>
      </c>
      <c r="D314" s="1">
        <f>IFERROR(__xludf.DUMMYFUNCTION("""COMPUTED_VALUE"""),92.56)</f>
        <v>92.56</v>
      </c>
      <c r="E314" s="1">
        <f>IFERROR(__xludf.DUMMYFUNCTION("""COMPUTED_VALUE"""),93.36)</f>
        <v>93.36</v>
      </c>
      <c r="F314" s="1">
        <f>IFERROR(__xludf.DUMMYFUNCTION("""COMPUTED_VALUE"""),873486.0)</f>
        <v>873486</v>
      </c>
      <c r="G314" s="2" t="s">
        <v>1</v>
      </c>
    </row>
    <row r="315">
      <c r="A315" s="3">
        <f>IFERROR(__xludf.DUMMYFUNCTION("""COMPUTED_VALUE"""),45019.66666666667)</f>
        <v>45019.66667</v>
      </c>
      <c r="B315" s="1">
        <f>IFERROR(__xludf.DUMMYFUNCTION("""COMPUTED_VALUE"""),93.14)</f>
        <v>93.14</v>
      </c>
      <c r="C315" s="1">
        <f>IFERROR(__xludf.DUMMYFUNCTION("""COMPUTED_VALUE"""),93.89)</f>
        <v>93.89</v>
      </c>
      <c r="D315" s="1">
        <f>IFERROR(__xludf.DUMMYFUNCTION("""COMPUTED_VALUE"""),92.42)</f>
        <v>92.42</v>
      </c>
      <c r="E315" s="1">
        <f>IFERROR(__xludf.DUMMYFUNCTION("""COMPUTED_VALUE"""),92.86)</f>
        <v>92.86</v>
      </c>
      <c r="F315" s="1">
        <f>IFERROR(__xludf.DUMMYFUNCTION("""COMPUTED_VALUE"""),640987.0)</f>
        <v>640987</v>
      </c>
      <c r="G315" s="2" t="s">
        <v>1</v>
      </c>
    </row>
    <row r="316">
      <c r="A316" s="3">
        <f>IFERROR(__xludf.DUMMYFUNCTION("""COMPUTED_VALUE"""),45020.66666666667)</f>
        <v>45020.66667</v>
      </c>
      <c r="B316" s="1">
        <f>IFERROR(__xludf.DUMMYFUNCTION("""COMPUTED_VALUE"""),93.13)</f>
        <v>93.13</v>
      </c>
      <c r="C316" s="1">
        <f>IFERROR(__xludf.DUMMYFUNCTION("""COMPUTED_VALUE"""),93.28)</f>
        <v>93.28</v>
      </c>
      <c r="D316" s="1">
        <f>IFERROR(__xludf.DUMMYFUNCTION("""COMPUTED_VALUE"""),90.39)</f>
        <v>90.39</v>
      </c>
      <c r="E316" s="1">
        <f>IFERROR(__xludf.DUMMYFUNCTION("""COMPUTED_VALUE"""),91.05)</f>
        <v>91.05</v>
      </c>
      <c r="F316" s="1">
        <f>IFERROR(__xludf.DUMMYFUNCTION("""COMPUTED_VALUE"""),732414.0)</f>
        <v>732414</v>
      </c>
      <c r="G316" s="2" t="s">
        <v>1</v>
      </c>
    </row>
    <row r="317">
      <c r="A317" s="3">
        <f>IFERROR(__xludf.DUMMYFUNCTION("""COMPUTED_VALUE"""),45021.66666666667)</f>
        <v>45021.66667</v>
      </c>
      <c r="B317" s="1">
        <f>IFERROR(__xludf.DUMMYFUNCTION("""COMPUTED_VALUE"""),89.75)</f>
        <v>89.75</v>
      </c>
      <c r="C317" s="1">
        <f>IFERROR(__xludf.DUMMYFUNCTION("""COMPUTED_VALUE"""),89.79)</f>
        <v>89.79</v>
      </c>
      <c r="D317" s="1">
        <f>IFERROR(__xludf.DUMMYFUNCTION("""COMPUTED_VALUE"""),87.79)</f>
        <v>87.79</v>
      </c>
      <c r="E317" s="1">
        <f>IFERROR(__xludf.DUMMYFUNCTION("""COMPUTED_VALUE"""),88.67)</f>
        <v>88.67</v>
      </c>
      <c r="F317" s="1">
        <f>IFERROR(__xludf.DUMMYFUNCTION("""COMPUTED_VALUE"""),639137.0)</f>
        <v>639137</v>
      </c>
      <c r="G317" s="2" t="s">
        <v>1</v>
      </c>
    </row>
    <row r="318">
      <c r="A318" s="3">
        <f>IFERROR(__xludf.DUMMYFUNCTION("""COMPUTED_VALUE"""),45022.66666666667)</f>
        <v>45022.66667</v>
      </c>
      <c r="B318" s="1">
        <f>IFERROR(__xludf.DUMMYFUNCTION("""COMPUTED_VALUE"""),87.69)</f>
        <v>87.69</v>
      </c>
      <c r="C318" s="1">
        <f>IFERROR(__xludf.DUMMYFUNCTION("""COMPUTED_VALUE"""),87.69)</f>
        <v>87.69</v>
      </c>
      <c r="D318" s="1">
        <f>IFERROR(__xludf.DUMMYFUNCTION("""COMPUTED_VALUE"""),86.55)</f>
        <v>86.55</v>
      </c>
      <c r="E318" s="1">
        <f>IFERROR(__xludf.DUMMYFUNCTION("""COMPUTED_VALUE"""),87.48)</f>
        <v>87.48</v>
      </c>
      <c r="F318" s="1">
        <f>IFERROR(__xludf.DUMMYFUNCTION("""COMPUTED_VALUE"""),731888.0)</f>
        <v>731888</v>
      </c>
      <c r="G318" s="2" t="s">
        <v>1</v>
      </c>
    </row>
    <row r="319">
      <c r="A319" s="3">
        <f>IFERROR(__xludf.DUMMYFUNCTION("""COMPUTED_VALUE"""),45026.66666666667)</f>
        <v>45026.66667</v>
      </c>
      <c r="B319" s="1">
        <f>IFERROR(__xludf.DUMMYFUNCTION("""COMPUTED_VALUE"""),87.25)</f>
        <v>87.25</v>
      </c>
      <c r="C319" s="1">
        <f>IFERROR(__xludf.DUMMYFUNCTION("""COMPUTED_VALUE"""),88.61)</f>
        <v>88.61</v>
      </c>
      <c r="D319" s="1">
        <f>IFERROR(__xludf.DUMMYFUNCTION("""COMPUTED_VALUE"""),86.98)</f>
        <v>86.98</v>
      </c>
      <c r="E319" s="1">
        <f>IFERROR(__xludf.DUMMYFUNCTION("""COMPUTED_VALUE"""),88.57)</f>
        <v>88.57</v>
      </c>
      <c r="F319" s="1">
        <f>IFERROR(__xludf.DUMMYFUNCTION("""COMPUTED_VALUE"""),522670.0)</f>
        <v>522670</v>
      </c>
      <c r="G319" s="2" t="s">
        <v>1</v>
      </c>
    </row>
    <row r="320">
      <c r="A320" s="3">
        <f>IFERROR(__xludf.DUMMYFUNCTION("""COMPUTED_VALUE"""),45027.66666666667)</f>
        <v>45027.66667</v>
      </c>
      <c r="B320" s="1">
        <f>IFERROR(__xludf.DUMMYFUNCTION("""COMPUTED_VALUE"""),88.64)</f>
        <v>88.64</v>
      </c>
      <c r="C320" s="1">
        <f>IFERROR(__xludf.DUMMYFUNCTION("""COMPUTED_VALUE"""),89.55)</f>
        <v>89.55</v>
      </c>
      <c r="D320" s="1">
        <f>IFERROR(__xludf.DUMMYFUNCTION("""COMPUTED_VALUE"""),88.44)</f>
        <v>88.44</v>
      </c>
      <c r="E320" s="1">
        <f>IFERROR(__xludf.DUMMYFUNCTION("""COMPUTED_VALUE"""),89.25)</f>
        <v>89.25</v>
      </c>
      <c r="F320" s="1">
        <f>IFERROR(__xludf.DUMMYFUNCTION("""COMPUTED_VALUE"""),688848.0)</f>
        <v>688848</v>
      </c>
      <c r="G320" s="2" t="s">
        <v>1</v>
      </c>
    </row>
    <row r="321">
      <c r="A321" s="3">
        <f>IFERROR(__xludf.DUMMYFUNCTION("""COMPUTED_VALUE"""),45028.66666666667)</f>
        <v>45028.66667</v>
      </c>
      <c r="B321" s="1">
        <f>IFERROR(__xludf.DUMMYFUNCTION("""COMPUTED_VALUE"""),89.82)</f>
        <v>89.82</v>
      </c>
      <c r="C321" s="1">
        <f>IFERROR(__xludf.DUMMYFUNCTION("""COMPUTED_VALUE"""),90.28)</f>
        <v>90.28</v>
      </c>
      <c r="D321" s="1">
        <f>IFERROR(__xludf.DUMMYFUNCTION("""COMPUTED_VALUE"""),88.56)</f>
        <v>88.56</v>
      </c>
      <c r="E321" s="1">
        <f>IFERROR(__xludf.DUMMYFUNCTION("""COMPUTED_VALUE"""),88.92)</f>
        <v>88.92</v>
      </c>
      <c r="F321" s="1">
        <f>IFERROR(__xludf.DUMMYFUNCTION("""COMPUTED_VALUE"""),549689.0)</f>
        <v>549689</v>
      </c>
      <c r="G321" s="2" t="s">
        <v>1</v>
      </c>
    </row>
    <row r="322">
      <c r="A322" s="3">
        <f>IFERROR(__xludf.DUMMYFUNCTION("""COMPUTED_VALUE"""),45029.66666666667)</f>
        <v>45029.66667</v>
      </c>
      <c r="B322" s="1">
        <f>IFERROR(__xludf.DUMMYFUNCTION("""COMPUTED_VALUE"""),89.24)</f>
        <v>89.24</v>
      </c>
      <c r="C322" s="1">
        <f>IFERROR(__xludf.DUMMYFUNCTION("""COMPUTED_VALUE"""),89.83)</f>
        <v>89.83</v>
      </c>
      <c r="D322" s="1">
        <f>IFERROR(__xludf.DUMMYFUNCTION("""COMPUTED_VALUE"""),88.42)</f>
        <v>88.42</v>
      </c>
      <c r="E322" s="1">
        <f>IFERROR(__xludf.DUMMYFUNCTION("""COMPUTED_VALUE"""),89.76)</f>
        <v>89.76</v>
      </c>
      <c r="F322" s="1">
        <f>IFERROR(__xludf.DUMMYFUNCTION("""COMPUTED_VALUE"""),637925.0)</f>
        <v>637925</v>
      </c>
      <c r="G322" s="2" t="s">
        <v>1</v>
      </c>
    </row>
    <row r="323">
      <c r="A323" s="3">
        <f>IFERROR(__xludf.DUMMYFUNCTION("""COMPUTED_VALUE"""),45030.66666666667)</f>
        <v>45030.66667</v>
      </c>
      <c r="B323" s="1">
        <f>IFERROR(__xludf.DUMMYFUNCTION("""COMPUTED_VALUE"""),90.83)</f>
        <v>90.83</v>
      </c>
      <c r="C323" s="1">
        <f>IFERROR(__xludf.DUMMYFUNCTION("""COMPUTED_VALUE"""),92.58)</f>
        <v>92.58</v>
      </c>
      <c r="D323" s="1">
        <f>IFERROR(__xludf.DUMMYFUNCTION("""COMPUTED_VALUE"""),90.75)</f>
        <v>90.75</v>
      </c>
      <c r="E323" s="1">
        <f>IFERROR(__xludf.DUMMYFUNCTION("""COMPUTED_VALUE"""),91.87)</f>
        <v>91.87</v>
      </c>
      <c r="F323" s="1">
        <f>IFERROR(__xludf.DUMMYFUNCTION("""COMPUTED_VALUE"""),942410.0)</f>
        <v>942410</v>
      </c>
      <c r="G323" s="2" t="s">
        <v>1</v>
      </c>
    </row>
    <row r="324">
      <c r="A324" s="3">
        <f>IFERROR(__xludf.DUMMYFUNCTION("""COMPUTED_VALUE"""),45033.66666666667)</f>
        <v>45033.66667</v>
      </c>
      <c r="B324" s="1">
        <f>IFERROR(__xludf.DUMMYFUNCTION("""COMPUTED_VALUE"""),91.99)</f>
        <v>91.99</v>
      </c>
      <c r="C324" s="1">
        <f>IFERROR(__xludf.DUMMYFUNCTION("""COMPUTED_VALUE"""),92.22)</f>
        <v>92.22</v>
      </c>
      <c r="D324" s="1">
        <f>IFERROR(__xludf.DUMMYFUNCTION("""COMPUTED_VALUE"""),90.45)</f>
        <v>90.45</v>
      </c>
      <c r="E324" s="1">
        <f>IFERROR(__xludf.DUMMYFUNCTION("""COMPUTED_VALUE"""),92.0)</f>
        <v>92</v>
      </c>
      <c r="F324" s="1">
        <f>IFERROR(__xludf.DUMMYFUNCTION("""COMPUTED_VALUE"""),1054007.0)</f>
        <v>1054007</v>
      </c>
      <c r="G324" s="2" t="s">
        <v>1</v>
      </c>
    </row>
    <row r="325">
      <c r="A325" s="3">
        <f>IFERROR(__xludf.DUMMYFUNCTION("""COMPUTED_VALUE"""),45034.66666666667)</f>
        <v>45034.66667</v>
      </c>
      <c r="B325" s="1">
        <f>IFERROR(__xludf.DUMMYFUNCTION("""COMPUTED_VALUE"""),93.4)</f>
        <v>93.4</v>
      </c>
      <c r="C325" s="1">
        <f>IFERROR(__xludf.DUMMYFUNCTION("""COMPUTED_VALUE"""),93.78)</f>
        <v>93.78</v>
      </c>
      <c r="D325" s="1">
        <f>IFERROR(__xludf.DUMMYFUNCTION("""COMPUTED_VALUE"""),91.75)</f>
        <v>91.75</v>
      </c>
      <c r="E325" s="1">
        <f>IFERROR(__xludf.DUMMYFUNCTION("""COMPUTED_VALUE"""),92.32)</f>
        <v>92.32</v>
      </c>
      <c r="F325" s="1">
        <f>IFERROR(__xludf.DUMMYFUNCTION("""COMPUTED_VALUE"""),899718.0)</f>
        <v>899718</v>
      </c>
      <c r="G325" s="2" t="s">
        <v>1</v>
      </c>
    </row>
    <row r="326">
      <c r="A326" s="3">
        <f>IFERROR(__xludf.DUMMYFUNCTION("""COMPUTED_VALUE"""),45035.66666666667)</f>
        <v>45035.66667</v>
      </c>
      <c r="B326" s="1">
        <f>IFERROR(__xludf.DUMMYFUNCTION("""COMPUTED_VALUE"""),91.5)</f>
        <v>91.5</v>
      </c>
      <c r="C326" s="1">
        <f>IFERROR(__xludf.DUMMYFUNCTION("""COMPUTED_VALUE"""),92.94)</f>
        <v>92.94</v>
      </c>
      <c r="D326" s="1">
        <f>IFERROR(__xludf.DUMMYFUNCTION("""COMPUTED_VALUE"""),91.3)</f>
        <v>91.3</v>
      </c>
      <c r="E326" s="1">
        <f>IFERROR(__xludf.DUMMYFUNCTION("""COMPUTED_VALUE"""),92.91)</f>
        <v>92.91</v>
      </c>
      <c r="F326" s="1">
        <f>IFERROR(__xludf.DUMMYFUNCTION("""COMPUTED_VALUE"""),1072631.0)</f>
        <v>1072631</v>
      </c>
      <c r="G326" s="2" t="s">
        <v>1</v>
      </c>
    </row>
    <row r="327">
      <c r="A327" s="3">
        <f>IFERROR(__xludf.DUMMYFUNCTION("""COMPUTED_VALUE"""),45036.66666666667)</f>
        <v>45036.66667</v>
      </c>
      <c r="B327" s="1">
        <f>IFERROR(__xludf.DUMMYFUNCTION("""COMPUTED_VALUE"""),90.68)</f>
        <v>90.68</v>
      </c>
      <c r="C327" s="1">
        <f>IFERROR(__xludf.DUMMYFUNCTION("""COMPUTED_VALUE"""),92.76)</f>
        <v>92.76</v>
      </c>
      <c r="D327" s="1">
        <f>IFERROR(__xludf.DUMMYFUNCTION("""COMPUTED_VALUE"""),90.26)</f>
        <v>90.26</v>
      </c>
      <c r="E327" s="1">
        <f>IFERROR(__xludf.DUMMYFUNCTION("""COMPUTED_VALUE"""),91.93)</f>
        <v>91.93</v>
      </c>
      <c r="F327" s="1">
        <f>IFERROR(__xludf.DUMMYFUNCTION("""COMPUTED_VALUE"""),1468783.0)</f>
        <v>1468783</v>
      </c>
      <c r="G327" s="2" t="s">
        <v>1</v>
      </c>
    </row>
    <row r="328">
      <c r="A328" s="3">
        <f>IFERROR(__xludf.DUMMYFUNCTION("""COMPUTED_VALUE"""),45037.66666666667)</f>
        <v>45037.66667</v>
      </c>
      <c r="B328" s="1">
        <f>IFERROR(__xludf.DUMMYFUNCTION("""COMPUTED_VALUE"""),87.11)</f>
        <v>87.11</v>
      </c>
      <c r="C328" s="1">
        <f>IFERROR(__xludf.DUMMYFUNCTION("""COMPUTED_VALUE"""),88.64)</f>
        <v>88.64</v>
      </c>
      <c r="D328" s="1">
        <f>IFERROR(__xludf.DUMMYFUNCTION("""COMPUTED_VALUE"""),84.67)</f>
        <v>84.67</v>
      </c>
      <c r="E328" s="1">
        <f>IFERROR(__xludf.DUMMYFUNCTION("""COMPUTED_VALUE"""),87.09)</f>
        <v>87.09</v>
      </c>
      <c r="F328" s="1">
        <f>IFERROR(__xludf.DUMMYFUNCTION("""COMPUTED_VALUE"""),3767165.0)</f>
        <v>3767165</v>
      </c>
      <c r="G328" s="2" t="s">
        <v>1</v>
      </c>
    </row>
    <row r="329">
      <c r="A329" s="3">
        <f>IFERROR(__xludf.DUMMYFUNCTION("""COMPUTED_VALUE"""),45040.66666666667)</f>
        <v>45040.66667</v>
      </c>
      <c r="B329" s="1">
        <f>IFERROR(__xludf.DUMMYFUNCTION("""COMPUTED_VALUE"""),86.96)</f>
        <v>86.96</v>
      </c>
      <c r="C329" s="1">
        <f>IFERROR(__xludf.DUMMYFUNCTION("""COMPUTED_VALUE"""),87.86)</f>
        <v>87.86</v>
      </c>
      <c r="D329" s="1">
        <f>IFERROR(__xludf.DUMMYFUNCTION("""COMPUTED_VALUE"""),85.95)</f>
        <v>85.95</v>
      </c>
      <c r="E329" s="1">
        <f>IFERROR(__xludf.DUMMYFUNCTION("""COMPUTED_VALUE"""),86.75)</f>
        <v>86.75</v>
      </c>
      <c r="F329" s="1">
        <f>IFERROR(__xludf.DUMMYFUNCTION("""COMPUTED_VALUE"""),1509648.0)</f>
        <v>1509648</v>
      </c>
      <c r="G329" s="2" t="s">
        <v>1</v>
      </c>
    </row>
    <row r="330">
      <c r="A330" s="3">
        <f>IFERROR(__xludf.DUMMYFUNCTION("""COMPUTED_VALUE"""),45041.66666666667)</f>
        <v>45041.66667</v>
      </c>
      <c r="B330" s="1">
        <f>IFERROR(__xludf.DUMMYFUNCTION("""COMPUTED_VALUE"""),86.62)</f>
        <v>86.62</v>
      </c>
      <c r="C330" s="1">
        <f>IFERROR(__xludf.DUMMYFUNCTION("""COMPUTED_VALUE"""),86.74)</f>
        <v>86.74</v>
      </c>
      <c r="D330" s="1">
        <f>IFERROR(__xludf.DUMMYFUNCTION("""COMPUTED_VALUE"""),85.37)</f>
        <v>85.37</v>
      </c>
      <c r="E330" s="1">
        <f>IFERROR(__xludf.DUMMYFUNCTION("""COMPUTED_VALUE"""),85.48)</f>
        <v>85.48</v>
      </c>
      <c r="F330" s="1">
        <f>IFERROR(__xludf.DUMMYFUNCTION("""COMPUTED_VALUE"""),909906.0)</f>
        <v>909906</v>
      </c>
      <c r="G330" s="2" t="s">
        <v>1</v>
      </c>
    </row>
    <row r="331">
      <c r="A331" s="3">
        <f>IFERROR(__xludf.DUMMYFUNCTION("""COMPUTED_VALUE"""),45042.66666666667)</f>
        <v>45042.66667</v>
      </c>
      <c r="B331" s="1">
        <f>IFERROR(__xludf.DUMMYFUNCTION("""COMPUTED_VALUE"""),85.41)</f>
        <v>85.41</v>
      </c>
      <c r="C331" s="1">
        <f>IFERROR(__xludf.DUMMYFUNCTION("""COMPUTED_VALUE"""),86.99)</f>
        <v>86.99</v>
      </c>
      <c r="D331" s="1">
        <f>IFERROR(__xludf.DUMMYFUNCTION("""COMPUTED_VALUE"""),85.41)</f>
        <v>85.41</v>
      </c>
      <c r="E331" s="1">
        <f>IFERROR(__xludf.DUMMYFUNCTION("""COMPUTED_VALUE"""),85.81)</f>
        <v>85.81</v>
      </c>
      <c r="F331" s="1">
        <f>IFERROR(__xludf.DUMMYFUNCTION("""COMPUTED_VALUE"""),942214.0)</f>
        <v>942214</v>
      </c>
      <c r="G331" s="2" t="s">
        <v>1</v>
      </c>
    </row>
    <row r="332">
      <c r="A332" s="3">
        <f>IFERROR(__xludf.DUMMYFUNCTION("""COMPUTED_VALUE"""),45043.66666666667)</f>
        <v>45043.66667</v>
      </c>
      <c r="B332" s="1">
        <f>IFERROR(__xludf.DUMMYFUNCTION("""COMPUTED_VALUE"""),85.77)</f>
        <v>85.77</v>
      </c>
      <c r="C332" s="1">
        <f>IFERROR(__xludf.DUMMYFUNCTION("""COMPUTED_VALUE"""),85.94)</f>
        <v>85.94</v>
      </c>
      <c r="D332" s="1">
        <f>IFERROR(__xludf.DUMMYFUNCTION("""COMPUTED_VALUE"""),83.65)</f>
        <v>83.65</v>
      </c>
      <c r="E332" s="1">
        <f>IFERROR(__xludf.DUMMYFUNCTION("""COMPUTED_VALUE"""),84.99)</f>
        <v>84.99</v>
      </c>
      <c r="F332" s="1">
        <f>IFERROR(__xludf.DUMMYFUNCTION("""COMPUTED_VALUE"""),894059.0)</f>
        <v>894059</v>
      </c>
      <c r="G332" s="2" t="s">
        <v>1</v>
      </c>
    </row>
    <row r="333">
      <c r="A333" s="3">
        <f>IFERROR(__xludf.DUMMYFUNCTION("""COMPUTED_VALUE"""),45044.66666666667)</f>
        <v>45044.66667</v>
      </c>
      <c r="B333" s="1">
        <f>IFERROR(__xludf.DUMMYFUNCTION("""COMPUTED_VALUE"""),84.45)</f>
        <v>84.45</v>
      </c>
      <c r="C333" s="1">
        <f>IFERROR(__xludf.DUMMYFUNCTION("""COMPUTED_VALUE"""),85.83)</f>
        <v>85.83</v>
      </c>
      <c r="D333" s="1">
        <f>IFERROR(__xludf.DUMMYFUNCTION("""COMPUTED_VALUE"""),84.26)</f>
        <v>84.26</v>
      </c>
      <c r="E333" s="1">
        <f>IFERROR(__xludf.DUMMYFUNCTION("""COMPUTED_VALUE"""),85.81)</f>
        <v>85.81</v>
      </c>
      <c r="F333" s="1">
        <f>IFERROR(__xludf.DUMMYFUNCTION("""COMPUTED_VALUE"""),653798.0)</f>
        <v>653798</v>
      </c>
      <c r="G333" s="2" t="s">
        <v>1</v>
      </c>
    </row>
    <row r="334">
      <c r="A334" s="3">
        <f>IFERROR(__xludf.DUMMYFUNCTION("""COMPUTED_VALUE"""),45047.66666666667)</f>
        <v>45047.66667</v>
      </c>
      <c r="B334" s="1">
        <f>IFERROR(__xludf.DUMMYFUNCTION("""COMPUTED_VALUE"""),86.04)</f>
        <v>86.04</v>
      </c>
      <c r="C334" s="1">
        <f>IFERROR(__xludf.DUMMYFUNCTION("""COMPUTED_VALUE"""),86.87)</f>
        <v>86.87</v>
      </c>
      <c r="D334" s="1">
        <f>IFERROR(__xludf.DUMMYFUNCTION("""COMPUTED_VALUE"""),85.29)</f>
        <v>85.29</v>
      </c>
      <c r="E334" s="1">
        <f>IFERROR(__xludf.DUMMYFUNCTION("""COMPUTED_VALUE"""),85.55)</f>
        <v>85.55</v>
      </c>
      <c r="F334" s="1">
        <f>IFERROR(__xludf.DUMMYFUNCTION("""COMPUTED_VALUE"""),540313.0)</f>
        <v>540313</v>
      </c>
      <c r="G334" s="2" t="s">
        <v>1</v>
      </c>
    </row>
    <row r="335">
      <c r="A335" s="3">
        <f>IFERROR(__xludf.DUMMYFUNCTION("""COMPUTED_VALUE"""),45048.66666666667)</f>
        <v>45048.66667</v>
      </c>
      <c r="B335" s="1">
        <f>IFERROR(__xludf.DUMMYFUNCTION("""COMPUTED_VALUE"""),84.05)</f>
        <v>84.05</v>
      </c>
      <c r="C335" s="1">
        <f>IFERROR(__xludf.DUMMYFUNCTION("""COMPUTED_VALUE"""),85.09)</f>
        <v>85.09</v>
      </c>
      <c r="D335" s="1">
        <f>IFERROR(__xludf.DUMMYFUNCTION("""COMPUTED_VALUE"""),83.34)</f>
        <v>83.34</v>
      </c>
      <c r="E335" s="1">
        <f>IFERROR(__xludf.DUMMYFUNCTION("""COMPUTED_VALUE"""),84.79)</f>
        <v>84.79</v>
      </c>
      <c r="F335" s="1">
        <f>IFERROR(__xludf.DUMMYFUNCTION("""COMPUTED_VALUE"""),955209.0)</f>
        <v>955209</v>
      </c>
      <c r="G335" s="2" t="s">
        <v>1</v>
      </c>
    </row>
    <row r="336">
      <c r="A336" s="3">
        <f>IFERROR(__xludf.DUMMYFUNCTION("""COMPUTED_VALUE"""),45049.66666666667)</f>
        <v>45049.66667</v>
      </c>
      <c r="B336" s="1">
        <f>IFERROR(__xludf.DUMMYFUNCTION("""COMPUTED_VALUE"""),84.78)</f>
        <v>84.78</v>
      </c>
      <c r="C336" s="1">
        <f>IFERROR(__xludf.DUMMYFUNCTION("""COMPUTED_VALUE"""),85.47)</f>
        <v>85.47</v>
      </c>
      <c r="D336" s="1">
        <f>IFERROR(__xludf.DUMMYFUNCTION("""COMPUTED_VALUE"""),84.37)</f>
        <v>84.37</v>
      </c>
      <c r="E336" s="1">
        <f>IFERROR(__xludf.DUMMYFUNCTION("""COMPUTED_VALUE"""),84.46)</f>
        <v>84.46</v>
      </c>
      <c r="F336" s="1">
        <f>IFERROR(__xludf.DUMMYFUNCTION("""COMPUTED_VALUE"""),1074564.0)</f>
        <v>1074564</v>
      </c>
      <c r="G336" s="2" t="s">
        <v>1</v>
      </c>
    </row>
    <row r="337">
      <c r="A337" s="3">
        <f>IFERROR(__xludf.DUMMYFUNCTION("""COMPUTED_VALUE"""),45050.66666666667)</f>
        <v>45050.66667</v>
      </c>
      <c r="B337" s="1">
        <f>IFERROR(__xludf.DUMMYFUNCTION("""COMPUTED_VALUE"""),84.95)</f>
        <v>84.95</v>
      </c>
      <c r="C337" s="1">
        <f>IFERROR(__xludf.DUMMYFUNCTION("""COMPUTED_VALUE"""),85.21)</f>
        <v>85.21</v>
      </c>
      <c r="D337" s="1">
        <f>IFERROR(__xludf.DUMMYFUNCTION("""COMPUTED_VALUE"""),82.15)</f>
        <v>82.15</v>
      </c>
      <c r="E337" s="1">
        <f>IFERROR(__xludf.DUMMYFUNCTION("""COMPUTED_VALUE"""),82.37)</f>
        <v>82.37</v>
      </c>
      <c r="F337" s="1">
        <f>IFERROR(__xludf.DUMMYFUNCTION("""COMPUTED_VALUE"""),1131106.0)</f>
        <v>1131106</v>
      </c>
      <c r="G337" s="2" t="s">
        <v>1</v>
      </c>
    </row>
    <row r="338">
      <c r="A338" s="3">
        <f>IFERROR(__xludf.DUMMYFUNCTION("""COMPUTED_VALUE"""),45051.66666666667)</f>
        <v>45051.66667</v>
      </c>
      <c r="B338" s="1">
        <f>IFERROR(__xludf.DUMMYFUNCTION("""COMPUTED_VALUE"""),83.59)</f>
        <v>83.59</v>
      </c>
      <c r="C338" s="1">
        <f>IFERROR(__xludf.DUMMYFUNCTION("""COMPUTED_VALUE"""),85.79)</f>
        <v>85.79</v>
      </c>
      <c r="D338" s="1">
        <f>IFERROR(__xludf.DUMMYFUNCTION("""COMPUTED_VALUE"""),83.59)</f>
        <v>83.59</v>
      </c>
      <c r="E338" s="1">
        <f>IFERROR(__xludf.DUMMYFUNCTION("""COMPUTED_VALUE"""),85.58)</f>
        <v>85.58</v>
      </c>
      <c r="F338" s="1">
        <f>IFERROR(__xludf.DUMMYFUNCTION("""COMPUTED_VALUE"""),776272.0)</f>
        <v>776272</v>
      </c>
      <c r="G338" s="2" t="s">
        <v>1</v>
      </c>
    </row>
    <row r="339">
      <c r="A339" s="3">
        <f>IFERROR(__xludf.DUMMYFUNCTION("""COMPUTED_VALUE"""),45054.66666666667)</f>
        <v>45054.66667</v>
      </c>
      <c r="B339" s="1">
        <f>IFERROR(__xludf.DUMMYFUNCTION("""COMPUTED_VALUE"""),85.96)</f>
        <v>85.96</v>
      </c>
      <c r="C339" s="1">
        <f>IFERROR(__xludf.DUMMYFUNCTION("""COMPUTED_VALUE"""),87.41)</f>
        <v>87.41</v>
      </c>
      <c r="D339" s="1">
        <f>IFERROR(__xludf.DUMMYFUNCTION("""COMPUTED_VALUE"""),85.61)</f>
        <v>85.61</v>
      </c>
      <c r="E339" s="1">
        <f>IFERROR(__xludf.DUMMYFUNCTION("""COMPUTED_VALUE"""),87.36)</f>
        <v>87.36</v>
      </c>
      <c r="F339" s="1">
        <f>IFERROR(__xludf.DUMMYFUNCTION("""COMPUTED_VALUE"""),941059.0)</f>
        <v>941059</v>
      </c>
      <c r="G339" s="2" t="s">
        <v>1</v>
      </c>
    </row>
    <row r="340">
      <c r="A340" s="3">
        <f>IFERROR(__xludf.DUMMYFUNCTION("""COMPUTED_VALUE"""),45055.66666666667)</f>
        <v>45055.66667</v>
      </c>
      <c r="B340" s="1">
        <f>IFERROR(__xludf.DUMMYFUNCTION("""COMPUTED_VALUE"""),86.63)</f>
        <v>86.63</v>
      </c>
      <c r="C340" s="1">
        <f>IFERROR(__xludf.DUMMYFUNCTION("""COMPUTED_VALUE"""),87.62)</f>
        <v>87.62</v>
      </c>
      <c r="D340" s="1">
        <f>IFERROR(__xludf.DUMMYFUNCTION("""COMPUTED_VALUE"""),86.63)</f>
        <v>86.63</v>
      </c>
      <c r="E340" s="1">
        <f>IFERROR(__xludf.DUMMYFUNCTION("""COMPUTED_VALUE"""),87.35)</f>
        <v>87.35</v>
      </c>
      <c r="F340" s="1">
        <f>IFERROR(__xludf.DUMMYFUNCTION("""COMPUTED_VALUE"""),792659.0)</f>
        <v>792659</v>
      </c>
      <c r="G340" s="2" t="s">
        <v>1</v>
      </c>
    </row>
    <row r="341">
      <c r="A341" s="3">
        <f>IFERROR(__xludf.DUMMYFUNCTION("""COMPUTED_VALUE"""),45056.66666666667)</f>
        <v>45056.66667</v>
      </c>
      <c r="B341" s="1">
        <f>IFERROR(__xludf.DUMMYFUNCTION("""COMPUTED_VALUE"""),88.92)</f>
        <v>88.92</v>
      </c>
      <c r="C341" s="1">
        <f>IFERROR(__xludf.DUMMYFUNCTION("""COMPUTED_VALUE"""),89.4)</f>
        <v>89.4</v>
      </c>
      <c r="D341" s="1">
        <f>IFERROR(__xludf.DUMMYFUNCTION("""COMPUTED_VALUE"""),86.87)</f>
        <v>86.87</v>
      </c>
      <c r="E341" s="1">
        <f>IFERROR(__xludf.DUMMYFUNCTION("""COMPUTED_VALUE"""),87.9)</f>
        <v>87.9</v>
      </c>
      <c r="F341" s="1">
        <f>IFERROR(__xludf.DUMMYFUNCTION("""COMPUTED_VALUE"""),876101.0)</f>
        <v>876101</v>
      </c>
      <c r="G341" s="2" t="s">
        <v>1</v>
      </c>
    </row>
    <row r="342">
      <c r="A342" s="3">
        <f>IFERROR(__xludf.DUMMYFUNCTION("""COMPUTED_VALUE"""),45057.66666666667)</f>
        <v>45057.66667</v>
      </c>
      <c r="B342" s="1">
        <f>IFERROR(__xludf.DUMMYFUNCTION("""COMPUTED_VALUE"""),87.78)</f>
        <v>87.78</v>
      </c>
      <c r="C342" s="1">
        <f>IFERROR(__xludf.DUMMYFUNCTION("""COMPUTED_VALUE"""),88.88)</f>
        <v>88.88</v>
      </c>
      <c r="D342" s="1">
        <f>IFERROR(__xludf.DUMMYFUNCTION("""COMPUTED_VALUE"""),87.68)</f>
        <v>87.68</v>
      </c>
      <c r="E342" s="1">
        <f>IFERROR(__xludf.DUMMYFUNCTION("""COMPUTED_VALUE"""),88.83)</f>
        <v>88.83</v>
      </c>
      <c r="F342" s="1">
        <f>IFERROR(__xludf.DUMMYFUNCTION("""COMPUTED_VALUE"""),798928.0)</f>
        <v>798928</v>
      </c>
      <c r="G342" s="2" t="s">
        <v>1</v>
      </c>
    </row>
    <row r="343">
      <c r="A343" s="3">
        <f>IFERROR(__xludf.DUMMYFUNCTION("""COMPUTED_VALUE"""),45058.66666666667)</f>
        <v>45058.66667</v>
      </c>
      <c r="B343" s="1">
        <f>IFERROR(__xludf.DUMMYFUNCTION("""COMPUTED_VALUE"""),88.78)</f>
        <v>88.78</v>
      </c>
      <c r="C343" s="1">
        <f>IFERROR(__xludf.DUMMYFUNCTION("""COMPUTED_VALUE"""),88.99)</f>
        <v>88.99</v>
      </c>
      <c r="D343" s="1">
        <f>IFERROR(__xludf.DUMMYFUNCTION("""COMPUTED_VALUE"""),87.11)</f>
        <v>87.11</v>
      </c>
      <c r="E343" s="1">
        <f>IFERROR(__xludf.DUMMYFUNCTION("""COMPUTED_VALUE"""),87.99)</f>
        <v>87.99</v>
      </c>
      <c r="F343" s="1">
        <f>IFERROR(__xludf.DUMMYFUNCTION("""COMPUTED_VALUE"""),868610.0)</f>
        <v>868610</v>
      </c>
      <c r="G343" s="2" t="s">
        <v>1</v>
      </c>
    </row>
    <row r="344">
      <c r="A344" s="3">
        <f>IFERROR(__xludf.DUMMYFUNCTION("""COMPUTED_VALUE"""),45061.66666666667)</f>
        <v>45061.66667</v>
      </c>
      <c r="B344" s="1">
        <f>IFERROR(__xludf.DUMMYFUNCTION("""COMPUTED_VALUE"""),87.76)</f>
        <v>87.76</v>
      </c>
      <c r="C344" s="1">
        <f>IFERROR(__xludf.DUMMYFUNCTION("""COMPUTED_VALUE"""),87.98)</f>
        <v>87.98</v>
      </c>
      <c r="D344" s="1">
        <f>IFERROR(__xludf.DUMMYFUNCTION("""COMPUTED_VALUE"""),86.78)</f>
        <v>86.78</v>
      </c>
      <c r="E344" s="1">
        <f>IFERROR(__xludf.DUMMYFUNCTION("""COMPUTED_VALUE"""),87.14)</f>
        <v>87.14</v>
      </c>
      <c r="F344" s="1">
        <f>IFERROR(__xludf.DUMMYFUNCTION("""COMPUTED_VALUE"""),694937.0)</f>
        <v>694937</v>
      </c>
      <c r="G344" s="2" t="s">
        <v>1</v>
      </c>
    </row>
    <row r="345">
      <c r="A345" s="3">
        <f>IFERROR(__xludf.DUMMYFUNCTION("""COMPUTED_VALUE"""),45062.66666666667)</f>
        <v>45062.66667</v>
      </c>
      <c r="B345" s="1">
        <f>IFERROR(__xludf.DUMMYFUNCTION("""COMPUTED_VALUE"""),85.43)</f>
        <v>85.43</v>
      </c>
      <c r="C345" s="1">
        <f>IFERROR(__xludf.DUMMYFUNCTION("""COMPUTED_VALUE"""),86.04)</f>
        <v>86.04</v>
      </c>
      <c r="D345" s="1">
        <f>IFERROR(__xludf.DUMMYFUNCTION("""COMPUTED_VALUE"""),84.89)</f>
        <v>84.89</v>
      </c>
      <c r="E345" s="1">
        <f>IFERROR(__xludf.DUMMYFUNCTION("""COMPUTED_VALUE"""),84.92)</f>
        <v>84.92</v>
      </c>
      <c r="F345" s="1">
        <f>IFERROR(__xludf.DUMMYFUNCTION("""COMPUTED_VALUE"""),798512.0)</f>
        <v>798512</v>
      </c>
      <c r="G345" s="2" t="s">
        <v>1</v>
      </c>
    </row>
    <row r="346">
      <c r="A346" s="3">
        <f>IFERROR(__xludf.DUMMYFUNCTION("""COMPUTED_VALUE"""),45063.66666666667)</f>
        <v>45063.66667</v>
      </c>
      <c r="B346" s="1">
        <f>IFERROR(__xludf.DUMMYFUNCTION("""COMPUTED_VALUE"""),85.52)</f>
        <v>85.52</v>
      </c>
      <c r="C346" s="1">
        <f>IFERROR(__xludf.DUMMYFUNCTION("""COMPUTED_VALUE"""),86.74)</f>
        <v>86.74</v>
      </c>
      <c r="D346" s="1">
        <f>IFERROR(__xludf.DUMMYFUNCTION("""COMPUTED_VALUE"""),84.44)</f>
        <v>84.44</v>
      </c>
      <c r="E346" s="1">
        <f>IFERROR(__xludf.DUMMYFUNCTION("""COMPUTED_VALUE"""),86.43)</f>
        <v>86.43</v>
      </c>
      <c r="F346" s="1">
        <f>IFERROR(__xludf.DUMMYFUNCTION("""COMPUTED_VALUE"""),665246.0)</f>
        <v>665246</v>
      </c>
      <c r="G346" s="2" t="s">
        <v>1</v>
      </c>
    </row>
    <row r="347">
      <c r="A347" s="3">
        <f>IFERROR(__xludf.DUMMYFUNCTION("""COMPUTED_VALUE"""),45064.66666666667)</f>
        <v>45064.66667</v>
      </c>
      <c r="B347" s="1">
        <f>IFERROR(__xludf.DUMMYFUNCTION("""COMPUTED_VALUE"""),86.05)</f>
        <v>86.05</v>
      </c>
      <c r="C347" s="1">
        <f>IFERROR(__xludf.DUMMYFUNCTION("""COMPUTED_VALUE"""),87.25)</f>
        <v>87.25</v>
      </c>
      <c r="D347" s="1">
        <f>IFERROR(__xludf.DUMMYFUNCTION("""COMPUTED_VALUE"""),86.05)</f>
        <v>86.05</v>
      </c>
      <c r="E347" s="1">
        <f>IFERROR(__xludf.DUMMYFUNCTION("""COMPUTED_VALUE"""),87.23)</f>
        <v>87.23</v>
      </c>
      <c r="F347" s="1">
        <f>IFERROR(__xludf.DUMMYFUNCTION("""COMPUTED_VALUE"""),621020.0)</f>
        <v>621020</v>
      </c>
      <c r="G347" s="2" t="s">
        <v>1</v>
      </c>
    </row>
    <row r="348">
      <c r="A348" s="3">
        <f>IFERROR(__xludf.DUMMYFUNCTION("""COMPUTED_VALUE"""),45065.66666666667)</f>
        <v>45065.66667</v>
      </c>
      <c r="B348" s="1">
        <f>IFERROR(__xludf.DUMMYFUNCTION("""COMPUTED_VALUE"""),88.3)</f>
        <v>88.3</v>
      </c>
      <c r="C348" s="1">
        <f>IFERROR(__xludf.DUMMYFUNCTION("""COMPUTED_VALUE"""),88.48)</f>
        <v>88.48</v>
      </c>
      <c r="D348" s="1">
        <f>IFERROR(__xludf.DUMMYFUNCTION("""COMPUTED_VALUE"""),86.8)</f>
        <v>86.8</v>
      </c>
      <c r="E348" s="1">
        <f>IFERROR(__xludf.DUMMYFUNCTION("""COMPUTED_VALUE"""),86.98)</f>
        <v>86.98</v>
      </c>
      <c r="F348" s="1">
        <f>IFERROR(__xludf.DUMMYFUNCTION("""COMPUTED_VALUE"""),792483.0)</f>
        <v>792483</v>
      </c>
      <c r="G348" s="2" t="s">
        <v>1</v>
      </c>
    </row>
    <row r="349">
      <c r="A349" s="3">
        <f>IFERROR(__xludf.DUMMYFUNCTION("""COMPUTED_VALUE"""),45068.66666666667)</f>
        <v>45068.66667</v>
      </c>
      <c r="B349" s="1">
        <f>IFERROR(__xludf.DUMMYFUNCTION("""COMPUTED_VALUE"""),86.7)</f>
        <v>86.7</v>
      </c>
      <c r="C349" s="1">
        <f>IFERROR(__xludf.DUMMYFUNCTION("""COMPUTED_VALUE"""),86.92)</f>
        <v>86.92</v>
      </c>
      <c r="D349" s="1">
        <f>IFERROR(__xludf.DUMMYFUNCTION("""COMPUTED_VALUE"""),86.06)</f>
        <v>86.06</v>
      </c>
      <c r="E349" s="1">
        <f>IFERROR(__xludf.DUMMYFUNCTION("""COMPUTED_VALUE"""),86.35)</f>
        <v>86.35</v>
      </c>
      <c r="F349" s="1">
        <f>IFERROR(__xludf.DUMMYFUNCTION("""COMPUTED_VALUE"""),697722.0)</f>
        <v>697722</v>
      </c>
      <c r="G349" s="2" t="s">
        <v>1</v>
      </c>
    </row>
    <row r="350">
      <c r="A350" s="3">
        <f>IFERROR(__xludf.DUMMYFUNCTION("""COMPUTED_VALUE"""),45069.66666666667)</f>
        <v>45069.66667</v>
      </c>
      <c r="B350" s="1">
        <f>IFERROR(__xludf.DUMMYFUNCTION("""COMPUTED_VALUE"""),85.96)</f>
        <v>85.96</v>
      </c>
      <c r="C350" s="1">
        <f>IFERROR(__xludf.DUMMYFUNCTION("""COMPUTED_VALUE"""),86.86)</f>
        <v>86.86</v>
      </c>
      <c r="D350" s="1">
        <f>IFERROR(__xludf.DUMMYFUNCTION("""COMPUTED_VALUE"""),84.49)</f>
        <v>84.49</v>
      </c>
      <c r="E350" s="1">
        <f>IFERROR(__xludf.DUMMYFUNCTION("""COMPUTED_VALUE"""),84.53)</f>
        <v>84.53</v>
      </c>
      <c r="F350" s="1">
        <f>IFERROR(__xludf.DUMMYFUNCTION("""COMPUTED_VALUE"""),864900.0)</f>
        <v>864900</v>
      </c>
      <c r="G350" s="2" t="s">
        <v>1</v>
      </c>
    </row>
    <row r="351">
      <c r="A351" s="3">
        <f>IFERROR(__xludf.DUMMYFUNCTION("""COMPUTED_VALUE"""),45070.66666666667)</f>
        <v>45070.66667</v>
      </c>
      <c r="B351" s="1">
        <f>IFERROR(__xludf.DUMMYFUNCTION("""COMPUTED_VALUE"""),82.87)</f>
        <v>82.87</v>
      </c>
      <c r="C351" s="1">
        <f>IFERROR(__xludf.DUMMYFUNCTION("""COMPUTED_VALUE"""),83.03)</f>
        <v>83.03</v>
      </c>
      <c r="D351" s="1">
        <f>IFERROR(__xludf.DUMMYFUNCTION("""COMPUTED_VALUE"""),80.79)</f>
        <v>80.79</v>
      </c>
      <c r="E351" s="1">
        <f>IFERROR(__xludf.DUMMYFUNCTION("""COMPUTED_VALUE"""),81.01)</f>
        <v>81.01</v>
      </c>
      <c r="F351" s="1">
        <f>IFERROR(__xludf.DUMMYFUNCTION("""COMPUTED_VALUE"""),1098085.0)</f>
        <v>1098085</v>
      </c>
      <c r="G351" s="2" t="s">
        <v>1</v>
      </c>
    </row>
    <row r="352">
      <c r="A352" s="3">
        <f>IFERROR(__xludf.DUMMYFUNCTION("""COMPUTED_VALUE"""),45071.66666666667)</f>
        <v>45071.66667</v>
      </c>
      <c r="B352" s="1">
        <f>IFERROR(__xludf.DUMMYFUNCTION("""COMPUTED_VALUE"""),80.47)</f>
        <v>80.47</v>
      </c>
      <c r="C352" s="1">
        <f>IFERROR(__xludf.DUMMYFUNCTION("""COMPUTED_VALUE"""),81.89)</f>
        <v>81.89</v>
      </c>
      <c r="D352" s="1">
        <f>IFERROR(__xludf.DUMMYFUNCTION("""COMPUTED_VALUE"""),80.19)</f>
        <v>80.19</v>
      </c>
      <c r="E352" s="1">
        <f>IFERROR(__xludf.DUMMYFUNCTION("""COMPUTED_VALUE"""),81.69)</f>
        <v>81.69</v>
      </c>
      <c r="F352" s="1">
        <f>IFERROR(__xludf.DUMMYFUNCTION("""COMPUTED_VALUE"""),1011910.0)</f>
        <v>1011910</v>
      </c>
      <c r="G352" s="2" t="s">
        <v>1</v>
      </c>
    </row>
    <row r="353">
      <c r="A353" s="3">
        <f>IFERROR(__xludf.DUMMYFUNCTION("""COMPUTED_VALUE"""),45072.66666666667)</f>
        <v>45072.66667</v>
      </c>
      <c r="B353" s="1">
        <f>IFERROR(__xludf.DUMMYFUNCTION("""COMPUTED_VALUE"""),82.23)</f>
        <v>82.23</v>
      </c>
      <c r="C353" s="1">
        <f>IFERROR(__xludf.DUMMYFUNCTION("""COMPUTED_VALUE"""),85.03)</f>
        <v>85.03</v>
      </c>
      <c r="D353" s="1">
        <f>IFERROR(__xludf.DUMMYFUNCTION("""COMPUTED_VALUE"""),82.23)</f>
        <v>82.23</v>
      </c>
      <c r="E353" s="1">
        <f>IFERROR(__xludf.DUMMYFUNCTION("""COMPUTED_VALUE"""),84.17)</f>
        <v>84.17</v>
      </c>
      <c r="F353" s="1">
        <f>IFERROR(__xludf.DUMMYFUNCTION("""COMPUTED_VALUE"""),633622.0)</f>
        <v>633622</v>
      </c>
      <c r="G353" s="2" t="s">
        <v>1</v>
      </c>
    </row>
    <row r="354">
      <c r="A354" s="3">
        <f>IFERROR(__xludf.DUMMYFUNCTION("""COMPUTED_VALUE"""),45076.66666666667)</f>
        <v>45076.66667</v>
      </c>
      <c r="B354" s="1">
        <f>IFERROR(__xludf.DUMMYFUNCTION("""COMPUTED_VALUE"""),83.99)</f>
        <v>83.99</v>
      </c>
      <c r="C354" s="1">
        <f>IFERROR(__xludf.DUMMYFUNCTION("""COMPUTED_VALUE"""),84.4)</f>
        <v>84.4</v>
      </c>
      <c r="D354" s="1">
        <f>IFERROR(__xludf.DUMMYFUNCTION("""COMPUTED_VALUE"""),82.02)</f>
        <v>82.02</v>
      </c>
      <c r="E354" s="1">
        <f>IFERROR(__xludf.DUMMYFUNCTION("""COMPUTED_VALUE"""),82.27)</f>
        <v>82.27</v>
      </c>
      <c r="F354" s="1">
        <f>IFERROR(__xludf.DUMMYFUNCTION("""COMPUTED_VALUE"""),918357.0)</f>
        <v>918357</v>
      </c>
      <c r="G354" s="2" t="s">
        <v>1</v>
      </c>
    </row>
    <row r="355">
      <c r="A355" s="3">
        <f>IFERROR(__xludf.DUMMYFUNCTION("""COMPUTED_VALUE"""),45077.66666666667)</f>
        <v>45077.66667</v>
      </c>
      <c r="B355" s="1">
        <f>IFERROR(__xludf.DUMMYFUNCTION("""COMPUTED_VALUE"""),81.05)</f>
        <v>81.05</v>
      </c>
      <c r="C355" s="1">
        <f>IFERROR(__xludf.DUMMYFUNCTION("""COMPUTED_VALUE"""),81.99)</f>
        <v>81.99</v>
      </c>
      <c r="D355" s="1">
        <f>IFERROR(__xludf.DUMMYFUNCTION("""COMPUTED_VALUE"""),79.66)</f>
        <v>79.66</v>
      </c>
      <c r="E355" s="1">
        <f>IFERROR(__xludf.DUMMYFUNCTION("""COMPUTED_VALUE"""),81.5)</f>
        <v>81.5</v>
      </c>
      <c r="F355" s="1">
        <f>IFERROR(__xludf.DUMMYFUNCTION("""COMPUTED_VALUE"""),1731519.0)</f>
        <v>1731519</v>
      </c>
      <c r="G355" s="2" t="s">
        <v>1</v>
      </c>
    </row>
    <row r="356">
      <c r="A356" s="3">
        <f>IFERROR(__xludf.DUMMYFUNCTION("""COMPUTED_VALUE"""),45078.66666666667)</f>
        <v>45078.66667</v>
      </c>
      <c r="B356" s="1">
        <f>IFERROR(__xludf.DUMMYFUNCTION("""COMPUTED_VALUE"""),81.95)</f>
        <v>81.95</v>
      </c>
      <c r="C356" s="1">
        <f>IFERROR(__xludf.DUMMYFUNCTION("""COMPUTED_VALUE"""),82.7)</f>
        <v>82.7</v>
      </c>
      <c r="D356" s="1">
        <f>IFERROR(__xludf.DUMMYFUNCTION("""COMPUTED_VALUE"""),81.6)</f>
        <v>81.6</v>
      </c>
      <c r="E356" s="1">
        <f>IFERROR(__xludf.DUMMYFUNCTION("""COMPUTED_VALUE"""),81.93)</f>
        <v>81.93</v>
      </c>
      <c r="F356" s="1">
        <f>IFERROR(__xludf.DUMMYFUNCTION("""COMPUTED_VALUE"""),1016221.0)</f>
        <v>1016221</v>
      </c>
      <c r="G356" s="2" t="s">
        <v>1</v>
      </c>
    </row>
    <row r="357">
      <c r="A357" s="3">
        <f>IFERROR(__xludf.DUMMYFUNCTION("""COMPUTED_VALUE"""),45079.66666666667)</f>
        <v>45079.66667</v>
      </c>
      <c r="B357" s="1">
        <f>IFERROR(__xludf.DUMMYFUNCTION("""COMPUTED_VALUE"""),83.76)</f>
        <v>83.76</v>
      </c>
      <c r="C357" s="1">
        <f>IFERROR(__xludf.DUMMYFUNCTION("""COMPUTED_VALUE"""),85.26)</f>
        <v>85.26</v>
      </c>
      <c r="D357" s="1">
        <f>IFERROR(__xludf.DUMMYFUNCTION("""COMPUTED_VALUE"""),83.76)</f>
        <v>83.76</v>
      </c>
      <c r="E357" s="1">
        <f>IFERROR(__xludf.DUMMYFUNCTION("""COMPUTED_VALUE"""),84.88)</f>
        <v>84.88</v>
      </c>
      <c r="F357" s="1">
        <f>IFERROR(__xludf.DUMMYFUNCTION("""COMPUTED_VALUE"""),950885.0)</f>
        <v>950885</v>
      </c>
      <c r="G357" s="2" t="s">
        <v>1</v>
      </c>
    </row>
    <row r="358">
      <c r="A358" s="3">
        <f>IFERROR(__xludf.DUMMYFUNCTION("""COMPUTED_VALUE"""),45082.66666666667)</f>
        <v>45082.66667</v>
      </c>
      <c r="B358" s="1">
        <f>IFERROR(__xludf.DUMMYFUNCTION("""COMPUTED_VALUE"""),85.5)</f>
        <v>85.5</v>
      </c>
      <c r="C358" s="1">
        <f>IFERROR(__xludf.DUMMYFUNCTION("""COMPUTED_VALUE"""),86.23)</f>
        <v>86.23</v>
      </c>
      <c r="D358" s="1">
        <f>IFERROR(__xludf.DUMMYFUNCTION("""COMPUTED_VALUE"""),84.14)</f>
        <v>84.14</v>
      </c>
      <c r="E358" s="1">
        <f>IFERROR(__xludf.DUMMYFUNCTION("""COMPUTED_VALUE"""),85.16)</f>
        <v>85.16</v>
      </c>
      <c r="F358" s="1">
        <f>IFERROR(__xludf.DUMMYFUNCTION("""COMPUTED_VALUE"""),843149.0)</f>
        <v>843149</v>
      </c>
      <c r="G358" s="2" t="s">
        <v>1</v>
      </c>
    </row>
    <row r="359">
      <c r="A359" s="3">
        <f>IFERROR(__xludf.DUMMYFUNCTION("""COMPUTED_VALUE"""),45083.66666666667)</f>
        <v>45083.66667</v>
      </c>
      <c r="B359" s="1">
        <f>IFERROR(__xludf.DUMMYFUNCTION("""COMPUTED_VALUE"""),84.79)</f>
        <v>84.79</v>
      </c>
      <c r="C359" s="1">
        <f>IFERROR(__xludf.DUMMYFUNCTION("""COMPUTED_VALUE"""),87.19)</f>
        <v>87.19</v>
      </c>
      <c r="D359" s="1">
        <f>IFERROR(__xludf.DUMMYFUNCTION("""COMPUTED_VALUE"""),84.62)</f>
        <v>84.62</v>
      </c>
      <c r="E359" s="1">
        <f>IFERROR(__xludf.DUMMYFUNCTION("""COMPUTED_VALUE"""),87.1)</f>
        <v>87.1</v>
      </c>
      <c r="F359" s="1">
        <f>IFERROR(__xludf.DUMMYFUNCTION("""COMPUTED_VALUE"""),1165096.0)</f>
        <v>1165096</v>
      </c>
      <c r="G359" s="2" t="s">
        <v>1</v>
      </c>
    </row>
    <row r="360">
      <c r="A360" s="3">
        <f>IFERROR(__xludf.DUMMYFUNCTION("""COMPUTED_VALUE"""),45084.66666666667)</f>
        <v>45084.66667</v>
      </c>
      <c r="B360" s="1">
        <f>IFERROR(__xludf.DUMMYFUNCTION("""COMPUTED_VALUE"""),87.19)</f>
        <v>87.19</v>
      </c>
      <c r="C360" s="1">
        <f>IFERROR(__xludf.DUMMYFUNCTION("""COMPUTED_VALUE"""),88.62)</f>
        <v>88.62</v>
      </c>
      <c r="D360" s="1">
        <f>IFERROR(__xludf.DUMMYFUNCTION("""COMPUTED_VALUE"""),87.05)</f>
        <v>87.05</v>
      </c>
      <c r="E360" s="1">
        <f>IFERROR(__xludf.DUMMYFUNCTION("""COMPUTED_VALUE"""),88.11)</f>
        <v>88.11</v>
      </c>
      <c r="F360" s="1">
        <f>IFERROR(__xludf.DUMMYFUNCTION("""COMPUTED_VALUE"""),759354.0)</f>
        <v>759354</v>
      </c>
      <c r="G360" s="2" t="s">
        <v>1</v>
      </c>
    </row>
    <row r="361">
      <c r="A361" s="3">
        <f>IFERROR(__xludf.DUMMYFUNCTION("""COMPUTED_VALUE"""),45085.66666666667)</f>
        <v>45085.66667</v>
      </c>
      <c r="B361" s="1">
        <f>IFERROR(__xludf.DUMMYFUNCTION("""COMPUTED_VALUE"""),89.87)</f>
        <v>89.87</v>
      </c>
      <c r="C361" s="1">
        <f>IFERROR(__xludf.DUMMYFUNCTION("""COMPUTED_VALUE"""),89.93)</f>
        <v>89.93</v>
      </c>
      <c r="D361" s="1">
        <f>IFERROR(__xludf.DUMMYFUNCTION("""COMPUTED_VALUE"""),88.2)</f>
        <v>88.2</v>
      </c>
      <c r="E361" s="1">
        <f>IFERROR(__xludf.DUMMYFUNCTION("""COMPUTED_VALUE"""),88.57)</f>
        <v>88.57</v>
      </c>
      <c r="F361" s="1">
        <f>IFERROR(__xludf.DUMMYFUNCTION("""COMPUTED_VALUE"""),1115674.0)</f>
        <v>1115674</v>
      </c>
      <c r="G361" s="2" t="s">
        <v>1</v>
      </c>
    </row>
    <row r="362">
      <c r="A362" s="3">
        <f>IFERROR(__xludf.DUMMYFUNCTION("""COMPUTED_VALUE"""),45086.66666666667)</f>
        <v>45086.66667</v>
      </c>
      <c r="B362" s="1">
        <f>IFERROR(__xludf.DUMMYFUNCTION("""COMPUTED_VALUE"""),88.2)</f>
        <v>88.2</v>
      </c>
      <c r="C362" s="1">
        <f>IFERROR(__xludf.DUMMYFUNCTION("""COMPUTED_VALUE"""),88.79)</f>
        <v>88.79</v>
      </c>
      <c r="D362" s="1">
        <f>IFERROR(__xludf.DUMMYFUNCTION("""COMPUTED_VALUE"""),86.64)</f>
        <v>86.64</v>
      </c>
      <c r="E362" s="1">
        <f>IFERROR(__xludf.DUMMYFUNCTION("""COMPUTED_VALUE"""),87.55)</f>
        <v>87.55</v>
      </c>
      <c r="F362" s="1">
        <f>IFERROR(__xludf.DUMMYFUNCTION("""COMPUTED_VALUE"""),983716.0)</f>
        <v>983716</v>
      </c>
      <c r="G362" s="2" t="s">
        <v>1</v>
      </c>
    </row>
    <row r="363">
      <c r="A363" s="3">
        <f>IFERROR(__xludf.DUMMYFUNCTION("""COMPUTED_VALUE"""),45089.66666666667)</f>
        <v>45089.66667</v>
      </c>
      <c r="B363" s="1">
        <f>IFERROR(__xludf.DUMMYFUNCTION("""COMPUTED_VALUE"""),88.03)</f>
        <v>88.03</v>
      </c>
      <c r="C363" s="1">
        <f>IFERROR(__xludf.DUMMYFUNCTION("""COMPUTED_VALUE"""),89.51)</f>
        <v>89.51</v>
      </c>
      <c r="D363" s="1">
        <f>IFERROR(__xludf.DUMMYFUNCTION("""COMPUTED_VALUE"""),87.86)</f>
        <v>87.86</v>
      </c>
      <c r="E363" s="1">
        <f>IFERROR(__xludf.DUMMYFUNCTION("""COMPUTED_VALUE"""),89.25)</f>
        <v>89.25</v>
      </c>
      <c r="F363" s="1">
        <f>IFERROR(__xludf.DUMMYFUNCTION("""COMPUTED_VALUE"""),1136967.0)</f>
        <v>1136967</v>
      </c>
      <c r="G363" s="2" t="s">
        <v>1</v>
      </c>
    </row>
    <row r="364">
      <c r="A364" s="3">
        <f>IFERROR(__xludf.DUMMYFUNCTION("""COMPUTED_VALUE"""),45090.66666666667)</f>
        <v>45090.66667</v>
      </c>
      <c r="B364" s="1">
        <f>IFERROR(__xludf.DUMMYFUNCTION("""COMPUTED_VALUE"""),89.42)</f>
        <v>89.42</v>
      </c>
      <c r="C364" s="1">
        <f>IFERROR(__xludf.DUMMYFUNCTION("""COMPUTED_VALUE"""),90.28)</f>
        <v>90.28</v>
      </c>
      <c r="D364" s="1">
        <f>IFERROR(__xludf.DUMMYFUNCTION("""COMPUTED_VALUE"""),89.16)</f>
        <v>89.16</v>
      </c>
      <c r="E364" s="1">
        <f>IFERROR(__xludf.DUMMYFUNCTION("""COMPUTED_VALUE"""),89.4)</f>
        <v>89.4</v>
      </c>
      <c r="F364" s="1">
        <f>IFERROR(__xludf.DUMMYFUNCTION("""COMPUTED_VALUE"""),889052.0)</f>
        <v>889052</v>
      </c>
      <c r="G364" s="2" t="s">
        <v>1</v>
      </c>
    </row>
    <row r="365">
      <c r="A365" s="3">
        <f>IFERROR(__xludf.DUMMYFUNCTION("""COMPUTED_VALUE"""),45091.66666666667)</f>
        <v>45091.66667</v>
      </c>
      <c r="B365" s="1">
        <f>IFERROR(__xludf.DUMMYFUNCTION("""COMPUTED_VALUE"""),89.69)</f>
        <v>89.69</v>
      </c>
      <c r="C365" s="1">
        <f>IFERROR(__xludf.DUMMYFUNCTION("""COMPUTED_VALUE"""),90.28)</f>
        <v>90.28</v>
      </c>
      <c r="D365" s="1">
        <f>IFERROR(__xludf.DUMMYFUNCTION("""COMPUTED_VALUE"""),86.66)</f>
        <v>86.66</v>
      </c>
      <c r="E365" s="1">
        <f>IFERROR(__xludf.DUMMYFUNCTION("""COMPUTED_VALUE"""),87.26)</f>
        <v>87.26</v>
      </c>
      <c r="F365" s="1">
        <f>IFERROR(__xludf.DUMMYFUNCTION("""COMPUTED_VALUE"""),1696150.0)</f>
        <v>1696150</v>
      </c>
      <c r="G365" s="2" t="s">
        <v>1</v>
      </c>
    </row>
    <row r="366">
      <c r="A366" s="3">
        <f>IFERROR(__xludf.DUMMYFUNCTION("""COMPUTED_VALUE"""),45092.66666666667)</f>
        <v>45092.66667</v>
      </c>
      <c r="B366" s="1">
        <f>IFERROR(__xludf.DUMMYFUNCTION("""COMPUTED_VALUE"""),86.58)</f>
        <v>86.58</v>
      </c>
      <c r="C366" s="1">
        <f>IFERROR(__xludf.DUMMYFUNCTION("""COMPUTED_VALUE"""),88.17)</f>
        <v>88.17</v>
      </c>
      <c r="D366" s="1">
        <f>IFERROR(__xludf.DUMMYFUNCTION("""COMPUTED_VALUE"""),86.58)</f>
        <v>86.58</v>
      </c>
      <c r="E366" s="1">
        <f>IFERROR(__xludf.DUMMYFUNCTION("""COMPUTED_VALUE"""),88.07)</f>
        <v>88.07</v>
      </c>
      <c r="F366" s="1">
        <f>IFERROR(__xludf.DUMMYFUNCTION("""COMPUTED_VALUE"""),1144573.0)</f>
        <v>1144573</v>
      </c>
      <c r="G366" s="2" t="s">
        <v>1</v>
      </c>
    </row>
    <row r="367">
      <c r="A367" s="3">
        <f>IFERROR(__xludf.DUMMYFUNCTION("""COMPUTED_VALUE"""),45093.66666666667)</f>
        <v>45093.66667</v>
      </c>
      <c r="B367" s="1">
        <f>IFERROR(__xludf.DUMMYFUNCTION("""COMPUTED_VALUE"""),88.3)</f>
        <v>88.3</v>
      </c>
      <c r="C367" s="1">
        <f>IFERROR(__xludf.DUMMYFUNCTION("""COMPUTED_VALUE"""),88.4)</f>
        <v>88.4</v>
      </c>
      <c r="D367" s="1">
        <f>IFERROR(__xludf.DUMMYFUNCTION("""COMPUTED_VALUE"""),87.08)</f>
        <v>87.08</v>
      </c>
      <c r="E367" s="1">
        <f>IFERROR(__xludf.DUMMYFUNCTION("""COMPUTED_VALUE"""),88.13)</f>
        <v>88.13</v>
      </c>
      <c r="F367" s="1">
        <f>IFERROR(__xludf.DUMMYFUNCTION("""COMPUTED_VALUE"""),1176856.0)</f>
        <v>1176856</v>
      </c>
      <c r="G367" s="2" t="s">
        <v>1</v>
      </c>
    </row>
    <row r="368">
      <c r="A368" s="3">
        <f>IFERROR(__xludf.DUMMYFUNCTION("""COMPUTED_VALUE"""),45097.66666666667)</f>
        <v>45097.66667</v>
      </c>
      <c r="B368" s="1">
        <f>IFERROR(__xludf.DUMMYFUNCTION("""COMPUTED_VALUE"""),84.43)</f>
        <v>84.43</v>
      </c>
      <c r="C368" s="1">
        <f>IFERROR(__xludf.DUMMYFUNCTION("""COMPUTED_VALUE"""),85.76)</f>
        <v>85.76</v>
      </c>
      <c r="D368" s="1">
        <f>IFERROR(__xludf.DUMMYFUNCTION("""COMPUTED_VALUE"""),83.67)</f>
        <v>83.67</v>
      </c>
      <c r="E368" s="1">
        <f>IFERROR(__xludf.DUMMYFUNCTION("""COMPUTED_VALUE"""),84.99)</f>
        <v>84.99</v>
      </c>
      <c r="F368" s="1">
        <f>IFERROR(__xludf.DUMMYFUNCTION("""COMPUTED_VALUE"""),1542493.0)</f>
        <v>1542493</v>
      </c>
      <c r="G368" s="2" t="s">
        <v>1</v>
      </c>
    </row>
    <row r="369">
      <c r="A369" s="3">
        <f>IFERROR(__xludf.DUMMYFUNCTION("""COMPUTED_VALUE"""),45098.66666666667)</f>
        <v>45098.66667</v>
      </c>
      <c r="B369" s="1">
        <f>IFERROR(__xludf.DUMMYFUNCTION("""COMPUTED_VALUE"""),84.91)</f>
        <v>84.91</v>
      </c>
      <c r="C369" s="1">
        <f>IFERROR(__xludf.DUMMYFUNCTION("""COMPUTED_VALUE"""),85.32)</f>
        <v>85.32</v>
      </c>
      <c r="D369" s="1">
        <f>IFERROR(__xludf.DUMMYFUNCTION("""COMPUTED_VALUE"""),84.03)</f>
        <v>84.03</v>
      </c>
      <c r="E369" s="1">
        <f>IFERROR(__xludf.DUMMYFUNCTION("""COMPUTED_VALUE"""),84.16)</f>
        <v>84.16</v>
      </c>
      <c r="F369" s="1">
        <f>IFERROR(__xludf.DUMMYFUNCTION("""COMPUTED_VALUE"""),959433.0)</f>
        <v>959433</v>
      </c>
      <c r="G369" s="2" t="s">
        <v>1</v>
      </c>
    </row>
    <row r="370">
      <c r="A370" s="3">
        <f>IFERROR(__xludf.DUMMYFUNCTION("""COMPUTED_VALUE"""),45099.66666666667)</f>
        <v>45099.66667</v>
      </c>
      <c r="B370" s="1">
        <f>IFERROR(__xludf.DUMMYFUNCTION("""COMPUTED_VALUE"""),84.43)</f>
        <v>84.43</v>
      </c>
      <c r="C370" s="1">
        <f>IFERROR(__xludf.DUMMYFUNCTION("""COMPUTED_VALUE"""),84.49)</f>
        <v>84.49</v>
      </c>
      <c r="D370" s="1">
        <f>IFERROR(__xludf.DUMMYFUNCTION("""COMPUTED_VALUE"""),83.32)</f>
        <v>83.32</v>
      </c>
      <c r="E370" s="1">
        <f>IFERROR(__xludf.DUMMYFUNCTION("""COMPUTED_VALUE"""),83.84)</f>
        <v>83.84</v>
      </c>
      <c r="F370" s="1">
        <f>IFERROR(__xludf.DUMMYFUNCTION("""COMPUTED_VALUE"""),879776.0)</f>
        <v>879776</v>
      </c>
      <c r="G370" s="2" t="s">
        <v>1</v>
      </c>
    </row>
    <row r="371">
      <c r="A371" s="3">
        <f>IFERROR(__xludf.DUMMYFUNCTION("""COMPUTED_VALUE"""),45100.66666666667)</f>
        <v>45100.66667</v>
      </c>
      <c r="B371" s="1">
        <f>IFERROR(__xludf.DUMMYFUNCTION("""COMPUTED_VALUE"""),82.67)</f>
        <v>82.67</v>
      </c>
      <c r="C371" s="1">
        <f>IFERROR(__xludf.DUMMYFUNCTION("""COMPUTED_VALUE"""),83.2)</f>
        <v>83.2</v>
      </c>
      <c r="D371" s="1">
        <f>IFERROR(__xludf.DUMMYFUNCTION("""COMPUTED_VALUE"""),82.21)</f>
        <v>82.21</v>
      </c>
      <c r="E371" s="1">
        <f>IFERROR(__xludf.DUMMYFUNCTION("""COMPUTED_VALUE"""),82.57)</f>
        <v>82.57</v>
      </c>
      <c r="F371" s="1">
        <f>IFERROR(__xludf.DUMMYFUNCTION("""COMPUTED_VALUE"""),838988.0)</f>
        <v>838988</v>
      </c>
      <c r="G371" s="2" t="s">
        <v>1</v>
      </c>
    </row>
    <row r="372">
      <c r="A372" s="3">
        <f>IFERROR(__xludf.DUMMYFUNCTION("""COMPUTED_VALUE"""),45103.66666666667)</f>
        <v>45103.66667</v>
      </c>
      <c r="B372" s="1">
        <f>IFERROR(__xludf.DUMMYFUNCTION("""COMPUTED_VALUE"""),82.96)</f>
        <v>82.96</v>
      </c>
      <c r="C372" s="1">
        <f>IFERROR(__xludf.DUMMYFUNCTION("""COMPUTED_VALUE"""),83.76)</f>
        <v>83.76</v>
      </c>
      <c r="D372" s="1">
        <f>IFERROR(__xludf.DUMMYFUNCTION("""COMPUTED_VALUE"""),82.54)</f>
        <v>82.54</v>
      </c>
      <c r="E372" s="1">
        <f>IFERROR(__xludf.DUMMYFUNCTION("""COMPUTED_VALUE"""),82.66)</f>
        <v>82.66</v>
      </c>
      <c r="F372" s="1">
        <f>IFERROR(__xludf.DUMMYFUNCTION("""COMPUTED_VALUE"""),707482.0)</f>
        <v>707482</v>
      </c>
      <c r="G372" s="2" t="s">
        <v>1</v>
      </c>
    </row>
    <row r="373">
      <c r="A373" s="3">
        <f>IFERROR(__xludf.DUMMYFUNCTION("""COMPUTED_VALUE"""),45104.66666666667)</f>
        <v>45104.66667</v>
      </c>
      <c r="B373" s="1">
        <f>IFERROR(__xludf.DUMMYFUNCTION("""COMPUTED_VALUE"""),83.31)</f>
        <v>83.31</v>
      </c>
      <c r="C373" s="1">
        <f>IFERROR(__xludf.DUMMYFUNCTION("""COMPUTED_VALUE"""),84.98)</f>
        <v>84.98</v>
      </c>
      <c r="D373" s="1">
        <f>IFERROR(__xludf.DUMMYFUNCTION("""COMPUTED_VALUE"""),82.94)</f>
        <v>82.94</v>
      </c>
      <c r="E373" s="1">
        <f>IFERROR(__xludf.DUMMYFUNCTION("""COMPUTED_VALUE"""),84.73)</f>
        <v>84.73</v>
      </c>
      <c r="F373" s="1">
        <f>IFERROR(__xludf.DUMMYFUNCTION("""COMPUTED_VALUE"""),755438.0)</f>
        <v>755438</v>
      </c>
      <c r="G373" s="2" t="s">
        <v>1</v>
      </c>
    </row>
    <row r="374">
      <c r="A374" s="3">
        <f>IFERROR(__xludf.DUMMYFUNCTION("""COMPUTED_VALUE"""),45105.66666666667)</f>
        <v>45105.66667</v>
      </c>
      <c r="B374" s="1">
        <f>IFERROR(__xludf.DUMMYFUNCTION("""COMPUTED_VALUE"""),84.3)</f>
        <v>84.3</v>
      </c>
      <c r="C374" s="1">
        <f>IFERROR(__xludf.DUMMYFUNCTION("""COMPUTED_VALUE"""),84.82)</f>
        <v>84.82</v>
      </c>
      <c r="D374" s="1">
        <f>IFERROR(__xludf.DUMMYFUNCTION("""COMPUTED_VALUE"""),83.4)</f>
        <v>83.4</v>
      </c>
      <c r="E374" s="1">
        <f>IFERROR(__xludf.DUMMYFUNCTION("""COMPUTED_VALUE"""),84.46)</f>
        <v>84.46</v>
      </c>
      <c r="F374" s="1">
        <f>IFERROR(__xludf.DUMMYFUNCTION("""COMPUTED_VALUE"""),632372.0)</f>
        <v>632372</v>
      </c>
      <c r="G374" s="2" t="s">
        <v>1</v>
      </c>
    </row>
    <row r="375">
      <c r="A375" s="3">
        <f>IFERROR(__xludf.DUMMYFUNCTION("""COMPUTED_VALUE"""),45106.66666666667)</f>
        <v>45106.66667</v>
      </c>
      <c r="B375" s="1">
        <f>IFERROR(__xludf.DUMMYFUNCTION("""COMPUTED_VALUE"""),84.34)</f>
        <v>84.34</v>
      </c>
      <c r="C375" s="1">
        <f>IFERROR(__xludf.DUMMYFUNCTION("""COMPUTED_VALUE"""),85.23)</f>
        <v>85.23</v>
      </c>
      <c r="D375" s="1">
        <f>IFERROR(__xludf.DUMMYFUNCTION("""COMPUTED_VALUE"""),84.19)</f>
        <v>84.19</v>
      </c>
      <c r="E375" s="1">
        <f>IFERROR(__xludf.DUMMYFUNCTION("""COMPUTED_VALUE"""),84.86)</f>
        <v>84.86</v>
      </c>
      <c r="F375" s="1">
        <f>IFERROR(__xludf.DUMMYFUNCTION("""COMPUTED_VALUE"""),593629.0)</f>
        <v>593629</v>
      </c>
      <c r="G375" s="2" t="s">
        <v>1</v>
      </c>
    </row>
    <row r="376">
      <c r="A376" s="3">
        <f>IFERROR(__xludf.DUMMYFUNCTION("""COMPUTED_VALUE"""),45107.66666666667)</f>
        <v>45107.66667</v>
      </c>
      <c r="B376" s="1">
        <f>IFERROR(__xludf.DUMMYFUNCTION("""COMPUTED_VALUE"""),85.35)</f>
        <v>85.35</v>
      </c>
      <c r="C376" s="1">
        <f>IFERROR(__xludf.DUMMYFUNCTION("""COMPUTED_VALUE"""),85.49)</f>
        <v>85.49</v>
      </c>
      <c r="D376" s="1">
        <f>IFERROR(__xludf.DUMMYFUNCTION("""COMPUTED_VALUE"""),84.44)</f>
        <v>84.44</v>
      </c>
      <c r="E376" s="1">
        <f>IFERROR(__xludf.DUMMYFUNCTION("""COMPUTED_VALUE"""),85.04)</f>
        <v>85.04</v>
      </c>
      <c r="F376" s="1">
        <f>IFERROR(__xludf.DUMMYFUNCTION("""COMPUTED_VALUE"""),754244.0)</f>
        <v>754244</v>
      </c>
      <c r="G376" s="2" t="s">
        <v>1</v>
      </c>
    </row>
    <row r="377">
      <c r="A377" s="3">
        <f>IFERROR(__xludf.DUMMYFUNCTION("""COMPUTED_VALUE"""),45110.54166666667)</f>
        <v>45110.54167</v>
      </c>
      <c r="B377" s="1">
        <f>IFERROR(__xludf.DUMMYFUNCTION("""COMPUTED_VALUE"""),85.1)</f>
        <v>85.1</v>
      </c>
      <c r="C377" s="1">
        <f>IFERROR(__xludf.DUMMYFUNCTION("""COMPUTED_VALUE"""),85.62)</f>
        <v>85.62</v>
      </c>
      <c r="D377" s="1">
        <f>IFERROR(__xludf.DUMMYFUNCTION("""COMPUTED_VALUE"""),84.91)</f>
        <v>84.91</v>
      </c>
      <c r="E377" s="1">
        <f>IFERROR(__xludf.DUMMYFUNCTION("""COMPUTED_VALUE"""),85.1)</f>
        <v>85.1</v>
      </c>
      <c r="F377" s="1">
        <f>IFERROR(__xludf.DUMMYFUNCTION("""COMPUTED_VALUE"""),347648.0)</f>
        <v>347648</v>
      </c>
      <c r="G377" s="2" t="s">
        <v>1</v>
      </c>
    </row>
    <row r="378">
      <c r="A378" s="3">
        <f>IFERROR(__xludf.DUMMYFUNCTION("""COMPUTED_VALUE"""),45112.66666666667)</f>
        <v>45112.66667</v>
      </c>
      <c r="B378" s="1">
        <f>IFERROR(__xludf.DUMMYFUNCTION("""COMPUTED_VALUE"""),84.78)</f>
        <v>84.78</v>
      </c>
      <c r="C378" s="1">
        <f>IFERROR(__xludf.DUMMYFUNCTION("""COMPUTED_VALUE"""),85.73)</f>
        <v>85.73</v>
      </c>
      <c r="D378" s="1">
        <f>IFERROR(__xludf.DUMMYFUNCTION("""COMPUTED_VALUE"""),84.19)</f>
        <v>84.19</v>
      </c>
      <c r="E378" s="1">
        <f>IFERROR(__xludf.DUMMYFUNCTION("""COMPUTED_VALUE"""),84.89)</f>
        <v>84.89</v>
      </c>
      <c r="F378" s="1">
        <f>IFERROR(__xludf.DUMMYFUNCTION("""COMPUTED_VALUE"""),757269.0)</f>
        <v>757269</v>
      </c>
      <c r="G378" s="2" t="s">
        <v>1</v>
      </c>
    </row>
    <row r="379">
      <c r="A379" s="3">
        <f>IFERROR(__xludf.DUMMYFUNCTION("""COMPUTED_VALUE"""),45113.66666666667)</f>
        <v>45113.66667</v>
      </c>
      <c r="B379" s="1">
        <f>IFERROR(__xludf.DUMMYFUNCTION("""COMPUTED_VALUE"""),84.02)</f>
        <v>84.02</v>
      </c>
      <c r="C379" s="1">
        <f>IFERROR(__xludf.DUMMYFUNCTION("""COMPUTED_VALUE"""),85.48)</f>
        <v>85.48</v>
      </c>
      <c r="D379" s="1">
        <f>IFERROR(__xludf.DUMMYFUNCTION("""COMPUTED_VALUE"""),83.69)</f>
        <v>83.69</v>
      </c>
      <c r="E379" s="1">
        <f>IFERROR(__xludf.DUMMYFUNCTION("""COMPUTED_VALUE"""),85.28)</f>
        <v>85.28</v>
      </c>
      <c r="F379" s="1">
        <f>IFERROR(__xludf.DUMMYFUNCTION("""COMPUTED_VALUE"""),740081.0)</f>
        <v>740081</v>
      </c>
      <c r="G379" s="2" t="s">
        <v>1</v>
      </c>
    </row>
    <row r="380">
      <c r="A380" s="3">
        <f>IFERROR(__xludf.DUMMYFUNCTION("""COMPUTED_VALUE"""),45114.66666666667)</f>
        <v>45114.66667</v>
      </c>
      <c r="B380" s="1">
        <f>IFERROR(__xludf.DUMMYFUNCTION("""COMPUTED_VALUE"""),85.68)</f>
        <v>85.68</v>
      </c>
      <c r="C380" s="1">
        <f>IFERROR(__xludf.DUMMYFUNCTION("""COMPUTED_VALUE"""),87.82)</f>
        <v>87.82</v>
      </c>
      <c r="D380" s="1">
        <f>IFERROR(__xludf.DUMMYFUNCTION("""COMPUTED_VALUE"""),85.68)</f>
        <v>85.68</v>
      </c>
      <c r="E380" s="1">
        <f>IFERROR(__xludf.DUMMYFUNCTION("""COMPUTED_VALUE"""),87.5)</f>
        <v>87.5</v>
      </c>
      <c r="F380" s="1">
        <f>IFERROR(__xludf.DUMMYFUNCTION("""COMPUTED_VALUE"""),566791.0)</f>
        <v>566791</v>
      </c>
      <c r="G380" s="2" t="s">
        <v>1</v>
      </c>
    </row>
    <row r="381">
      <c r="A381" s="3">
        <f>IFERROR(__xludf.DUMMYFUNCTION("""COMPUTED_VALUE"""),45117.66666666667)</f>
        <v>45117.66667</v>
      </c>
      <c r="B381" s="1">
        <f>IFERROR(__xludf.DUMMYFUNCTION("""COMPUTED_VALUE"""),87.01)</f>
        <v>87.01</v>
      </c>
      <c r="C381" s="1">
        <f>IFERROR(__xludf.DUMMYFUNCTION("""COMPUTED_VALUE"""),88.35)</f>
        <v>88.35</v>
      </c>
      <c r="D381" s="1">
        <f>IFERROR(__xludf.DUMMYFUNCTION("""COMPUTED_VALUE"""),87.01)</f>
        <v>87.01</v>
      </c>
      <c r="E381" s="1">
        <f>IFERROR(__xludf.DUMMYFUNCTION("""COMPUTED_VALUE"""),88.34)</f>
        <v>88.34</v>
      </c>
      <c r="F381" s="1">
        <f>IFERROR(__xludf.DUMMYFUNCTION("""COMPUTED_VALUE"""),634343.0)</f>
        <v>634343</v>
      </c>
      <c r="G381" s="2" t="s">
        <v>1</v>
      </c>
    </row>
    <row r="382">
      <c r="A382" s="3">
        <f>IFERROR(__xludf.DUMMYFUNCTION("""COMPUTED_VALUE"""),45118.66666666667)</f>
        <v>45118.66667</v>
      </c>
      <c r="B382" s="1">
        <f>IFERROR(__xludf.DUMMYFUNCTION("""COMPUTED_VALUE"""),89.25)</f>
        <v>89.25</v>
      </c>
      <c r="C382" s="1">
        <f>IFERROR(__xludf.DUMMYFUNCTION("""COMPUTED_VALUE"""),90.37)</f>
        <v>90.37</v>
      </c>
      <c r="D382" s="1">
        <f>IFERROR(__xludf.DUMMYFUNCTION("""COMPUTED_VALUE"""),89.25)</f>
        <v>89.25</v>
      </c>
      <c r="E382" s="1">
        <f>IFERROR(__xludf.DUMMYFUNCTION("""COMPUTED_VALUE"""),90.15)</f>
        <v>90.15</v>
      </c>
      <c r="F382" s="1">
        <f>IFERROR(__xludf.DUMMYFUNCTION("""COMPUTED_VALUE"""),773894.0)</f>
        <v>773894</v>
      </c>
      <c r="G382" s="2" t="s">
        <v>1</v>
      </c>
    </row>
    <row r="383">
      <c r="A383" s="3">
        <f>IFERROR(__xludf.DUMMYFUNCTION("""COMPUTED_VALUE"""),45119.66666666667)</f>
        <v>45119.66667</v>
      </c>
      <c r="B383" s="1">
        <f>IFERROR(__xludf.DUMMYFUNCTION("""COMPUTED_VALUE"""),91.88)</f>
        <v>91.88</v>
      </c>
      <c r="C383" s="1">
        <f>IFERROR(__xludf.DUMMYFUNCTION("""COMPUTED_VALUE"""),93.15)</f>
        <v>93.15</v>
      </c>
      <c r="D383" s="1">
        <f>IFERROR(__xludf.DUMMYFUNCTION("""COMPUTED_VALUE"""),91.62)</f>
        <v>91.62</v>
      </c>
      <c r="E383" s="1">
        <f>IFERROR(__xludf.DUMMYFUNCTION("""COMPUTED_VALUE"""),92.52)</f>
        <v>92.52</v>
      </c>
      <c r="F383" s="1">
        <f>IFERROR(__xludf.DUMMYFUNCTION("""COMPUTED_VALUE"""),854749.0)</f>
        <v>854749</v>
      </c>
      <c r="G383" s="2" t="s">
        <v>1</v>
      </c>
    </row>
    <row r="384">
      <c r="A384" s="3">
        <f>IFERROR(__xludf.DUMMYFUNCTION("""COMPUTED_VALUE"""),45120.66666666667)</f>
        <v>45120.66667</v>
      </c>
      <c r="B384" s="1">
        <f>IFERROR(__xludf.DUMMYFUNCTION("""COMPUTED_VALUE"""),93.01)</f>
        <v>93.01</v>
      </c>
      <c r="C384" s="1">
        <f>IFERROR(__xludf.DUMMYFUNCTION("""COMPUTED_VALUE"""),93.55)</f>
        <v>93.55</v>
      </c>
      <c r="D384" s="1">
        <f>IFERROR(__xludf.DUMMYFUNCTION("""COMPUTED_VALUE"""),92.85)</f>
        <v>92.85</v>
      </c>
      <c r="E384" s="1">
        <f>IFERROR(__xludf.DUMMYFUNCTION("""COMPUTED_VALUE"""),93.31)</f>
        <v>93.31</v>
      </c>
      <c r="F384" s="1">
        <f>IFERROR(__xludf.DUMMYFUNCTION("""COMPUTED_VALUE"""),604311.0)</f>
        <v>604311</v>
      </c>
      <c r="G384" s="2" t="s">
        <v>1</v>
      </c>
    </row>
    <row r="385">
      <c r="A385" s="3">
        <f>IFERROR(__xludf.DUMMYFUNCTION("""COMPUTED_VALUE"""),45121.66666666667)</f>
        <v>45121.66667</v>
      </c>
      <c r="B385" s="1">
        <f>IFERROR(__xludf.DUMMYFUNCTION("""COMPUTED_VALUE"""),93.24)</f>
        <v>93.24</v>
      </c>
      <c r="C385" s="1">
        <f>IFERROR(__xludf.DUMMYFUNCTION("""COMPUTED_VALUE"""),93.28)</f>
        <v>93.28</v>
      </c>
      <c r="D385" s="1">
        <f>IFERROR(__xludf.DUMMYFUNCTION("""COMPUTED_VALUE"""),91.76)</f>
        <v>91.76</v>
      </c>
      <c r="E385" s="1">
        <f>IFERROR(__xludf.DUMMYFUNCTION("""COMPUTED_VALUE"""),92.61)</f>
        <v>92.61</v>
      </c>
      <c r="F385" s="1">
        <f>IFERROR(__xludf.DUMMYFUNCTION("""COMPUTED_VALUE"""),682582.0)</f>
        <v>682582</v>
      </c>
      <c r="G385" s="2" t="s">
        <v>1</v>
      </c>
    </row>
    <row r="386">
      <c r="A386" s="3">
        <f>IFERROR(__xludf.DUMMYFUNCTION("""COMPUTED_VALUE"""),45124.66666666667)</f>
        <v>45124.66667</v>
      </c>
      <c r="B386" s="1">
        <f>IFERROR(__xludf.DUMMYFUNCTION("""COMPUTED_VALUE"""),92.14)</f>
        <v>92.14</v>
      </c>
      <c r="C386" s="1">
        <f>IFERROR(__xludf.DUMMYFUNCTION("""COMPUTED_VALUE"""),92.75)</f>
        <v>92.75</v>
      </c>
      <c r="D386" s="1">
        <f>IFERROR(__xludf.DUMMYFUNCTION("""COMPUTED_VALUE"""),91.42)</f>
        <v>91.42</v>
      </c>
      <c r="E386" s="1">
        <f>IFERROR(__xludf.DUMMYFUNCTION("""COMPUTED_VALUE"""),91.97)</f>
        <v>91.97</v>
      </c>
      <c r="F386" s="1">
        <f>IFERROR(__xludf.DUMMYFUNCTION("""COMPUTED_VALUE"""),609230.0)</f>
        <v>609230</v>
      </c>
      <c r="G386" s="2" t="s">
        <v>1</v>
      </c>
    </row>
    <row r="387">
      <c r="A387" s="3">
        <f>IFERROR(__xludf.DUMMYFUNCTION("""COMPUTED_VALUE"""),45125.66666666667)</f>
        <v>45125.66667</v>
      </c>
      <c r="B387" s="1">
        <f>IFERROR(__xludf.DUMMYFUNCTION("""COMPUTED_VALUE"""),92.3)</f>
        <v>92.3</v>
      </c>
      <c r="C387" s="1">
        <f>IFERROR(__xludf.DUMMYFUNCTION("""COMPUTED_VALUE"""),93.57)</f>
        <v>93.57</v>
      </c>
      <c r="D387" s="1">
        <f>IFERROR(__xludf.DUMMYFUNCTION("""COMPUTED_VALUE"""),92.12)</f>
        <v>92.12</v>
      </c>
      <c r="E387" s="1">
        <f>IFERROR(__xludf.DUMMYFUNCTION("""COMPUTED_VALUE"""),93.46)</f>
        <v>93.46</v>
      </c>
      <c r="F387" s="1">
        <f>IFERROR(__xludf.DUMMYFUNCTION("""COMPUTED_VALUE"""),759913.0)</f>
        <v>759913</v>
      </c>
      <c r="G387" s="2" t="s">
        <v>1</v>
      </c>
    </row>
    <row r="388">
      <c r="A388" s="3">
        <f>IFERROR(__xludf.DUMMYFUNCTION("""COMPUTED_VALUE"""),45126.66666666667)</f>
        <v>45126.66667</v>
      </c>
      <c r="B388" s="1">
        <f>IFERROR(__xludf.DUMMYFUNCTION("""COMPUTED_VALUE"""),93.82)</f>
        <v>93.82</v>
      </c>
      <c r="C388" s="1">
        <f>IFERROR(__xludf.DUMMYFUNCTION("""COMPUTED_VALUE"""),94.13)</f>
        <v>94.13</v>
      </c>
      <c r="D388" s="1">
        <f>IFERROR(__xludf.DUMMYFUNCTION("""COMPUTED_VALUE"""),92.45)</f>
        <v>92.45</v>
      </c>
      <c r="E388" s="1">
        <f>IFERROR(__xludf.DUMMYFUNCTION("""COMPUTED_VALUE"""),93.27)</f>
        <v>93.27</v>
      </c>
      <c r="F388" s="1">
        <f>IFERROR(__xludf.DUMMYFUNCTION("""COMPUTED_VALUE"""),605795.0)</f>
        <v>605795</v>
      </c>
      <c r="G388" s="2" t="s">
        <v>1</v>
      </c>
    </row>
    <row r="389">
      <c r="A389" s="3">
        <f>IFERROR(__xludf.DUMMYFUNCTION("""COMPUTED_VALUE"""),45127.66666666667)</f>
        <v>45127.66667</v>
      </c>
      <c r="B389" s="1">
        <f>IFERROR(__xludf.DUMMYFUNCTION("""COMPUTED_VALUE"""),93.1)</f>
        <v>93.1</v>
      </c>
      <c r="C389" s="1">
        <f>IFERROR(__xludf.DUMMYFUNCTION("""COMPUTED_VALUE"""),94.05)</f>
        <v>94.05</v>
      </c>
      <c r="D389" s="1">
        <f>IFERROR(__xludf.DUMMYFUNCTION("""COMPUTED_VALUE"""),92.8)</f>
        <v>92.8</v>
      </c>
      <c r="E389" s="1">
        <f>IFERROR(__xludf.DUMMYFUNCTION("""COMPUTED_VALUE"""),93.27)</f>
        <v>93.27</v>
      </c>
      <c r="F389" s="1">
        <f>IFERROR(__xludf.DUMMYFUNCTION("""COMPUTED_VALUE"""),969870.0)</f>
        <v>969870</v>
      </c>
      <c r="G389" s="2" t="s">
        <v>1</v>
      </c>
    </row>
    <row r="390">
      <c r="A390" s="3">
        <f>IFERROR(__xludf.DUMMYFUNCTION("""COMPUTED_VALUE"""),45128.66666666667)</f>
        <v>45128.66667</v>
      </c>
      <c r="B390" s="1">
        <f>IFERROR(__xludf.DUMMYFUNCTION("""COMPUTED_VALUE"""),98.79)</f>
        <v>98.79</v>
      </c>
      <c r="C390" s="1">
        <f>IFERROR(__xludf.DUMMYFUNCTION("""COMPUTED_VALUE"""),103.99)</f>
        <v>103.99</v>
      </c>
      <c r="D390" s="1">
        <f>IFERROR(__xludf.DUMMYFUNCTION("""COMPUTED_VALUE"""),97.88)</f>
        <v>97.88</v>
      </c>
      <c r="E390" s="1">
        <f>IFERROR(__xludf.DUMMYFUNCTION("""COMPUTED_VALUE"""),102.78)</f>
        <v>102.78</v>
      </c>
      <c r="F390" s="1">
        <f>IFERROR(__xludf.DUMMYFUNCTION("""COMPUTED_VALUE"""),3292374.0)</f>
        <v>3292374</v>
      </c>
      <c r="G390" s="2" t="s">
        <v>1</v>
      </c>
    </row>
    <row r="391">
      <c r="A391" s="3">
        <f>IFERROR(__xludf.DUMMYFUNCTION("""COMPUTED_VALUE"""),45131.66666666667)</f>
        <v>45131.66667</v>
      </c>
      <c r="B391" s="1">
        <f>IFERROR(__xludf.DUMMYFUNCTION("""COMPUTED_VALUE"""),103.45)</f>
        <v>103.45</v>
      </c>
      <c r="C391" s="1">
        <f>IFERROR(__xludf.DUMMYFUNCTION("""COMPUTED_VALUE"""),103.48)</f>
        <v>103.48</v>
      </c>
      <c r="D391" s="1">
        <f>IFERROR(__xludf.DUMMYFUNCTION("""COMPUTED_VALUE"""),101.46)</f>
        <v>101.46</v>
      </c>
      <c r="E391" s="1">
        <f>IFERROR(__xludf.DUMMYFUNCTION("""COMPUTED_VALUE"""),101.79)</f>
        <v>101.79</v>
      </c>
      <c r="F391" s="1">
        <f>IFERROR(__xludf.DUMMYFUNCTION("""COMPUTED_VALUE"""),1373475.0)</f>
        <v>1373475</v>
      </c>
      <c r="G391" s="2" t="s">
        <v>1</v>
      </c>
    </row>
    <row r="392">
      <c r="A392" s="3">
        <f>IFERROR(__xludf.DUMMYFUNCTION("""COMPUTED_VALUE"""),45132.66666666667)</f>
        <v>45132.66667</v>
      </c>
      <c r="B392" s="1">
        <f>IFERROR(__xludf.DUMMYFUNCTION("""COMPUTED_VALUE"""),101.42)</f>
        <v>101.42</v>
      </c>
      <c r="C392" s="1">
        <f>IFERROR(__xludf.DUMMYFUNCTION("""COMPUTED_VALUE"""),101.87)</f>
        <v>101.87</v>
      </c>
      <c r="D392" s="1">
        <f>IFERROR(__xludf.DUMMYFUNCTION("""COMPUTED_VALUE"""),99.95)</f>
        <v>99.95</v>
      </c>
      <c r="E392" s="1">
        <f>IFERROR(__xludf.DUMMYFUNCTION("""COMPUTED_VALUE"""),100.36)</f>
        <v>100.36</v>
      </c>
      <c r="F392" s="1">
        <f>IFERROR(__xludf.DUMMYFUNCTION("""COMPUTED_VALUE"""),757011.0)</f>
        <v>757011</v>
      </c>
      <c r="G392" s="2" t="s">
        <v>1</v>
      </c>
    </row>
    <row r="393">
      <c r="A393" s="3">
        <f>IFERROR(__xludf.DUMMYFUNCTION("""COMPUTED_VALUE"""),45133.66666666667)</f>
        <v>45133.66667</v>
      </c>
      <c r="B393" s="1">
        <f>IFERROR(__xludf.DUMMYFUNCTION("""COMPUTED_VALUE"""),100.12)</f>
        <v>100.12</v>
      </c>
      <c r="C393" s="1">
        <f>IFERROR(__xludf.DUMMYFUNCTION("""COMPUTED_VALUE"""),101.93)</f>
        <v>101.93</v>
      </c>
      <c r="D393" s="1">
        <f>IFERROR(__xludf.DUMMYFUNCTION("""COMPUTED_VALUE"""),100.07)</f>
        <v>100.07</v>
      </c>
      <c r="E393" s="1">
        <f>IFERROR(__xludf.DUMMYFUNCTION("""COMPUTED_VALUE"""),101.61)</f>
        <v>101.61</v>
      </c>
      <c r="F393" s="1">
        <f>IFERROR(__xludf.DUMMYFUNCTION("""COMPUTED_VALUE"""),760915.0)</f>
        <v>760915</v>
      </c>
      <c r="G393" s="2" t="s">
        <v>1</v>
      </c>
    </row>
    <row r="394">
      <c r="A394" s="3">
        <f>IFERROR(__xludf.DUMMYFUNCTION("""COMPUTED_VALUE"""),45134.66666666667)</f>
        <v>45134.66667</v>
      </c>
      <c r="B394" s="1">
        <f>IFERROR(__xludf.DUMMYFUNCTION("""COMPUTED_VALUE"""),100.84)</f>
        <v>100.84</v>
      </c>
      <c r="C394" s="1">
        <f>IFERROR(__xludf.DUMMYFUNCTION("""COMPUTED_VALUE"""),101.43)</f>
        <v>101.43</v>
      </c>
      <c r="D394" s="1">
        <f>IFERROR(__xludf.DUMMYFUNCTION("""COMPUTED_VALUE"""),98.25)</f>
        <v>98.25</v>
      </c>
      <c r="E394" s="1">
        <f>IFERROR(__xludf.DUMMYFUNCTION("""COMPUTED_VALUE"""),98.69)</f>
        <v>98.69</v>
      </c>
      <c r="F394" s="1">
        <f>IFERROR(__xludf.DUMMYFUNCTION("""COMPUTED_VALUE"""),735964.0)</f>
        <v>735964</v>
      </c>
      <c r="G394" s="2" t="s">
        <v>1</v>
      </c>
    </row>
    <row r="395">
      <c r="A395" s="3">
        <f>IFERROR(__xludf.DUMMYFUNCTION("""COMPUTED_VALUE"""),45135.66666666667)</f>
        <v>45135.66667</v>
      </c>
      <c r="B395" s="1">
        <f>IFERROR(__xludf.DUMMYFUNCTION("""COMPUTED_VALUE"""),99.56)</f>
        <v>99.56</v>
      </c>
      <c r="C395" s="1">
        <f>IFERROR(__xludf.DUMMYFUNCTION("""COMPUTED_VALUE"""),100.74)</f>
        <v>100.74</v>
      </c>
      <c r="D395" s="1">
        <f>IFERROR(__xludf.DUMMYFUNCTION("""COMPUTED_VALUE"""),99.45)</f>
        <v>99.45</v>
      </c>
      <c r="E395" s="1">
        <f>IFERROR(__xludf.DUMMYFUNCTION("""COMPUTED_VALUE"""),100.42)</f>
        <v>100.42</v>
      </c>
      <c r="F395" s="1">
        <f>IFERROR(__xludf.DUMMYFUNCTION("""COMPUTED_VALUE"""),684419.0)</f>
        <v>684419</v>
      </c>
      <c r="G395" s="2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IFERROR(__xludf.DUMMYFUNCTION("GOOGLEFINANCE(""LHA"",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IFERROR(__xludf.DUMMYFUNCTION("""COMPUTED_VALUE"""),6.32)</f>
        <v>6.32</v>
      </c>
      <c r="C2" s="1">
        <f>IFERROR(__xludf.DUMMYFUNCTION("""COMPUTED_VALUE"""),6.73)</f>
        <v>6.73</v>
      </c>
      <c r="D2" s="1">
        <f>IFERROR(__xludf.DUMMYFUNCTION("""COMPUTED_VALUE"""),6.29)</f>
        <v>6.29</v>
      </c>
      <c r="E2" s="1">
        <f>IFERROR(__xludf.DUMMYFUNCTION("""COMPUTED_VALUE"""),6.73)</f>
        <v>6.73</v>
      </c>
      <c r="F2" s="1">
        <f>IFERROR(__xludf.DUMMYFUNCTION("""COMPUTED_VALUE"""),1.9693885E7)</f>
        <v>19693885</v>
      </c>
      <c r="G2" s="2" t="s">
        <v>10</v>
      </c>
    </row>
    <row r="3">
      <c r="A3" s="3">
        <f>IFERROR(__xludf.DUMMYFUNCTION("""COMPUTED_VALUE"""),44565.72916666667)</f>
        <v>44565.72917</v>
      </c>
      <c r="B3" s="1">
        <f>IFERROR(__xludf.DUMMYFUNCTION("""COMPUTED_VALUE"""),6.8)</f>
        <v>6.8</v>
      </c>
      <c r="C3" s="1">
        <f>IFERROR(__xludf.DUMMYFUNCTION("""COMPUTED_VALUE"""),7.11)</f>
        <v>7.11</v>
      </c>
      <c r="D3" s="1">
        <f>IFERROR(__xludf.DUMMYFUNCTION("""COMPUTED_VALUE"""),6.76)</f>
        <v>6.76</v>
      </c>
      <c r="E3" s="1">
        <f>IFERROR(__xludf.DUMMYFUNCTION("""COMPUTED_VALUE"""),7.05)</f>
        <v>7.05</v>
      </c>
      <c r="F3" s="1">
        <f>IFERROR(__xludf.DUMMYFUNCTION("""COMPUTED_VALUE"""),2.2050463E7)</f>
        <v>22050463</v>
      </c>
      <c r="G3" s="2" t="s">
        <v>10</v>
      </c>
    </row>
    <row r="4">
      <c r="A4" s="3">
        <f>IFERROR(__xludf.DUMMYFUNCTION("""COMPUTED_VALUE"""),44566.72916666667)</f>
        <v>44566.72917</v>
      </c>
      <c r="B4" s="1">
        <f>IFERROR(__xludf.DUMMYFUNCTION("""COMPUTED_VALUE"""),7.01)</f>
        <v>7.01</v>
      </c>
      <c r="C4" s="1">
        <f>IFERROR(__xludf.DUMMYFUNCTION("""COMPUTED_VALUE"""),7.21)</f>
        <v>7.21</v>
      </c>
      <c r="D4" s="1">
        <f>IFERROR(__xludf.DUMMYFUNCTION("""COMPUTED_VALUE"""),6.97)</f>
        <v>6.97</v>
      </c>
      <c r="E4" s="1">
        <f>IFERROR(__xludf.DUMMYFUNCTION("""COMPUTED_VALUE"""),7.16)</f>
        <v>7.16</v>
      </c>
      <c r="F4" s="1">
        <f>IFERROR(__xludf.DUMMYFUNCTION("""COMPUTED_VALUE"""),1.2036258E7)</f>
        <v>12036258</v>
      </c>
      <c r="G4" s="2" t="s">
        <v>10</v>
      </c>
    </row>
    <row r="5">
      <c r="A5" s="3">
        <f>IFERROR(__xludf.DUMMYFUNCTION("""COMPUTED_VALUE"""),44567.72916666667)</f>
        <v>44567.72917</v>
      </c>
      <c r="B5" s="1">
        <f>IFERROR(__xludf.DUMMYFUNCTION("""COMPUTED_VALUE"""),6.98)</f>
        <v>6.98</v>
      </c>
      <c r="C5" s="1">
        <f>IFERROR(__xludf.DUMMYFUNCTION("""COMPUTED_VALUE"""),7.2)</f>
        <v>7.2</v>
      </c>
      <c r="D5" s="1">
        <f>IFERROR(__xludf.DUMMYFUNCTION("""COMPUTED_VALUE"""),6.93)</f>
        <v>6.93</v>
      </c>
      <c r="E5" s="1">
        <f>IFERROR(__xludf.DUMMYFUNCTION("""COMPUTED_VALUE"""),7.08)</f>
        <v>7.08</v>
      </c>
      <c r="F5" s="1">
        <f>IFERROR(__xludf.DUMMYFUNCTION("""COMPUTED_VALUE"""),1.0712855E7)</f>
        <v>10712855</v>
      </c>
      <c r="G5" s="2" t="s">
        <v>10</v>
      </c>
    </row>
    <row r="6">
      <c r="A6" s="3">
        <f>IFERROR(__xludf.DUMMYFUNCTION("""COMPUTED_VALUE"""),44568.72916666667)</f>
        <v>44568.72917</v>
      </c>
      <c r="B6" s="1">
        <f>IFERROR(__xludf.DUMMYFUNCTION("""COMPUTED_VALUE"""),7.08)</f>
        <v>7.08</v>
      </c>
      <c r="C6" s="1">
        <f>IFERROR(__xludf.DUMMYFUNCTION("""COMPUTED_VALUE"""),7.1)</f>
        <v>7.1</v>
      </c>
      <c r="D6" s="1">
        <f>IFERROR(__xludf.DUMMYFUNCTION("""COMPUTED_VALUE"""),6.98)</f>
        <v>6.98</v>
      </c>
      <c r="E6" s="1">
        <f>IFERROR(__xludf.DUMMYFUNCTION("""COMPUTED_VALUE"""),7.07)</f>
        <v>7.07</v>
      </c>
      <c r="F6" s="1">
        <f>IFERROR(__xludf.DUMMYFUNCTION("""COMPUTED_VALUE"""),6941694.0)</f>
        <v>6941694</v>
      </c>
      <c r="G6" s="2" t="s">
        <v>10</v>
      </c>
    </row>
    <row r="7">
      <c r="A7" s="3">
        <f>IFERROR(__xludf.DUMMYFUNCTION("""COMPUTED_VALUE"""),44571.72916666667)</f>
        <v>44571.72917</v>
      </c>
      <c r="B7" s="1">
        <f>IFERROR(__xludf.DUMMYFUNCTION("""COMPUTED_VALUE"""),7.12)</f>
        <v>7.12</v>
      </c>
      <c r="C7" s="1">
        <f>IFERROR(__xludf.DUMMYFUNCTION("""COMPUTED_VALUE"""),7.32)</f>
        <v>7.32</v>
      </c>
      <c r="D7" s="1">
        <f>IFERROR(__xludf.DUMMYFUNCTION("""COMPUTED_VALUE"""),7.11)</f>
        <v>7.11</v>
      </c>
      <c r="E7" s="1">
        <f>IFERROR(__xludf.DUMMYFUNCTION("""COMPUTED_VALUE"""),7.27)</f>
        <v>7.27</v>
      </c>
      <c r="F7" s="1">
        <f>IFERROR(__xludf.DUMMYFUNCTION("""COMPUTED_VALUE"""),1.1768155E7)</f>
        <v>11768155</v>
      </c>
      <c r="G7" s="2" t="s">
        <v>10</v>
      </c>
    </row>
    <row r="8">
      <c r="A8" s="3">
        <f>IFERROR(__xludf.DUMMYFUNCTION("""COMPUTED_VALUE"""),44572.72916666667)</f>
        <v>44572.72917</v>
      </c>
      <c r="B8" s="1">
        <f>IFERROR(__xludf.DUMMYFUNCTION("""COMPUTED_VALUE"""),7.33)</f>
        <v>7.33</v>
      </c>
      <c r="C8" s="1">
        <f>IFERROR(__xludf.DUMMYFUNCTION("""COMPUTED_VALUE"""),7.34)</f>
        <v>7.34</v>
      </c>
      <c r="D8" s="1">
        <f>IFERROR(__xludf.DUMMYFUNCTION("""COMPUTED_VALUE"""),7.19)</f>
        <v>7.19</v>
      </c>
      <c r="E8" s="1">
        <f>IFERROR(__xludf.DUMMYFUNCTION("""COMPUTED_VALUE"""),7.25)</f>
        <v>7.25</v>
      </c>
      <c r="F8" s="1">
        <f>IFERROR(__xludf.DUMMYFUNCTION("""COMPUTED_VALUE"""),6333552.0)</f>
        <v>6333552</v>
      </c>
      <c r="G8" s="2" t="s">
        <v>10</v>
      </c>
    </row>
    <row r="9">
      <c r="A9" s="3">
        <f>IFERROR(__xludf.DUMMYFUNCTION("""COMPUTED_VALUE"""),44573.72916666667)</f>
        <v>44573.72917</v>
      </c>
      <c r="B9" s="1">
        <f>IFERROR(__xludf.DUMMYFUNCTION("""COMPUTED_VALUE"""),7.3)</f>
        <v>7.3</v>
      </c>
      <c r="C9" s="1">
        <f>IFERROR(__xludf.DUMMYFUNCTION("""COMPUTED_VALUE"""),7.34)</f>
        <v>7.34</v>
      </c>
      <c r="D9" s="1">
        <f>IFERROR(__xludf.DUMMYFUNCTION("""COMPUTED_VALUE"""),7.08)</f>
        <v>7.08</v>
      </c>
      <c r="E9" s="1">
        <f>IFERROR(__xludf.DUMMYFUNCTION("""COMPUTED_VALUE"""),7.12)</f>
        <v>7.12</v>
      </c>
      <c r="F9" s="1">
        <f>IFERROR(__xludf.DUMMYFUNCTION("""COMPUTED_VALUE"""),7941250.0)</f>
        <v>7941250</v>
      </c>
      <c r="G9" s="2" t="s">
        <v>10</v>
      </c>
    </row>
    <row r="10">
      <c r="A10" s="3">
        <f>IFERROR(__xludf.DUMMYFUNCTION("""COMPUTED_VALUE"""),44574.72916666667)</f>
        <v>44574.72917</v>
      </c>
      <c r="B10" s="1">
        <f>IFERROR(__xludf.DUMMYFUNCTION("""COMPUTED_VALUE"""),7.11)</f>
        <v>7.11</v>
      </c>
      <c r="C10" s="1">
        <f>IFERROR(__xludf.DUMMYFUNCTION("""COMPUTED_VALUE"""),7.28)</f>
        <v>7.28</v>
      </c>
      <c r="D10" s="1">
        <f>IFERROR(__xludf.DUMMYFUNCTION("""COMPUTED_VALUE"""),7.05)</f>
        <v>7.05</v>
      </c>
      <c r="E10" s="1">
        <f>IFERROR(__xludf.DUMMYFUNCTION("""COMPUTED_VALUE"""),7.28)</f>
        <v>7.28</v>
      </c>
      <c r="F10" s="1">
        <f>IFERROR(__xludf.DUMMYFUNCTION("""COMPUTED_VALUE"""),6850648.0)</f>
        <v>6850648</v>
      </c>
      <c r="G10" s="2" t="s">
        <v>10</v>
      </c>
    </row>
    <row r="11">
      <c r="A11" s="3">
        <f>IFERROR(__xludf.DUMMYFUNCTION("""COMPUTED_VALUE"""),44575.72916666667)</f>
        <v>44575.72917</v>
      </c>
      <c r="B11" s="1">
        <f>IFERROR(__xludf.DUMMYFUNCTION("""COMPUTED_VALUE"""),7.24)</f>
        <v>7.24</v>
      </c>
      <c r="C11" s="1">
        <f>IFERROR(__xludf.DUMMYFUNCTION("""COMPUTED_VALUE"""),7.31)</f>
        <v>7.31</v>
      </c>
      <c r="D11" s="1">
        <f>IFERROR(__xludf.DUMMYFUNCTION("""COMPUTED_VALUE"""),7.17)</f>
        <v>7.17</v>
      </c>
      <c r="E11" s="1">
        <f>IFERROR(__xludf.DUMMYFUNCTION("""COMPUTED_VALUE"""),7.24)</f>
        <v>7.24</v>
      </c>
      <c r="F11" s="1">
        <f>IFERROR(__xludf.DUMMYFUNCTION("""COMPUTED_VALUE"""),6122007.0)</f>
        <v>6122007</v>
      </c>
      <c r="G11" s="2" t="s">
        <v>10</v>
      </c>
    </row>
    <row r="12">
      <c r="A12" s="3">
        <f>IFERROR(__xludf.DUMMYFUNCTION("""COMPUTED_VALUE"""),44578.72916666667)</f>
        <v>44578.72917</v>
      </c>
      <c r="B12" s="1">
        <f>IFERROR(__xludf.DUMMYFUNCTION("""COMPUTED_VALUE"""),7.28)</f>
        <v>7.28</v>
      </c>
      <c r="C12" s="1">
        <f>IFERROR(__xludf.DUMMYFUNCTION("""COMPUTED_VALUE"""),7.31)</f>
        <v>7.31</v>
      </c>
      <c r="D12" s="1">
        <f>IFERROR(__xludf.DUMMYFUNCTION("""COMPUTED_VALUE"""),7.21)</f>
        <v>7.21</v>
      </c>
      <c r="E12" s="1">
        <f>IFERROR(__xludf.DUMMYFUNCTION("""COMPUTED_VALUE"""),7.24)</f>
        <v>7.24</v>
      </c>
      <c r="F12" s="1">
        <f>IFERROR(__xludf.DUMMYFUNCTION("""COMPUTED_VALUE"""),4169655.0)</f>
        <v>4169655</v>
      </c>
      <c r="G12" s="2" t="s">
        <v>10</v>
      </c>
    </row>
    <row r="13">
      <c r="A13" s="3">
        <f>IFERROR(__xludf.DUMMYFUNCTION("""COMPUTED_VALUE"""),44579.72916666667)</f>
        <v>44579.72917</v>
      </c>
      <c r="B13" s="1">
        <f>IFERROR(__xludf.DUMMYFUNCTION("""COMPUTED_VALUE"""),7.12)</f>
        <v>7.12</v>
      </c>
      <c r="C13" s="1">
        <f>IFERROR(__xludf.DUMMYFUNCTION("""COMPUTED_VALUE"""),7.17)</f>
        <v>7.17</v>
      </c>
      <c r="D13" s="1">
        <f>IFERROR(__xludf.DUMMYFUNCTION("""COMPUTED_VALUE"""),7.0)</f>
        <v>7</v>
      </c>
      <c r="E13" s="1">
        <f>IFERROR(__xludf.DUMMYFUNCTION("""COMPUTED_VALUE"""),7.13)</f>
        <v>7.13</v>
      </c>
      <c r="F13" s="1">
        <f>IFERROR(__xludf.DUMMYFUNCTION("""COMPUTED_VALUE"""),6804940.0)</f>
        <v>6804940</v>
      </c>
      <c r="G13" s="2" t="s">
        <v>10</v>
      </c>
    </row>
    <row r="14">
      <c r="A14" s="3">
        <f>IFERROR(__xludf.DUMMYFUNCTION("""COMPUTED_VALUE"""),44580.72916666667)</f>
        <v>44580.72917</v>
      </c>
      <c r="B14" s="1">
        <f>IFERROR(__xludf.DUMMYFUNCTION("""COMPUTED_VALUE"""),7.03)</f>
        <v>7.03</v>
      </c>
      <c r="C14" s="1">
        <f>IFERROR(__xludf.DUMMYFUNCTION("""COMPUTED_VALUE"""),7.1)</f>
        <v>7.1</v>
      </c>
      <c r="D14" s="1">
        <f>IFERROR(__xludf.DUMMYFUNCTION("""COMPUTED_VALUE"""),6.81)</f>
        <v>6.81</v>
      </c>
      <c r="E14" s="1">
        <f>IFERROR(__xludf.DUMMYFUNCTION("""COMPUTED_VALUE"""),6.82)</f>
        <v>6.82</v>
      </c>
      <c r="F14" s="1">
        <f>IFERROR(__xludf.DUMMYFUNCTION("""COMPUTED_VALUE"""),1.0418068E7)</f>
        <v>10418068</v>
      </c>
      <c r="G14" s="2" t="s">
        <v>10</v>
      </c>
    </row>
    <row r="15">
      <c r="A15" s="3">
        <f>IFERROR(__xludf.DUMMYFUNCTION("""COMPUTED_VALUE"""),44581.72916666667)</f>
        <v>44581.72917</v>
      </c>
      <c r="B15" s="1">
        <f>IFERROR(__xludf.DUMMYFUNCTION("""COMPUTED_VALUE"""),6.82)</f>
        <v>6.82</v>
      </c>
      <c r="C15" s="1">
        <f>IFERROR(__xludf.DUMMYFUNCTION("""COMPUTED_VALUE"""),7.11)</f>
        <v>7.11</v>
      </c>
      <c r="D15" s="1">
        <f>IFERROR(__xludf.DUMMYFUNCTION("""COMPUTED_VALUE"""),6.81)</f>
        <v>6.81</v>
      </c>
      <c r="E15" s="1">
        <f>IFERROR(__xludf.DUMMYFUNCTION("""COMPUTED_VALUE"""),7.09)</f>
        <v>7.09</v>
      </c>
      <c r="F15" s="1">
        <f>IFERROR(__xludf.DUMMYFUNCTION("""COMPUTED_VALUE"""),9788090.0)</f>
        <v>9788090</v>
      </c>
      <c r="G15" s="2" t="s">
        <v>10</v>
      </c>
    </row>
    <row r="16">
      <c r="A16" s="3">
        <f>IFERROR(__xludf.DUMMYFUNCTION("""COMPUTED_VALUE"""),44582.72916666667)</f>
        <v>44582.72917</v>
      </c>
      <c r="B16" s="1">
        <f>IFERROR(__xludf.DUMMYFUNCTION("""COMPUTED_VALUE"""),6.99)</f>
        <v>6.99</v>
      </c>
      <c r="C16" s="1">
        <f>IFERROR(__xludf.DUMMYFUNCTION("""COMPUTED_VALUE"""),7.0)</f>
        <v>7</v>
      </c>
      <c r="D16" s="1">
        <f>IFERROR(__xludf.DUMMYFUNCTION("""COMPUTED_VALUE"""),6.81)</f>
        <v>6.81</v>
      </c>
      <c r="E16" s="1">
        <f>IFERROR(__xludf.DUMMYFUNCTION("""COMPUTED_VALUE"""),6.91)</f>
        <v>6.91</v>
      </c>
      <c r="F16" s="1">
        <f>IFERROR(__xludf.DUMMYFUNCTION("""COMPUTED_VALUE"""),7175116.0)</f>
        <v>7175116</v>
      </c>
      <c r="G16" s="2" t="s">
        <v>10</v>
      </c>
    </row>
    <row r="17">
      <c r="A17" s="3">
        <f>IFERROR(__xludf.DUMMYFUNCTION("""COMPUTED_VALUE"""),44585.72916666667)</f>
        <v>44585.72917</v>
      </c>
      <c r="B17" s="1">
        <f>IFERROR(__xludf.DUMMYFUNCTION("""COMPUTED_VALUE"""),6.94)</f>
        <v>6.94</v>
      </c>
      <c r="C17" s="1">
        <f>IFERROR(__xludf.DUMMYFUNCTION("""COMPUTED_VALUE"""),6.95)</f>
        <v>6.95</v>
      </c>
      <c r="D17" s="1">
        <f>IFERROR(__xludf.DUMMYFUNCTION("""COMPUTED_VALUE"""),6.55)</f>
        <v>6.55</v>
      </c>
      <c r="E17" s="1">
        <f>IFERROR(__xludf.DUMMYFUNCTION("""COMPUTED_VALUE"""),6.56)</f>
        <v>6.56</v>
      </c>
      <c r="F17" s="1">
        <f>IFERROR(__xludf.DUMMYFUNCTION("""COMPUTED_VALUE"""),1.344902E7)</f>
        <v>13449020</v>
      </c>
      <c r="G17" s="2" t="s">
        <v>10</v>
      </c>
    </row>
    <row r="18">
      <c r="A18" s="3">
        <f>IFERROR(__xludf.DUMMYFUNCTION("""COMPUTED_VALUE"""),44586.72916666667)</f>
        <v>44586.72917</v>
      </c>
      <c r="B18" s="1">
        <f>IFERROR(__xludf.DUMMYFUNCTION("""COMPUTED_VALUE"""),6.61)</f>
        <v>6.61</v>
      </c>
      <c r="C18" s="1">
        <f>IFERROR(__xludf.DUMMYFUNCTION("""COMPUTED_VALUE"""),6.78)</f>
        <v>6.78</v>
      </c>
      <c r="D18" s="1">
        <f>IFERROR(__xludf.DUMMYFUNCTION("""COMPUTED_VALUE"""),6.44)</f>
        <v>6.44</v>
      </c>
      <c r="E18" s="1">
        <f>IFERROR(__xludf.DUMMYFUNCTION("""COMPUTED_VALUE"""),6.68)</f>
        <v>6.68</v>
      </c>
      <c r="F18" s="1">
        <f>IFERROR(__xludf.DUMMYFUNCTION("""COMPUTED_VALUE"""),8482563.0)</f>
        <v>8482563</v>
      </c>
      <c r="G18" s="2" t="s">
        <v>10</v>
      </c>
    </row>
    <row r="19">
      <c r="A19" s="3">
        <f>IFERROR(__xludf.DUMMYFUNCTION("""COMPUTED_VALUE"""),44587.72916666667)</f>
        <v>44587.72917</v>
      </c>
      <c r="B19" s="1">
        <f>IFERROR(__xludf.DUMMYFUNCTION("""COMPUTED_VALUE"""),6.94)</f>
        <v>6.94</v>
      </c>
      <c r="C19" s="1">
        <f>IFERROR(__xludf.DUMMYFUNCTION("""COMPUTED_VALUE"""),7.13)</f>
        <v>7.13</v>
      </c>
      <c r="D19" s="1">
        <f>IFERROR(__xludf.DUMMYFUNCTION("""COMPUTED_VALUE"""),6.88)</f>
        <v>6.88</v>
      </c>
      <c r="E19" s="1">
        <f>IFERROR(__xludf.DUMMYFUNCTION("""COMPUTED_VALUE"""),7.07)</f>
        <v>7.07</v>
      </c>
      <c r="F19" s="1">
        <f>IFERROR(__xludf.DUMMYFUNCTION("""COMPUTED_VALUE"""),1.1980113E7)</f>
        <v>11980113</v>
      </c>
      <c r="G19" s="2" t="s">
        <v>10</v>
      </c>
    </row>
    <row r="20">
      <c r="A20" s="3">
        <f>IFERROR(__xludf.DUMMYFUNCTION("""COMPUTED_VALUE"""),44588.72916666667)</f>
        <v>44588.72917</v>
      </c>
      <c r="B20" s="1">
        <f>IFERROR(__xludf.DUMMYFUNCTION("""COMPUTED_VALUE"""),6.96)</f>
        <v>6.96</v>
      </c>
      <c r="C20" s="1">
        <f>IFERROR(__xludf.DUMMYFUNCTION("""COMPUTED_VALUE"""),7.09)</f>
        <v>7.09</v>
      </c>
      <c r="D20" s="1">
        <f>IFERROR(__xludf.DUMMYFUNCTION("""COMPUTED_VALUE"""),6.9)</f>
        <v>6.9</v>
      </c>
      <c r="E20" s="1">
        <f>IFERROR(__xludf.DUMMYFUNCTION("""COMPUTED_VALUE"""),7.05)</f>
        <v>7.05</v>
      </c>
      <c r="F20" s="1">
        <f>IFERROR(__xludf.DUMMYFUNCTION("""COMPUTED_VALUE"""),7085957.0)</f>
        <v>7085957</v>
      </c>
      <c r="G20" s="2" t="s">
        <v>10</v>
      </c>
    </row>
    <row r="21">
      <c r="A21" s="3">
        <f>IFERROR(__xludf.DUMMYFUNCTION("""COMPUTED_VALUE"""),44589.72916666667)</f>
        <v>44589.72917</v>
      </c>
      <c r="B21" s="1">
        <f>IFERROR(__xludf.DUMMYFUNCTION("""COMPUTED_VALUE"""),7.05)</f>
        <v>7.05</v>
      </c>
      <c r="C21" s="1">
        <f>IFERROR(__xludf.DUMMYFUNCTION("""COMPUTED_VALUE"""),7.05)</f>
        <v>7.05</v>
      </c>
      <c r="D21" s="1">
        <f>IFERROR(__xludf.DUMMYFUNCTION("""COMPUTED_VALUE"""),6.76)</f>
        <v>6.76</v>
      </c>
      <c r="E21" s="1">
        <f>IFERROR(__xludf.DUMMYFUNCTION("""COMPUTED_VALUE"""),6.79)</f>
        <v>6.79</v>
      </c>
      <c r="F21" s="1">
        <f>IFERROR(__xludf.DUMMYFUNCTION("""COMPUTED_VALUE"""),8469470.0)</f>
        <v>8469470</v>
      </c>
      <c r="G21" s="2" t="s">
        <v>10</v>
      </c>
    </row>
    <row r="22">
      <c r="A22" s="3">
        <f>IFERROR(__xludf.DUMMYFUNCTION("""COMPUTED_VALUE"""),44592.72916666667)</f>
        <v>44592.72917</v>
      </c>
      <c r="B22" s="1">
        <f>IFERROR(__xludf.DUMMYFUNCTION("""COMPUTED_VALUE"""),6.96)</f>
        <v>6.96</v>
      </c>
      <c r="C22" s="1">
        <f>IFERROR(__xludf.DUMMYFUNCTION("""COMPUTED_VALUE"""),6.97)</f>
        <v>6.97</v>
      </c>
      <c r="D22" s="1">
        <f>IFERROR(__xludf.DUMMYFUNCTION("""COMPUTED_VALUE"""),6.66)</f>
        <v>6.66</v>
      </c>
      <c r="E22" s="1">
        <f>IFERROR(__xludf.DUMMYFUNCTION("""COMPUTED_VALUE"""),6.81)</f>
        <v>6.81</v>
      </c>
      <c r="F22" s="1">
        <f>IFERROR(__xludf.DUMMYFUNCTION("""COMPUTED_VALUE"""),1.1704815E7)</f>
        <v>11704815</v>
      </c>
      <c r="G22" s="2" t="s">
        <v>10</v>
      </c>
    </row>
    <row r="23">
      <c r="A23" s="3">
        <f>IFERROR(__xludf.DUMMYFUNCTION("""COMPUTED_VALUE"""),44593.72916666667)</f>
        <v>44593.72917</v>
      </c>
      <c r="B23" s="1">
        <f>IFERROR(__xludf.DUMMYFUNCTION("""COMPUTED_VALUE"""),6.81)</f>
        <v>6.81</v>
      </c>
      <c r="C23" s="1">
        <f>IFERROR(__xludf.DUMMYFUNCTION("""COMPUTED_VALUE"""),6.89)</f>
        <v>6.89</v>
      </c>
      <c r="D23" s="1">
        <f>IFERROR(__xludf.DUMMYFUNCTION("""COMPUTED_VALUE"""),6.7)</f>
        <v>6.7</v>
      </c>
      <c r="E23" s="1">
        <f>IFERROR(__xludf.DUMMYFUNCTION("""COMPUTED_VALUE"""),6.79)</f>
        <v>6.79</v>
      </c>
      <c r="F23" s="1">
        <f>IFERROR(__xludf.DUMMYFUNCTION("""COMPUTED_VALUE"""),8939897.0)</f>
        <v>8939897</v>
      </c>
      <c r="G23" s="2" t="s">
        <v>10</v>
      </c>
    </row>
    <row r="24">
      <c r="A24" s="3">
        <f>IFERROR(__xludf.DUMMYFUNCTION("""COMPUTED_VALUE"""),44594.72916666667)</f>
        <v>44594.72917</v>
      </c>
      <c r="B24" s="1">
        <f>IFERROR(__xludf.DUMMYFUNCTION("""COMPUTED_VALUE"""),6.87)</f>
        <v>6.87</v>
      </c>
      <c r="C24" s="1">
        <f>IFERROR(__xludf.DUMMYFUNCTION("""COMPUTED_VALUE"""),7.04)</f>
        <v>7.04</v>
      </c>
      <c r="D24" s="1">
        <f>IFERROR(__xludf.DUMMYFUNCTION("""COMPUTED_VALUE"""),6.84)</f>
        <v>6.84</v>
      </c>
      <c r="E24" s="1">
        <f>IFERROR(__xludf.DUMMYFUNCTION("""COMPUTED_VALUE"""),6.9)</f>
        <v>6.9</v>
      </c>
      <c r="F24" s="1">
        <f>IFERROR(__xludf.DUMMYFUNCTION("""COMPUTED_VALUE"""),8407653.0)</f>
        <v>8407653</v>
      </c>
      <c r="G24" s="2" t="s">
        <v>10</v>
      </c>
    </row>
    <row r="25">
      <c r="A25" s="3">
        <f>IFERROR(__xludf.DUMMYFUNCTION("""COMPUTED_VALUE"""),44595.72916666667)</f>
        <v>44595.72917</v>
      </c>
      <c r="B25" s="1">
        <f>IFERROR(__xludf.DUMMYFUNCTION("""COMPUTED_VALUE"""),6.88)</f>
        <v>6.88</v>
      </c>
      <c r="C25" s="1">
        <f>IFERROR(__xludf.DUMMYFUNCTION("""COMPUTED_VALUE"""),6.98)</f>
        <v>6.98</v>
      </c>
      <c r="D25" s="1">
        <f>IFERROR(__xludf.DUMMYFUNCTION("""COMPUTED_VALUE"""),6.8)</f>
        <v>6.8</v>
      </c>
      <c r="E25" s="1">
        <f>IFERROR(__xludf.DUMMYFUNCTION("""COMPUTED_VALUE"""),6.93)</f>
        <v>6.93</v>
      </c>
      <c r="F25" s="1">
        <f>IFERROR(__xludf.DUMMYFUNCTION("""COMPUTED_VALUE"""),5995462.0)</f>
        <v>5995462</v>
      </c>
      <c r="G25" s="2" t="s">
        <v>10</v>
      </c>
    </row>
    <row r="26">
      <c r="A26" s="3">
        <f>IFERROR(__xludf.DUMMYFUNCTION("""COMPUTED_VALUE"""),44596.72916666667)</f>
        <v>44596.72917</v>
      </c>
      <c r="B26" s="1">
        <f>IFERROR(__xludf.DUMMYFUNCTION("""COMPUTED_VALUE"""),6.97)</f>
        <v>6.97</v>
      </c>
      <c r="C26" s="1">
        <f>IFERROR(__xludf.DUMMYFUNCTION("""COMPUTED_VALUE"""),6.98)</f>
        <v>6.98</v>
      </c>
      <c r="D26" s="1">
        <f>IFERROR(__xludf.DUMMYFUNCTION("""COMPUTED_VALUE"""),6.78)</f>
        <v>6.78</v>
      </c>
      <c r="E26" s="1">
        <f>IFERROR(__xludf.DUMMYFUNCTION("""COMPUTED_VALUE"""),6.84)</f>
        <v>6.84</v>
      </c>
      <c r="F26" s="1">
        <f>IFERROR(__xludf.DUMMYFUNCTION("""COMPUTED_VALUE"""),5683148.0)</f>
        <v>5683148</v>
      </c>
      <c r="G26" s="2" t="s">
        <v>10</v>
      </c>
    </row>
    <row r="27">
      <c r="A27" s="3">
        <f>IFERROR(__xludf.DUMMYFUNCTION("""COMPUTED_VALUE"""),44599.72916666667)</f>
        <v>44599.72917</v>
      </c>
      <c r="B27" s="1">
        <f>IFERROR(__xludf.DUMMYFUNCTION("""COMPUTED_VALUE"""),6.9)</f>
        <v>6.9</v>
      </c>
      <c r="C27" s="1">
        <f>IFERROR(__xludf.DUMMYFUNCTION("""COMPUTED_VALUE"""),7.01)</f>
        <v>7.01</v>
      </c>
      <c r="D27" s="1">
        <f>IFERROR(__xludf.DUMMYFUNCTION("""COMPUTED_VALUE"""),6.79)</f>
        <v>6.79</v>
      </c>
      <c r="E27" s="1">
        <f>IFERROR(__xludf.DUMMYFUNCTION("""COMPUTED_VALUE"""),7.01)</f>
        <v>7.01</v>
      </c>
      <c r="F27" s="1">
        <f>IFERROR(__xludf.DUMMYFUNCTION("""COMPUTED_VALUE"""),5444810.0)</f>
        <v>5444810</v>
      </c>
      <c r="G27" s="2" t="s">
        <v>10</v>
      </c>
    </row>
    <row r="28">
      <c r="A28" s="3">
        <f>IFERROR(__xludf.DUMMYFUNCTION("""COMPUTED_VALUE"""),44600.72916666667)</f>
        <v>44600.72917</v>
      </c>
      <c r="B28" s="1">
        <f>IFERROR(__xludf.DUMMYFUNCTION("""COMPUTED_VALUE"""),7.05)</f>
        <v>7.05</v>
      </c>
      <c r="C28" s="1">
        <f>IFERROR(__xludf.DUMMYFUNCTION("""COMPUTED_VALUE"""),7.4)</f>
        <v>7.4</v>
      </c>
      <c r="D28" s="1">
        <f>IFERROR(__xludf.DUMMYFUNCTION("""COMPUTED_VALUE"""),7.0)</f>
        <v>7</v>
      </c>
      <c r="E28" s="1">
        <f>IFERROR(__xludf.DUMMYFUNCTION("""COMPUTED_VALUE"""),7.4)</f>
        <v>7.4</v>
      </c>
      <c r="F28" s="1">
        <f>IFERROR(__xludf.DUMMYFUNCTION("""COMPUTED_VALUE"""),1.4616824E7)</f>
        <v>14616824</v>
      </c>
      <c r="G28" s="2" t="s">
        <v>10</v>
      </c>
    </row>
    <row r="29">
      <c r="A29" s="3">
        <f>IFERROR(__xludf.DUMMYFUNCTION("""COMPUTED_VALUE"""),44601.72916666667)</f>
        <v>44601.72917</v>
      </c>
      <c r="B29" s="1">
        <f>IFERROR(__xludf.DUMMYFUNCTION("""COMPUTED_VALUE"""),7.44)</f>
        <v>7.44</v>
      </c>
      <c r="C29" s="1">
        <f>IFERROR(__xludf.DUMMYFUNCTION("""COMPUTED_VALUE"""),7.62)</f>
        <v>7.62</v>
      </c>
      <c r="D29" s="1">
        <f>IFERROR(__xludf.DUMMYFUNCTION("""COMPUTED_VALUE"""),7.38)</f>
        <v>7.38</v>
      </c>
      <c r="E29" s="1">
        <f>IFERROR(__xludf.DUMMYFUNCTION("""COMPUTED_VALUE"""),7.59)</f>
        <v>7.59</v>
      </c>
      <c r="F29" s="1">
        <f>IFERROR(__xludf.DUMMYFUNCTION("""COMPUTED_VALUE"""),1.155811E7)</f>
        <v>11558110</v>
      </c>
      <c r="G29" s="2" t="s">
        <v>10</v>
      </c>
    </row>
    <row r="30">
      <c r="A30" s="3">
        <f>IFERROR(__xludf.DUMMYFUNCTION("""COMPUTED_VALUE"""),44602.72916666667)</f>
        <v>44602.72917</v>
      </c>
      <c r="B30" s="1">
        <f>IFERROR(__xludf.DUMMYFUNCTION("""COMPUTED_VALUE"""),7.61)</f>
        <v>7.61</v>
      </c>
      <c r="C30" s="1">
        <f>IFERROR(__xludf.DUMMYFUNCTION("""COMPUTED_VALUE"""),7.72)</f>
        <v>7.72</v>
      </c>
      <c r="D30" s="1">
        <f>IFERROR(__xludf.DUMMYFUNCTION("""COMPUTED_VALUE"""),7.56)</f>
        <v>7.56</v>
      </c>
      <c r="E30" s="1">
        <f>IFERROR(__xludf.DUMMYFUNCTION("""COMPUTED_VALUE"""),7.65)</f>
        <v>7.65</v>
      </c>
      <c r="F30" s="1">
        <f>IFERROR(__xludf.DUMMYFUNCTION("""COMPUTED_VALUE"""),1.1334595E7)</f>
        <v>11334595</v>
      </c>
      <c r="G30" s="2" t="s">
        <v>10</v>
      </c>
    </row>
    <row r="31">
      <c r="A31" s="3">
        <f>IFERROR(__xludf.DUMMYFUNCTION("""COMPUTED_VALUE"""),44603.72916666667)</f>
        <v>44603.72917</v>
      </c>
      <c r="B31" s="1">
        <f>IFERROR(__xludf.DUMMYFUNCTION("""COMPUTED_VALUE"""),7.57)</f>
        <v>7.57</v>
      </c>
      <c r="C31" s="1">
        <f>IFERROR(__xludf.DUMMYFUNCTION("""COMPUTED_VALUE"""),7.7)</f>
        <v>7.7</v>
      </c>
      <c r="D31" s="1">
        <f>IFERROR(__xludf.DUMMYFUNCTION("""COMPUTED_VALUE"""),7.53)</f>
        <v>7.53</v>
      </c>
      <c r="E31" s="1">
        <f>IFERROR(__xludf.DUMMYFUNCTION("""COMPUTED_VALUE"""),7.54)</f>
        <v>7.54</v>
      </c>
      <c r="F31" s="1">
        <f>IFERROR(__xludf.DUMMYFUNCTION("""COMPUTED_VALUE"""),6821012.0)</f>
        <v>6821012</v>
      </c>
      <c r="G31" s="2" t="s">
        <v>10</v>
      </c>
    </row>
    <row r="32">
      <c r="A32" s="3">
        <f>IFERROR(__xludf.DUMMYFUNCTION("""COMPUTED_VALUE"""),44606.72916666667)</f>
        <v>44606.72917</v>
      </c>
      <c r="B32" s="1">
        <f>IFERROR(__xludf.DUMMYFUNCTION("""COMPUTED_VALUE"""),7.2)</f>
        <v>7.2</v>
      </c>
      <c r="C32" s="1">
        <f>IFERROR(__xludf.DUMMYFUNCTION("""COMPUTED_VALUE"""),7.36)</f>
        <v>7.36</v>
      </c>
      <c r="D32" s="1">
        <f>IFERROR(__xludf.DUMMYFUNCTION("""COMPUTED_VALUE"""),6.99)</f>
        <v>6.99</v>
      </c>
      <c r="E32" s="1">
        <f>IFERROR(__xludf.DUMMYFUNCTION("""COMPUTED_VALUE"""),7.3)</f>
        <v>7.3</v>
      </c>
      <c r="F32" s="1">
        <f>IFERROR(__xludf.DUMMYFUNCTION("""COMPUTED_VALUE"""),1.3533092E7)</f>
        <v>13533092</v>
      </c>
      <c r="G32" s="2" t="s">
        <v>10</v>
      </c>
    </row>
    <row r="33">
      <c r="A33" s="3">
        <f>IFERROR(__xludf.DUMMYFUNCTION("""COMPUTED_VALUE"""),44607.72916666667)</f>
        <v>44607.72917</v>
      </c>
      <c r="B33" s="1">
        <f>IFERROR(__xludf.DUMMYFUNCTION("""COMPUTED_VALUE"""),7.21)</f>
        <v>7.21</v>
      </c>
      <c r="C33" s="1">
        <f>IFERROR(__xludf.DUMMYFUNCTION("""COMPUTED_VALUE"""),7.66)</f>
        <v>7.66</v>
      </c>
      <c r="D33" s="1">
        <f>IFERROR(__xludf.DUMMYFUNCTION("""COMPUTED_VALUE"""),7.2)</f>
        <v>7.2</v>
      </c>
      <c r="E33" s="1">
        <f>IFERROR(__xludf.DUMMYFUNCTION("""COMPUTED_VALUE"""),7.66)</f>
        <v>7.66</v>
      </c>
      <c r="F33" s="1">
        <f>IFERROR(__xludf.DUMMYFUNCTION("""COMPUTED_VALUE"""),1.0027013E7)</f>
        <v>10027013</v>
      </c>
      <c r="G33" s="2" t="s">
        <v>10</v>
      </c>
    </row>
    <row r="34">
      <c r="A34" s="3">
        <f>IFERROR(__xludf.DUMMYFUNCTION("""COMPUTED_VALUE"""),44608.72916666667)</f>
        <v>44608.72917</v>
      </c>
      <c r="B34" s="1">
        <f>IFERROR(__xludf.DUMMYFUNCTION("""COMPUTED_VALUE"""),7.75)</f>
        <v>7.75</v>
      </c>
      <c r="C34" s="1">
        <f>IFERROR(__xludf.DUMMYFUNCTION("""COMPUTED_VALUE"""),7.89)</f>
        <v>7.89</v>
      </c>
      <c r="D34" s="1">
        <f>IFERROR(__xludf.DUMMYFUNCTION("""COMPUTED_VALUE"""),7.68)</f>
        <v>7.68</v>
      </c>
      <c r="E34" s="1">
        <f>IFERROR(__xludf.DUMMYFUNCTION("""COMPUTED_VALUE"""),7.81)</f>
        <v>7.81</v>
      </c>
      <c r="F34" s="1">
        <f>IFERROR(__xludf.DUMMYFUNCTION("""COMPUTED_VALUE"""),1.3611891E7)</f>
        <v>13611891</v>
      </c>
      <c r="G34" s="2" t="s">
        <v>10</v>
      </c>
    </row>
    <row r="35">
      <c r="A35" s="3">
        <f>IFERROR(__xludf.DUMMYFUNCTION("""COMPUTED_VALUE"""),44609.72916666667)</f>
        <v>44609.72917</v>
      </c>
      <c r="B35" s="1">
        <f>IFERROR(__xludf.DUMMYFUNCTION("""COMPUTED_VALUE"""),7.9)</f>
        <v>7.9</v>
      </c>
      <c r="C35" s="1">
        <f>IFERROR(__xludf.DUMMYFUNCTION("""COMPUTED_VALUE"""),7.92)</f>
        <v>7.92</v>
      </c>
      <c r="D35" s="1">
        <f>IFERROR(__xludf.DUMMYFUNCTION("""COMPUTED_VALUE"""),7.59)</f>
        <v>7.59</v>
      </c>
      <c r="E35" s="1">
        <f>IFERROR(__xludf.DUMMYFUNCTION("""COMPUTED_VALUE"""),7.67)</f>
        <v>7.67</v>
      </c>
      <c r="F35" s="1">
        <f>IFERROR(__xludf.DUMMYFUNCTION("""COMPUTED_VALUE"""),1.0273499E7)</f>
        <v>10273499</v>
      </c>
      <c r="G35" s="2" t="s">
        <v>10</v>
      </c>
    </row>
    <row r="36">
      <c r="A36" s="3">
        <f>IFERROR(__xludf.DUMMYFUNCTION("""COMPUTED_VALUE"""),44610.72916666667)</f>
        <v>44610.72917</v>
      </c>
      <c r="B36" s="1">
        <f>IFERROR(__xludf.DUMMYFUNCTION("""COMPUTED_VALUE"""),7.65)</f>
        <v>7.65</v>
      </c>
      <c r="C36" s="1">
        <f>IFERROR(__xludf.DUMMYFUNCTION("""COMPUTED_VALUE"""),7.8)</f>
        <v>7.8</v>
      </c>
      <c r="D36" s="1">
        <f>IFERROR(__xludf.DUMMYFUNCTION("""COMPUTED_VALUE"""),7.53)</f>
        <v>7.53</v>
      </c>
      <c r="E36" s="1">
        <f>IFERROR(__xludf.DUMMYFUNCTION("""COMPUTED_VALUE"""),7.53)</f>
        <v>7.53</v>
      </c>
      <c r="F36" s="1">
        <f>IFERROR(__xludf.DUMMYFUNCTION("""COMPUTED_VALUE"""),9507428.0)</f>
        <v>9507428</v>
      </c>
      <c r="G36" s="2" t="s">
        <v>10</v>
      </c>
    </row>
    <row r="37">
      <c r="A37" s="3">
        <f>IFERROR(__xludf.DUMMYFUNCTION("""COMPUTED_VALUE"""),44613.72916666667)</f>
        <v>44613.72917</v>
      </c>
      <c r="B37" s="1">
        <f>IFERROR(__xludf.DUMMYFUNCTION("""COMPUTED_VALUE"""),7.6)</f>
        <v>7.6</v>
      </c>
      <c r="C37" s="1">
        <f>IFERROR(__xludf.DUMMYFUNCTION("""COMPUTED_VALUE"""),7.74)</f>
        <v>7.74</v>
      </c>
      <c r="D37" s="1">
        <f>IFERROR(__xludf.DUMMYFUNCTION("""COMPUTED_VALUE"""),7.39)</f>
        <v>7.39</v>
      </c>
      <c r="E37" s="1">
        <f>IFERROR(__xludf.DUMMYFUNCTION("""COMPUTED_VALUE"""),7.51)</f>
        <v>7.51</v>
      </c>
      <c r="F37" s="1">
        <f>IFERROR(__xludf.DUMMYFUNCTION("""COMPUTED_VALUE"""),1.0622002E7)</f>
        <v>10622002</v>
      </c>
      <c r="G37" s="2" t="s">
        <v>10</v>
      </c>
    </row>
    <row r="38">
      <c r="A38" s="3">
        <f>IFERROR(__xludf.DUMMYFUNCTION("""COMPUTED_VALUE"""),44614.72916666667)</f>
        <v>44614.72917</v>
      </c>
      <c r="B38" s="1">
        <f>IFERROR(__xludf.DUMMYFUNCTION("""COMPUTED_VALUE"""),7.15)</f>
        <v>7.15</v>
      </c>
      <c r="C38" s="1">
        <f>IFERROR(__xludf.DUMMYFUNCTION("""COMPUTED_VALUE"""),7.51)</f>
        <v>7.51</v>
      </c>
      <c r="D38" s="1">
        <f>IFERROR(__xludf.DUMMYFUNCTION("""COMPUTED_VALUE"""),7.09)</f>
        <v>7.09</v>
      </c>
      <c r="E38" s="1">
        <f>IFERROR(__xludf.DUMMYFUNCTION("""COMPUTED_VALUE"""),7.43)</f>
        <v>7.43</v>
      </c>
      <c r="F38" s="1">
        <f>IFERROR(__xludf.DUMMYFUNCTION("""COMPUTED_VALUE"""),1.8258689E7)</f>
        <v>18258689</v>
      </c>
      <c r="G38" s="2" t="s">
        <v>10</v>
      </c>
    </row>
    <row r="39">
      <c r="A39" s="3">
        <f>IFERROR(__xludf.DUMMYFUNCTION("""COMPUTED_VALUE"""),44615.72916666667)</f>
        <v>44615.72917</v>
      </c>
      <c r="B39" s="1">
        <f>IFERROR(__xludf.DUMMYFUNCTION("""COMPUTED_VALUE"""),7.45)</f>
        <v>7.45</v>
      </c>
      <c r="C39" s="1">
        <f>IFERROR(__xludf.DUMMYFUNCTION("""COMPUTED_VALUE"""),7.58)</f>
        <v>7.58</v>
      </c>
      <c r="D39" s="1">
        <f>IFERROR(__xludf.DUMMYFUNCTION("""COMPUTED_VALUE"""),7.24)</f>
        <v>7.24</v>
      </c>
      <c r="E39" s="1">
        <f>IFERROR(__xludf.DUMMYFUNCTION("""COMPUTED_VALUE"""),7.25)</f>
        <v>7.25</v>
      </c>
      <c r="F39" s="1">
        <f>IFERROR(__xludf.DUMMYFUNCTION("""COMPUTED_VALUE"""),1.1784241E7)</f>
        <v>11784241</v>
      </c>
      <c r="G39" s="2" t="s">
        <v>10</v>
      </c>
    </row>
    <row r="40">
      <c r="A40" s="3">
        <f>IFERROR(__xludf.DUMMYFUNCTION("""COMPUTED_VALUE"""),44616.72916666667)</f>
        <v>44616.72917</v>
      </c>
      <c r="B40" s="1">
        <f>IFERROR(__xludf.DUMMYFUNCTION("""COMPUTED_VALUE"""),6.8)</f>
        <v>6.8</v>
      </c>
      <c r="C40" s="1">
        <f>IFERROR(__xludf.DUMMYFUNCTION("""COMPUTED_VALUE"""),7.05)</f>
        <v>7.05</v>
      </c>
      <c r="D40" s="1">
        <f>IFERROR(__xludf.DUMMYFUNCTION("""COMPUTED_VALUE"""),6.62)</f>
        <v>6.62</v>
      </c>
      <c r="E40" s="1">
        <f>IFERROR(__xludf.DUMMYFUNCTION("""COMPUTED_VALUE"""),6.75)</f>
        <v>6.75</v>
      </c>
      <c r="F40" s="1">
        <f>IFERROR(__xludf.DUMMYFUNCTION("""COMPUTED_VALUE"""),2.4363209E7)</f>
        <v>24363209</v>
      </c>
      <c r="G40" s="2" t="s">
        <v>10</v>
      </c>
    </row>
    <row r="41">
      <c r="A41" s="3">
        <f>IFERROR(__xludf.DUMMYFUNCTION("""COMPUTED_VALUE"""),44617.72916666667)</f>
        <v>44617.72917</v>
      </c>
      <c r="B41" s="1">
        <f>IFERROR(__xludf.DUMMYFUNCTION("""COMPUTED_VALUE"""),7.0)</f>
        <v>7</v>
      </c>
      <c r="C41" s="1">
        <f>IFERROR(__xludf.DUMMYFUNCTION("""COMPUTED_VALUE"""),7.25)</f>
        <v>7.25</v>
      </c>
      <c r="D41" s="1">
        <f>IFERROR(__xludf.DUMMYFUNCTION("""COMPUTED_VALUE"""),6.84)</f>
        <v>6.84</v>
      </c>
      <c r="E41" s="1">
        <f>IFERROR(__xludf.DUMMYFUNCTION("""COMPUTED_VALUE"""),7.19)</f>
        <v>7.19</v>
      </c>
      <c r="F41" s="1">
        <f>IFERROR(__xludf.DUMMYFUNCTION("""COMPUTED_VALUE"""),1.6202085E7)</f>
        <v>16202085</v>
      </c>
      <c r="G41" s="2" t="s">
        <v>10</v>
      </c>
    </row>
    <row r="42">
      <c r="A42" s="3">
        <f>IFERROR(__xludf.DUMMYFUNCTION("""COMPUTED_VALUE"""),44620.72916666667)</f>
        <v>44620.72917</v>
      </c>
      <c r="B42" s="1">
        <f>IFERROR(__xludf.DUMMYFUNCTION("""COMPUTED_VALUE"""),6.84)</f>
        <v>6.84</v>
      </c>
      <c r="C42" s="1">
        <f>IFERROR(__xludf.DUMMYFUNCTION("""COMPUTED_VALUE"""),6.95)</f>
        <v>6.95</v>
      </c>
      <c r="D42" s="1">
        <f>IFERROR(__xludf.DUMMYFUNCTION("""COMPUTED_VALUE"""),6.74)</f>
        <v>6.74</v>
      </c>
      <c r="E42" s="1">
        <f>IFERROR(__xludf.DUMMYFUNCTION("""COMPUTED_VALUE"""),6.87)</f>
        <v>6.87</v>
      </c>
      <c r="F42" s="1">
        <f>IFERROR(__xludf.DUMMYFUNCTION("""COMPUTED_VALUE"""),1.6908663E7)</f>
        <v>16908663</v>
      </c>
      <c r="G42" s="2" t="s">
        <v>10</v>
      </c>
    </row>
    <row r="43">
      <c r="A43" s="3">
        <f>IFERROR(__xludf.DUMMYFUNCTION("""COMPUTED_VALUE"""),44621.72916666667)</f>
        <v>44621.72917</v>
      </c>
      <c r="B43" s="1">
        <f>IFERROR(__xludf.DUMMYFUNCTION("""COMPUTED_VALUE"""),6.95)</f>
        <v>6.95</v>
      </c>
      <c r="C43" s="1">
        <f>IFERROR(__xludf.DUMMYFUNCTION("""COMPUTED_VALUE"""),7.1)</f>
        <v>7.1</v>
      </c>
      <c r="D43" s="1">
        <f>IFERROR(__xludf.DUMMYFUNCTION("""COMPUTED_VALUE"""),6.35)</f>
        <v>6.35</v>
      </c>
      <c r="E43" s="1">
        <f>IFERROR(__xludf.DUMMYFUNCTION("""COMPUTED_VALUE"""),6.35)</f>
        <v>6.35</v>
      </c>
      <c r="F43" s="1">
        <f>IFERROR(__xludf.DUMMYFUNCTION("""COMPUTED_VALUE"""),1.9279509E7)</f>
        <v>19279509</v>
      </c>
      <c r="G43" s="2" t="s">
        <v>10</v>
      </c>
    </row>
    <row r="44">
      <c r="A44" s="3">
        <f>IFERROR(__xludf.DUMMYFUNCTION("""COMPUTED_VALUE"""),44622.72916666667)</f>
        <v>44622.72917</v>
      </c>
      <c r="B44" s="1">
        <f>IFERROR(__xludf.DUMMYFUNCTION("""COMPUTED_VALUE"""),6.3)</f>
        <v>6.3</v>
      </c>
      <c r="C44" s="1">
        <f>IFERROR(__xludf.DUMMYFUNCTION("""COMPUTED_VALUE"""),6.68)</f>
        <v>6.68</v>
      </c>
      <c r="D44" s="1">
        <f>IFERROR(__xludf.DUMMYFUNCTION("""COMPUTED_VALUE"""),6.06)</f>
        <v>6.06</v>
      </c>
      <c r="E44" s="1">
        <f>IFERROR(__xludf.DUMMYFUNCTION("""COMPUTED_VALUE"""),6.63)</f>
        <v>6.63</v>
      </c>
      <c r="F44" s="1">
        <f>IFERROR(__xludf.DUMMYFUNCTION("""COMPUTED_VALUE"""),1.7524501E7)</f>
        <v>17524501</v>
      </c>
      <c r="G44" s="2" t="s">
        <v>10</v>
      </c>
    </row>
    <row r="45">
      <c r="A45" s="3">
        <f>IFERROR(__xludf.DUMMYFUNCTION("""COMPUTED_VALUE"""),44623.72916666667)</f>
        <v>44623.72917</v>
      </c>
      <c r="B45" s="1">
        <f>IFERROR(__xludf.DUMMYFUNCTION("""COMPUTED_VALUE"""),6.5)</f>
        <v>6.5</v>
      </c>
      <c r="C45" s="1">
        <f>IFERROR(__xludf.DUMMYFUNCTION("""COMPUTED_VALUE"""),6.55)</f>
        <v>6.55</v>
      </c>
      <c r="D45" s="1">
        <f>IFERROR(__xludf.DUMMYFUNCTION("""COMPUTED_VALUE"""),6.07)</f>
        <v>6.07</v>
      </c>
      <c r="E45" s="1">
        <f>IFERROR(__xludf.DUMMYFUNCTION("""COMPUTED_VALUE"""),6.08)</f>
        <v>6.08</v>
      </c>
      <c r="F45" s="1">
        <f>IFERROR(__xludf.DUMMYFUNCTION("""COMPUTED_VALUE"""),2.2152882E7)</f>
        <v>22152882</v>
      </c>
      <c r="G45" s="2" t="s">
        <v>10</v>
      </c>
    </row>
    <row r="46">
      <c r="A46" s="3">
        <f>IFERROR(__xludf.DUMMYFUNCTION("""COMPUTED_VALUE"""),44624.72916666667)</f>
        <v>44624.72917</v>
      </c>
      <c r="B46" s="1">
        <f>IFERROR(__xludf.DUMMYFUNCTION("""COMPUTED_VALUE"""),6.0)</f>
        <v>6</v>
      </c>
      <c r="C46" s="1">
        <f>IFERROR(__xludf.DUMMYFUNCTION("""COMPUTED_VALUE"""),6.05)</f>
        <v>6.05</v>
      </c>
      <c r="D46" s="1">
        <f>IFERROR(__xludf.DUMMYFUNCTION("""COMPUTED_VALUE"""),5.58)</f>
        <v>5.58</v>
      </c>
      <c r="E46" s="1">
        <f>IFERROR(__xludf.DUMMYFUNCTION("""COMPUTED_VALUE"""),5.78)</f>
        <v>5.78</v>
      </c>
      <c r="F46" s="1">
        <f>IFERROR(__xludf.DUMMYFUNCTION("""COMPUTED_VALUE"""),3.380136E7)</f>
        <v>33801360</v>
      </c>
      <c r="G46" s="2" t="s">
        <v>10</v>
      </c>
    </row>
    <row r="47">
      <c r="A47" s="3">
        <f>IFERROR(__xludf.DUMMYFUNCTION("""COMPUTED_VALUE"""),44627.72916666667)</f>
        <v>44627.72917</v>
      </c>
      <c r="B47" s="1">
        <f>IFERROR(__xludf.DUMMYFUNCTION("""COMPUTED_VALUE"""),5.5)</f>
        <v>5.5</v>
      </c>
      <c r="C47" s="1">
        <f>IFERROR(__xludf.DUMMYFUNCTION("""COMPUTED_VALUE"""),5.82)</f>
        <v>5.82</v>
      </c>
      <c r="D47" s="1">
        <f>IFERROR(__xludf.DUMMYFUNCTION("""COMPUTED_VALUE"""),5.25)</f>
        <v>5.25</v>
      </c>
      <c r="E47" s="1">
        <f>IFERROR(__xludf.DUMMYFUNCTION("""COMPUTED_VALUE"""),5.59)</f>
        <v>5.59</v>
      </c>
      <c r="F47" s="1">
        <f>IFERROR(__xludf.DUMMYFUNCTION("""COMPUTED_VALUE"""),3.0054955E7)</f>
        <v>30054955</v>
      </c>
      <c r="G47" s="2" t="s">
        <v>10</v>
      </c>
    </row>
    <row r="48">
      <c r="A48" s="3">
        <f>IFERROR(__xludf.DUMMYFUNCTION("""COMPUTED_VALUE"""),44628.72916666667)</f>
        <v>44628.72917</v>
      </c>
      <c r="B48" s="1">
        <f>IFERROR(__xludf.DUMMYFUNCTION("""COMPUTED_VALUE"""),5.5)</f>
        <v>5.5</v>
      </c>
      <c r="C48" s="1">
        <f>IFERROR(__xludf.DUMMYFUNCTION("""COMPUTED_VALUE"""),5.92)</f>
        <v>5.92</v>
      </c>
      <c r="D48" s="1">
        <f>IFERROR(__xludf.DUMMYFUNCTION("""COMPUTED_VALUE"""),5.43)</f>
        <v>5.43</v>
      </c>
      <c r="E48" s="1">
        <f>IFERROR(__xludf.DUMMYFUNCTION("""COMPUTED_VALUE"""),5.89)</f>
        <v>5.89</v>
      </c>
      <c r="F48" s="1">
        <f>IFERROR(__xludf.DUMMYFUNCTION("""COMPUTED_VALUE"""),2.328312E7)</f>
        <v>23283120</v>
      </c>
      <c r="G48" s="2" t="s">
        <v>10</v>
      </c>
    </row>
    <row r="49">
      <c r="A49" s="3">
        <f>IFERROR(__xludf.DUMMYFUNCTION("""COMPUTED_VALUE"""),44629.72916666667)</f>
        <v>44629.72917</v>
      </c>
      <c r="B49" s="1">
        <f>IFERROR(__xludf.DUMMYFUNCTION("""COMPUTED_VALUE"""),6.28)</f>
        <v>6.28</v>
      </c>
      <c r="C49" s="1">
        <f>IFERROR(__xludf.DUMMYFUNCTION("""COMPUTED_VALUE"""),6.62)</f>
        <v>6.62</v>
      </c>
      <c r="D49" s="1">
        <f>IFERROR(__xludf.DUMMYFUNCTION("""COMPUTED_VALUE"""),6.2)</f>
        <v>6.2</v>
      </c>
      <c r="E49" s="1">
        <f>IFERROR(__xludf.DUMMYFUNCTION("""COMPUTED_VALUE"""),6.6)</f>
        <v>6.6</v>
      </c>
      <c r="F49" s="1">
        <f>IFERROR(__xludf.DUMMYFUNCTION("""COMPUTED_VALUE"""),2.2557636E7)</f>
        <v>22557636</v>
      </c>
      <c r="G49" s="2" t="s">
        <v>10</v>
      </c>
    </row>
    <row r="50">
      <c r="A50" s="3">
        <f>IFERROR(__xludf.DUMMYFUNCTION("""COMPUTED_VALUE"""),44630.72916666667)</f>
        <v>44630.72917</v>
      </c>
      <c r="B50" s="1">
        <f>IFERROR(__xludf.DUMMYFUNCTION("""COMPUTED_VALUE"""),6.65)</f>
        <v>6.65</v>
      </c>
      <c r="C50" s="1">
        <f>IFERROR(__xludf.DUMMYFUNCTION("""COMPUTED_VALUE"""),6.8)</f>
        <v>6.8</v>
      </c>
      <c r="D50" s="1">
        <f>IFERROR(__xludf.DUMMYFUNCTION("""COMPUTED_VALUE"""),6.5)</f>
        <v>6.5</v>
      </c>
      <c r="E50" s="1">
        <f>IFERROR(__xludf.DUMMYFUNCTION("""COMPUTED_VALUE"""),6.79)</f>
        <v>6.79</v>
      </c>
      <c r="F50" s="1">
        <f>IFERROR(__xludf.DUMMYFUNCTION("""COMPUTED_VALUE"""),1.9399614E7)</f>
        <v>19399614</v>
      </c>
      <c r="G50" s="2" t="s">
        <v>10</v>
      </c>
    </row>
    <row r="51">
      <c r="A51" s="3">
        <f>IFERROR(__xludf.DUMMYFUNCTION("""COMPUTED_VALUE"""),44631.72916666667)</f>
        <v>44631.72917</v>
      </c>
      <c r="B51" s="1">
        <f>IFERROR(__xludf.DUMMYFUNCTION("""COMPUTED_VALUE"""),6.77)</f>
        <v>6.77</v>
      </c>
      <c r="C51" s="1">
        <f>IFERROR(__xludf.DUMMYFUNCTION("""COMPUTED_VALUE"""),7.1)</f>
        <v>7.1</v>
      </c>
      <c r="D51" s="1">
        <f>IFERROR(__xludf.DUMMYFUNCTION("""COMPUTED_VALUE"""),6.67)</f>
        <v>6.67</v>
      </c>
      <c r="E51" s="1">
        <f>IFERROR(__xludf.DUMMYFUNCTION("""COMPUTED_VALUE"""),6.67)</f>
        <v>6.67</v>
      </c>
      <c r="F51" s="1">
        <f>IFERROR(__xludf.DUMMYFUNCTION("""COMPUTED_VALUE"""),1.9360512E7)</f>
        <v>19360512</v>
      </c>
      <c r="G51" s="2" t="s">
        <v>10</v>
      </c>
    </row>
    <row r="52">
      <c r="A52" s="3">
        <f>IFERROR(__xludf.DUMMYFUNCTION("""COMPUTED_VALUE"""),44634.72916666667)</f>
        <v>44634.72917</v>
      </c>
      <c r="B52" s="1">
        <f>IFERROR(__xludf.DUMMYFUNCTION("""COMPUTED_VALUE"""),6.87)</f>
        <v>6.87</v>
      </c>
      <c r="C52" s="1">
        <f>IFERROR(__xludf.DUMMYFUNCTION("""COMPUTED_VALUE"""),6.96)</f>
        <v>6.96</v>
      </c>
      <c r="D52" s="1">
        <f>IFERROR(__xludf.DUMMYFUNCTION("""COMPUTED_VALUE"""),6.73)</f>
        <v>6.73</v>
      </c>
      <c r="E52" s="1">
        <f>IFERROR(__xludf.DUMMYFUNCTION("""COMPUTED_VALUE"""),6.87)</f>
        <v>6.87</v>
      </c>
      <c r="F52" s="1">
        <f>IFERROR(__xludf.DUMMYFUNCTION("""COMPUTED_VALUE"""),1.115489E7)</f>
        <v>11154890</v>
      </c>
      <c r="G52" s="2" t="s">
        <v>10</v>
      </c>
    </row>
    <row r="53">
      <c r="A53" s="3">
        <f>IFERROR(__xludf.DUMMYFUNCTION("""COMPUTED_VALUE"""),44635.72916666667)</f>
        <v>44635.72917</v>
      </c>
      <c r="B53" s="1">
        <f>IFERROR(__xludf.DUMMYFUNCTION("""COMPUTED_VALUE"""),6.8)</f>
        <v>6.8</v>
      </c>
      <c r="C53" s="1">
        <f>IFERROR(__xludf.DUMMYFUNCTION("""COMPUTED_VALUE"""),7.05)</f>
        <v>7.05</v>
      </c>
      <c r="D53" s="1">
        <f>IFERROR(__xludf.DUMMYFUNCTION("""COMPUTED_VALUE"""),6.67)</f>
        <v>6.67</v>
      </c>
      <c r="E53" s="1">
        <f>IFERROR(__xludf.DUMMYFUNCTION("""COMPUTED_VALUE"""),6.95)</f>
        <v>6.95</v>
      </c>
      <c r="F53" s="1">
        <f>IFERROR(__xludf.DUMMYFUNCTION("""COMPUTED_VALUE"""),1.2546578E7)</f>
        <v>12546578</v>
      </c>
      <c r="G53" s="2" t="s">
        <v>10</v>
      </c>
    </row>
    <row r="54">
      <c r="A54" s="3">
        <f>IFERROR(__xludf.DUMMYFUNCTION("""COMPUTED_VALUE"""),44636.72916666667)</f>
        <v>44636.72917</v>
      </c>
      <c r="B54" s="1">
        <f>IFERROR(__xludf.DUMMYFUNCTION("""COMPUTED_VALUE"""),7.1)</f>
        <v>7.1</v>
      </c>
      <c r="C54" s="1">
        <f>IFERROR(__xludf.DUMMYFUNCTION("""COMPUTED_VALUE"""),7.33)</f>
        <v>7.33</v>
      </c>
      <c r="D54" s="1">
        <f>IFERROR(__xludf.DUMMYFUNCTION("""COMPUTED_VALUE"""),7.03)</f>
        <v>7.03</v>
      </c>
      <c r="E54" s="1">
        <f>IFERROR(__xludf.DUMMYFUNCTION("""COMPUTED_VALUE"""),7.15)</f>
        <v>7.15</v>
      </c>
      <c r="F54" s="1">
        <f>IFERROR(__xludf.DUMMYFUNCTION("""COMPUTED_VALUE"""),1.7541979E7)</f>
        <v>17541979</v>
      </c>
      <c r="G54" s="2" t="s">
        <v>10</v>
      </c>
    </row>
    <row r="55">
      <c r="A55" s="3">
        <f>IFERROR(__xludf.DUMMYFUNCTION("""COMPUTED_VALUE"""),44637.72916666667)</f>
        <v>44637.72917</v>
      </c>
      <c r="B55" s="1">
        <f>IFERROR(__xludf.DUMMYFUNCTION("""COMPUTED_VALUE"""),7.22)</f>
        <v>7.22</v>
      </c>
      <c r="C55" s="1">
        <f>IFERROR(__xludf.DUMMYFUNCTION("""COMPUTED_VALUE"""),7.27)</f>
        <v>7.27</v>
      </c>
      <c r="D55" s="1">
        <f>IFERROR(__xludf.DUMMYFUNCTION("""COMPUTED_VALUE"""),6.96)</f>
        <v>6.96</v>
      </c>
      <c r="E55" s="1">
        <f>IFERROR(__xludf.DUMMYFUNCTION("""COMPUTED_VALUE"""),7.04)</f>
        <v>7.04</v>
      </c>
      <c r="F55" s="1">
        <f>IFERROR(__xludf.DUMMYFUNCTION("""COMPUTED_VALUE"""),1.1762749E7)</f>
        <v>11762749</v>
      </c>
      <c r="G55" s="2" t="s">
        <v>10</v>
      </c>
    </row>
    <row r="56">
      <c r="A56" s="3">
        <f>IFERROR(__xludf.DUMMYFUNCTION("""COMPUTED_VALUE"""),44638.72916666667)</f>
        <v>44638.72917</v>
      </c>
      <c r="B56" s="1">
        <f>IFERROR(__xludf.DUMMYFUNCTION("""COMPUTED_VALUE"""),6.95)</f>
        <v>6.95</v>
      </c>
      <c r="C56" s="1">
        <f>IFERROR(__xludf.DUMMYFUNCTION("""COMPUTED_VALUE"""),7.19)</f>
        <v>7.19</v>
      </c>
      <c r="D56" s="1">
        <f>IFERROR(__xludf.DUMMYFUNCTION("""COMPUTED_VALUE"""),6.9)</f>
        <v>6.9</v>
      </c>
      <c r="E56" s="1">
        <f>IFERROR(__xludf.DUMMYFUNCTION("""COMPUTED_VALUE"""),7.14)</f>
        <v>7.14</v>
      </c>
      <c r="F56" s="1">
        <f>IFERROR(__xludf.DUMMYFUNCTION("""COMPUTED_VALUE"""),1.3629696E7)</f>
        <v>13629696</v>
      </c>
      <c r="G56" s="2" t="s">
        <v>10</v>
      </c>
    </row>
    <row r="57">
      <c r="A57" s="3">
        <f>IFERROR(__xludf.DUMMYFUNCTION("""COMPUTED_VALUE"""),44641.72916666667)</f>
        <v>44641.72917</v>
      </c>
      <c r="B57" s="1">
        <f>IFERROR(__xludf.DUMMYFUNCTION("""COMPUTED_VALUE"""),7.12)</f>
        <v>7.12</v>
      </c>
      <c r="C57" s="1">
        <f>IFERROR(__xludf.DUMMYFUNCTION("""COMPUTED_VALUE"""),7.17)</f>
        <v>7.17</v>
      </c>
      <c r="D57" s="1">
        <f>IFERROR(__xludf.DUMMYFUNCTION("""COMPUTED_VALUE"""),7.0)</f>
        <v>7</v>
      </c>
      <c r="E57" s="1">
        <f>IFERROR(__xludf.DUMMYFUNCTION("""COMPUTED_VALUE"""),7.11)</f>
        <v>7.11</v>
      </c>
      <c r="F57" s="1">
        <f>IFERROR(__xludf.DUMMYFUNCTION("""COMPUTED_VALUE"""),9700323.0)</f>
        <v>9700323</v>
      </c>
      <c r="G57" s="2" t="s">
        <v>10</v>
      </c>
    </row>
    <row r="58">
      <c r="A58" s="3">
        <f>IFERROR(__xludf.DUMMYFUNCTION("""COMPUTED_VALUE"""),44642.72916666667)</f>
        <v>44642.72917</v>
      </c>
      <c r="B58" s="1">
        <f>IFERROR(__xludf.DUMMYFUNCTION("""COMPUTED_VALUE"""),7.1)</f>
        <v>7.1</v>
      </c>
      <c r="C58" s="1">
        <f>IFERROR(__xludf.DUMMYFUNCTION("""COMPUTED_VALUE"""),7.21)</f>
        <v>7.21</v>
      </c>
      <c r="D58" s="1">
        <f>IFERROR(__xludf.DUMMYFUNCTION("""COMPUTED_VALUE"""),7.07)</f>
        <v>7.07</v>
      </c>
      <c r="E58" s="1">
        <f>IFERROR(__xludf.DUMMYFUNCTION("""COMPUTED_VALUE"""),7.16)</f>
        <v>7.16</v>
      </c>
      <c r="F58" s="1">
        <f>IFERROR(__xludf.DUMMYFUNCTION("""COMPUTED_VALUE"""),6248277.0)</f>
        <v>6248277</v>
      </c>
      <c r="G58" s="2" t="s">
        <v>10</v>
      </c>
    </row>
    <row r="59">
      <c r="A59" s="3">
        <f>IFERROR(__xludf.DUMMYFUNCTION("""COMPUTED_VALUE"""),44643.72916666667)</f>
        <v>44643.72917</v>
      </c>
      <c r="B59" s="1">
        <f>IFERROR(__xludf.DUMMYFUNCTION("""COMPUTED_VALUE"""),7.16)</f>
        <v>7.16</v>
      </c>
      <c r="C59" s="1">
        <f>IFERROR(__xludf.DUMMYFUNCTION("""COMPUTED_VALUE"""),7.2)</f>
        <v>7.2</v>
      </c>
      <c r="D59" s="1">
        <f>IFERROR(__xludf.DUMMYFUNCTION("""COMPUTED_VALUE"""),6.99)</f>
        <v>6.99</v>
      </c>
      <c r="E59" s="1">
        <f>IFERROR(__xludf.DUMMYFUNCTION("""COMPUTED_VALUE"""),7.06)</f>
        <v>7.06</v>
      </c>
      <c r="F59" s="1">
        <f>IFERROR(__xludf.DUMMYFUNCTION("""COMPUTED_VALUE"""),7859412.0)</f>
        <v>7859412</v>
      </c>
      <c r="G59" s="2" t="s">
        <v>10</v>
      </c>
    </row>
    <row r="60">
      <c r="A60" s="3">
        <f>IFERROR(__xludf.DUMMYFUNCTION("""COMPUTED_VALUE"""),44644.72916666667)</f>
        <v>44644.72917</v>
      </c>
      <c r="B60" s="1">
        <f>IFERROR(__xludf.DUMMYFUNCTION("""COMPUTED_VALUE"""),6.94)</f>
        <v>6.94</v>
      </c>
      <c r="C60" s="1">
        <f>IFERROR(__xludf.DUMMYFUNCTION("""COMPUTED_VALUE"""),7.15)</f>
        <v>7.15</v>
      </c>
      <c r="D60" s="1">
        <f>IFERROR(__xludf.DUMMYFUNCTION("""COMPUTED_VALUE"""),6.94)</f>
        <v>6.94</v>
      </c>
      <c r="E60" s="1">
        <f>IFERROR(__xludf.DUMMYFUNCTION("""COMPUTED_VALUE"""),7.14)</f>
        <v>7.14</v>
      </c>
      <c r="F60" s="1">
        <f>IFERROR(__xludf.DUMMYFUNCTION("""COMPUTED_VALUE"""),9140610.0)</f>
        <v>9140610</v>
      </c>
      <c r="G60" s="2" t="s">
        <v>10</v>
      </c>
    </row>
    <row r="61">
      <c r="A61" s="3">
        <f>IFERROR(__xludf.DUMMYFUNCTION("""COMPUTED_VALUE"""),44645.72916666667)</f>
        <v>44645.72917</v>
      </c>
      <c r="B61" s="1">
        <f>IFERROR(__xludf.DUMMYFUNCTION("""COMPUTED_VALUE"""),7.14)</f>
        <v>7.14</v>
      </c>
      <c r="C61" s="1">
        <f>IFERROR(__xludf.DUMMYFUNCTION("""COMPUTED_VALUE"""),7.22)</f>
        <v>7.22</v>
      </c>
      <c r="D61" s="1">
        <f>IFERROR(__xludf.DUMMYFUNCTION("""COMPUTED_VALUE"""),7.11)</f>
        <v>7.11</v>
      </c>
      <c r="E61" s="1">
        <f>IFERROR(__xludf.DUMMYFUNCTION("""COMPUTED_VALUE"""),7.17)</f>
        <v>7.17</v>
      </c>
      <c r="F61" s="1">
        <f>IFERROR(__xludf.DUMMYFUNCTION("""COMPUTED_VALUE"""),7468052.0)</f>
        <v>7468052</v>
      </c>
      <c r="G61" s="2" t="s">
        <v>10</v>
      </c>
    </row>
    <row r="62">
      <c r="A62" s="3">
        <f>IFERROR(__xludf.DUMMYFUNCTION("""COMPUTED_VALUE"""),44648.72916666667)</f>
        <v>44648.72917</v>
      </c>
      <c r="B62" s="1">
        <f>IFERROR(__xludf.DUMMYFUNCTION("""COMPUTED_VALUE"""),7.18)</f>
        <v>7.18</v>
      </c>
      <c r="C62" s="1">
        <f>IFERROR(__xludf.DUMMYFUNCTION("""COMPUTED_VALUE"""),7.45)</f>
        <v>7.45</v>
      </c>
      <c r="D62" s="1">
        <f>IFERROR(__xludf.DUMMYFUNCTION("""COMPUTED_VALUE"""),7.18)</f>
        <v>7.18</v>
      </c>
      <c r="E62" s="1">
        <f>IFERROR(__xludf.DUMMYFUNCTION("""COMPUTED_VALUE"""),7.34)</f>
        <v>7.34</v>
      </c>
      <c r="F62" s="1">
        <f>IFERROR(__xludf.DUMMYFUNCTION("""COMPUTED_VALUE"""),9800964.0)</f>
        <v>9800964</v>
      </c>
      <c r="G62" s="2" t="s">
        <v>10</v>
      </c>
    </row>
    <row r="63">
      <c r="A63" s="3">
        <f>IFERROR(__xludf.DUMMYFUNCTION("""COMPUTED_VALUE"""),44649.72916666667)</f>
        <v>44649.72917</v>
      </c>
      <c r="B63" s="1">
        <f>IFERROR(__xludf.DUMMYFUNCTION("""COMPUTED_VALUE"""),7.44)</f>
        <v>7.44</v>
      </c>
      <c r="C63" s="1">
        <f>IFERROR(__xludf.DUMMYFUNCTION("""COMPUTED_VALUE"""),7.67)</f>
        <v>7.67</v>
      </c>
      <c r="D63" s="1">
        <f>IFERROR(__xludf.DUMMYFUNCTION("""COMPUTED_VALUE"""),7.34)</f>
        <v>7.34</v>
      </c>
      <c r="E63" s="1">
        <f>IFERROR(__xludf.DUMMYFUNCTION("""COMPUTED_VALUE"""),7.65)</f>
        <v>7.65</v>
      </c>
      <c r="F63" s="1">
        <f>IFERROR(__xludf.DUMMYFUNCTION("""COMPUTED_VALUE"""),1.6560377E7)</f>
        <v>16560377</v>
      </c>
      <c r="G63" s="2" t="s">
        <v>10</v>
      </c>
    </row>
    <row r="64">
      <c r="A64" s="3">
        <f>IFERROR(__xludf.DUMMYFUNCTION("""COMPUTED_VALUE"""),44650.72916666667)</f>
        <v>44650.72917</v>
      </c>
      <c r="B64" s="1">
        <f>IFERROR(__xludf.DUMMYFUNCTION("""COMPUTED_VALUE"""),7.59)</f>
        <v>7.59</v>
      </c>
      <c r="C64" s="1">
        <f>IFERROR(__xludf.DUMMYFUNCTION("""COMPUTED_VALUE"""),7.65)</f>
        <v>7.65</v>
      </c>
      <c r="D64" s="1">
        <f>IFERROR(__xludf.DUMMYFUNCTION("""COMPUTED_VALUE"""),7.36)</f>
        <v>7.36</v>
      </c>
      <c r="E64" s="1">
        <f>IFERROR(__xludf.DUMMYFUNCTION("""COMPUTED_VALUE"""),7.43)</f>
        <v>7.43</v>
      </c>
      <c r="F64" s="1">
        <f>IFERROR(__xludf.DUMMYFUNCTION("""COMPUTED_VALUE"""),8702190.0)</f>
        <v>8702190</v>
      </c>
      <c r="G64" s="2" t="s">
        <v>10</v>
      </c>
    </row>
    <row r="65">
      <c r="A65" s="3">
        <f>IFERROR(__xludf.DUMMYFUNCTION("""COMPUTED_VALUE"""),44651.72916666667)</f>
        <v>44651.72917</v>
      </c>
      <c r="B65" s="1">
        <f>IFERROR(__xludf.DUMMYFUNCTION("""COMPUTED_VALUE"""),7.5)</f>
        <v>7.5</v>
      </c>
      <c r="C65" s="1">
        <f>IFERROR(__xludf.DUMMYFUNCTION("""COMPUTED_VALUE"""),7.56)</f>
        <v>7.56</v>
      </c>
      <c r="D65" s="1">
        <f>IFERROR(__xludf.DUMMYFUNCTION("""COMPUTED_VALUE"""),7.32)</f>
        <v>7.32</v>
      </c>
      <c r="E65" s="1">
        <f>IFERROR(__xludf.DUMMYFUNCTION("""COMPUTED_VALUE"""),7.36)</f>
        <v>7.36</v>
      </c>
      <c r="F65" s="1">
        <f>IFERROR(__xludf.DUMMYFUNCTION("""COMPUTED_VALUE"""),6303194.0)</f>
        <v>6303194</v>
      </c>
      <c r="G65" s="2" t="s">
        <v>10</v>
      </c>
    </row>
    <row r="66">
      <c r="A66" s="3">
        <f>IFERROR(__xludf.DUMMYFUNCTION("""COMPUTED_VALUE"""),44652.72916666667)</f>
        <v>44652.72917</v>
      </c>
      <c r="B66" s="1">
        <f>IFERROR(__xludf.DUMMYFUNCTION("""COMPUTED_VALUE"""),7.44)</f>
        <v>7.44</v>
      </c>
      <c r="C66" s="1">
        <f>IFERROR(__xludf.DUMMYFUNCTION("""COMPUTED_VALUE"""),7.51)</f>
        <v>7.51</v>
      </c>
      <c r="D66" s="1">
        <f>IFERROR(__xludf.DUMMYFUNCTION("""COMPUTED_VALUE"""),7.3)</f>
        <v>7.3</v>
      </c>
      <c r="E66" s="1">
        <f>IFERROR(__xludf.DUMMYFUNCTION("""COMPUTED_VALUE"""),7.31)</f>
        <v>7.31</v>
      </c>
      <c r="F66" s="1">
        <f>IFERROR(__xludf.DUMMYFUNCTION("""COMPUTED_VALUE"""),5557045.0)</f>
        <v>5557045</v>
      </c>
      <c r="G66" s="2" t="s">
        <v>10</v>
      </c>
    </row>
    <row r="67">
      <c r="A67" s="3">
        <f>IFERROR(__xludf.DUMMYFUNCTION("""COMPUTED_VALUE"""),44655.72916666667)</f>
        <v>44655.72917</v>
      </c>
      <c r="B67" s="1">
        <f>IFERROR(__xludf.DUMMYFUNCTION("""COMPUTED_VALUE"""),7.33)</f>
        <v>7.33</v>
      </c>
      <c r="C67" s="1">
        <f>IFERROR(__xludf.DUMMYFUNCTION("""COMPUTED_VALUE"""),7.39)</f>
        <v>7.39</v>
      </c>
      <c r="D67" s="1">
        <f>IFERROR(__xludf.DUMMYFUNCTION("""COMPUTED_VALUE"""),7.19)</f>
        <v>7.19</v>
      </c>
      <c r="E67" s="1">
        <f>IFERROR(__xludf.DUMMYFUNCTION("""COMPUTED_VALUE"""),7.31)</f>
        <v>7.31</v>
      </c>
      <c r="F67" s="1">
        <f>IFERROR(__xludf.DUMMYFUNCTION("""COMPUTED_VALUE"""),6288483.0)</f>
        <v>6288483</v>
      </c>
      <c r="G67" s="2" t="s">
        <v>10</v>
      </c>
    </row>
    <row r="68">
      <c r="A68" s="3">
        <f>IFERROR(__xludf.DUMMYFUNCTION("""COMPUTED_VALUE"""),44656.72916666667)</f>
        <v>44656.72917</v>
      </c>
      <c r="B68" s="1">
        <f>IFERROR(__xludf.DUMMYFUNCTION("""COMPUTED_VALUE"""),7.28)</f>
        <v>7.28</v>
      </c>
      <c r="C68" s="1">
        <f>IFERROR(__xludf.DUMMYFUNCTION("""COMPUTED_VALUE"""),7.41)</f>
        <v>7.41</v>
      </c>
      <c r="D68" s="1">
        <f>IFERROR(__xludf.DUMMYFUNCTION("""COMPUTED_VALUE"""),7.25)</f>
        <v>7.25</v>
      </c>
      <c r="E68" s="1">
        <f>IFERROR(__xludf.DUMMYFUNCTION("""COMPUTED_VALUE"""),7.33)</f>
        <v>7.33</v>
      </c>
      <c r="F68" s="1">
        <f>IFERROR(__xludf.DUMMYFUNCTION("""COMPUTED_VALUE"""),7979957.0)</f>
        <v>7979957</v>
      </c>
      <c r="G68" s="2" t="s">
        <v>10</v>
      </c>
    </row>
    <row r="69">
      <c r="A69" s="3">
        <f>IFERROR(__xludf.DUMMYFUNCTION("""COMPUTED_VALUE"""),44657.72916666667)</f>
        <v>44657.72917</v>
      </c>
      <c r="B69" s="1">
        <f>IFERROR(__xludf.DUMMYFUNCTION("""COMPUTED_VALUE"""),7.35)</f>
        <v>7.35</v>
      </c>
      <c r="C69" s="1">
        <f>IFERROR(__xludf.DUMMYFUNCTION("""COMPUTED_VALUE"""),7.44)</f>
        <v>7.44</v>
      </c>
      <c r="D69" s="1">
        <f>IFERROR(__xludf.DUMMYFUNCTION("""COMPUTED_VALUE"""),7.0)</f>
        <v>7</v>
      </c>
      <c r="E69" s="1">
        <f>IFERROR(__xludf.DUMMYFUNCTION("""COMPUTED_VALUE"""),7.03)</f>
        <v>7.03</v>
      </c>
      <c r="F69" s="1">
        <f>IFERROR(__xludf.DUMMYFUNCTION("""COMPUTED_VALUE"""),9746414.0)</f>
        <v>9746414</v>
      </c>
      <c r="G69" s="2" t="s">
        <v>10</v>
      </c>
    </row>
    <row r="70">
      <c r="A70" s="3">
        <f>IFERROR(__xludf.DUMMYFUNCTION("""COMPUTED_VALUE"""),44658.72916666667)</f>
        <v>44658.72917</v>
      </c>
      <c r="B70" s="1">
        <f>IFERROR(__xludf.DUMMYFUNCTION("""COMPUTED_VALUE"""),7.09)</f>
        <v>7.09</v>
      </c>
      <c r="C70" s="1">
        <f>IFERROR(__xludf.DUMMYFUNCTION("""COMPUTED_VALUE"""),7.19)</f>
        <v>7.19</v>
      </c>
      <c r="D70" s="1">
        <f>IFERROR(__xludf.DUMMYFUNCTION("""COMPUTED_VALUE"""),6.92)</f>
        <v>6.92</v>
      </c>
      <c r="E70" s="1">
        <f>IFERROR(__xludf.DUMMYFUNCTION("""COMPUTED_VALUE"""),6.93)</f>
        <v>6.93</v>
      </c>
      <c r="F70" s="1">
        <f>IFERROR(__xludf.DUMMYFUNCTION("""COMPUTED_VALUE"""),5374623.0)</f>
        <v>5374623</v>
      </c>
      <c r="G70" s="2" t="s">
        <v>10</v>
      </c>
    </row>
    <row r="71">
      <c r="A71" s="3">
        <f>IFERROR(__xludf.DUMMYFUNCTION("""COMPUTED_VALUE"""),44659.72916666667)</f>
        <v>44659.72917</v>
      </c>
      <c r="B71" s="1">
        <f>IFERROR(__xludf.DUMMYFUNCTION("""COMPUTED_VALUE"""),7.07)</f>
        <v>7.07</v>
      </c>
      <c r="C71" s="1">
        <f>IFERROR(__xludf.DUMMYFUNCTION("""COMPUTED_VALUE"""),7.11)</f>
        <v>7.11</v>
      </c>
      <c r="D71" s="1">
        <f>IFERROR(__xludf.DUMMYFUNCTION("""COMPUTED_VALUE"""),6.93)</f>
        <v>6.93</v>
      </c>
      <c r="E71" s="1">
        <f>IFERROR(__xludf.DUMMYFUNCTION("""COMPUTED_VALUE"""),6.96)</f>
        <v>6.96</v>
      </c>
      <c r="F71" s="1">
        <f>IFERROR(__xludf.DUMMYFUNCTION("""COMPUTED_VALUE"""),4472501.0)</f>
        <v>4472501</v>
      </c>
      <c r="G71" s="2" t="s">
        <v>10</v>
      </c>
    </row>
    <row r="72">
      <c r="A72" s="3">
        <f>IFERROR(__xludf.DUMMYFUNCTION("""COMPUTED_VALUE"""),44662.72916666667)</f>
        <v>44662.72917</v>
      </c>
      <c r="B72" s="1">
        <f>IFERROR(__xludf.DUMMYFUNCTION("""COMPUTED_VALUE"""),6.92)</f>
        <v>6.92</v>
      </c>
      <c r="C72" s="1">
        <f>IFERROR(__xludf.DUMMYFUNCTION("""COMPUTED_VALUE"""),7.19)</f>
        <v>7.19</v>
      </c>
      <c r="D72" s="1">
        <f>IFERROR(__xludf.DUMMYFUNCTION("""COMPUTED_VALUE"""),6.82)</f>
        <v>6.82</v>
      </c>
      <c r="E72" s="1">
        <f>IFERROR(__xludf.DUMMYFUNCTION("""COMPUTED_VALUE"""),7.09)</f>
        <v>7.09</v>
      </c>
      <c r="F72" s="1">
        <f>IFERROR(__xludf.DUMMYFUNCTION("""COMPUTED_VALUE"""),8674332.0)</f>
        <v>8674332</v>
      </c>
      <c r="G72" s="2" t="s">
        <v>10</v>
      </c>
    </row>
    <row r="73">
      <c r="A73" s="3">
        <f>IFERROR(__xludf.DUMMYFUNCTION("""COMPUTED_VALUE"""),44663.72916666667)</f>
        <v>44663.72917</v>
      </c>
      <c r="B73" s="1">
        <f>IFERROR(__xludf.DUMMYFUNCTION("""COMPUTED_VALUE"""),6.98)</f>
        <v>6.98</v>
      </c>
      <c r="C73" s="1">
        <f>IFERROR(__xludf.DUMMYFUNCTION("""COMPUTED_VALUE"""),7.03)</f>
        <v>7.03</v>
      </c>
      <c r="D73" s="1">
        <f>IFERROR(__xludf.DUMMYFUNCTION("""COMPUTED_VALUE"""),6.87)</f>
        <v>6.87</v>
      </c>
      <c r="E73" s="1">
        <f>IFERROR(__xludf.DUMMYFUNCTION("""COMPUTED_VALUE"""),6.9)</f>
        <v>6.9</v>
      </c>
      <c r="F73" s="1">
        <f>IFERROR(__xludf.DUMMYFUNCTION("""COMPUTED_VALUE"""),6866174.0)</f>
        <v>6866174</v>
      </c>
      <c r="G73" s="2" t="s">
        <v>10</v>
      </c>
    </row>
    <row r="74">
      <c r="A74" s="3">
        <f>IFERROR(__xludf.DUMMYFUNCTION("""COMPUTED_VALUE"""),44664.72916666667)</f>
        <v>44664.72917</v>
      </c>
      <c r="B74" s="1">
        <f>IFERROR(__xludf.DUMMYFUNCTION("""COMPUTED_VALUE"""),6.91)</f>
        <v>6.91</v>
      </c>
      <c r="C74" s="1">
        <f>IFERROR(__xludf.DUMMYFUNCTION("""COMPUTED_VALUE"""),7.03)</f>
        <v>7.03</v>
      </c>
      <c r="D74" s="1">
        <f>IFERROR(__xludf.DUMMYFUNCTION("""COMPUTED_VALUE"""),6.75)</f>
        <v>6.75</v>
      </c>
      <c r="E74" s="1">
        <f>IFERROR(__xludf.DUMMYFUNCTION("""COMPUTED_VALUE"""),7.01)</f>
        <v>7.01</v>
      </c>
      <c r="F74" s="1">
        <f>IFERROR(__xludf.DUMMYFUNCTION("""COMPUTED_VALUE"""),6301949.0)</f>
        <v>6301949</v>
      </c>
      <c r="G74" s="2" t="s">
        <v>10</v>
      </c>
    </row>
    <row r="75">
      <c r="A75" s="3">
        <f>IFERROR(__xludf.DUMMYFUNCTION("""COMPUTED_VALUE"""),44665.72916666667)</f>
        <v>44665.72917</v>
      </c>
      <c r="B75" s="1">
        <f>IFERROR(__xludf.DUMMYFUNCTION("""COMPUTED_VALUE"""),7.11)</f>
        <v>7.11</v>
      </c>
      <c r="C75" s="1">
        <f>IFERROR(__xludf.DUMMYFUNCTION("""COMPUTED_VALUE"""),7.22)</f>
        <v>7.22</v>
      </c>
      <c r="D75" s="1">
        <f>IFERROR(__xludf.DUMMYFUNCTION("""COMPUTED_VALUE"""),7.06)</f>
        <v>7.06</v>
      </c>
      <c r="E75" s="1">
        <f>IFERROR(__xludf.DUMMYFUNCTION("""COMPUTED_VALUE"""),7.2)</f>
        <v>7.2</v>
      </c>
      <c r="F75" s="1">
        <f>IFERROR(__xludf.DUMMYFUNCTION("""COMPUTED_VALUE"""),6266401.0)</f>
        <v>6266401</v>
      </c>
      <c r="G75" s="2" t="s">
        <v>10</v>
      </c>
    </row>
    <row r="76">
      <c r="A76" s="3">
        <f>IFERROR(__xludf.DUMMYFUNCTION("""COMPUTED_VALUE"""),44670.72916666667)</f>
        <v>44670.72917</v>
      </c>
      <c r="B76" s="1">
        <f>IFERROR(__xludf.DUMMYFUNCTION("""COMPUTED_VALUE"""),7.2)</f>
        <v>7.2</v>
      </c>
      <c r="C76" s="1">
        <f>IFERROR(__xludf.DUMMYFUNCTION("""COMPUTED_VALUE"""),7.24)</f>
        <v>7.24</v>
      </c>
      <c r="D76" s="1">
        <f>IFERROR(__xludf.DUMMYFUNCTION("""COMPUTED_VALUE"""),7.08)</f>
        <v>7.08</v>
      </c>
      <c r="E76" s="1">
        <f>IFERROR(__xludf.DUMMYFUNCTION("""COMPUTED_VALUE"""),7.2)</f>
        <v>7.2</v>
      </c>
      <c r="F76" s="1">
        <f>IFERROR(__xludf.DUMMYFUNCTION("""COMPUTED_VALUE"""),3776682.0)</f>
        <v>3776682</v>
      </c>
      <c r="G76" s="2" t="s">
        <v>10</v>
      </c>
    </row>
    <row r="77">
      <c r="A77" s="3">
        <f>IFERROR(__xludf.DUMMYFUNCTION("""COMPUTED_VALUE"""),44671.72916666667)</f>
        <v>44671.72917</v>
      </c>
      <c r="B77" s="1">
        <f>IFERROR(__xludf.DUMMYFUNCTION("""COMPUTED_VALUE"""),7.25)</f>
        <v>7.25</v>
      </c>
      <c r="C77" s="1">
        <f>IFERROR(__xludf.DUMMYFUNCTION("""COMPUTED_VALUE"""),7.27)</f>
        <v>7.27</v>
      </c>
      <c r="D77" s="1">
        <f>IFERROR(__xludf.DUMMYFUNCTION("""COMPUTED_VALUE"""),7.14)</f>
        <v>7.14</v>
      </c>
      <c r="E77" s="1">
        <f>IFERROR(__xludf.DUMMYFUNCTION("""COMPUTED_VALUE"""),7.15)</f>
        <v>7.15</v>
      </c>
      <c r="F77" s="1">
        <f>IFERROR(__xludf.DUMMYFUNCTION("""COMPUTED_VALUE"""),4163350.0)</f>
        <v>4163350</v>
      </c>
      <c r="G77" s="2" t="s">
        <v>10</v>
      </c>
    </row>
    <row r="78">
      <c r="A78" s="3">
        <f>IFERROR(__xludf.DUMMYFUNCTION("""COMPUTED_VALUE"""),44672.72916666667)</f>
        <v>44672.72917</v>
      </c>
      <c r="B78" s="1">
        <f>IFERROR(__xludf.DUMMYFUNCTION("""COMPUTED_VALUE"""),7.2)</f>
        <v>7.2</v>
      </c>
      <c r="C78" s="1">
        <f>IFERROR(__xludf.DUMMYFUNCTION("""COMPUTED_VALUE"""),7.58)</f>
        <v>7.58</v>
      </c>
      <c r="D78" s="1">
        <f>IFERROR(__xludf.DUMMYFUNCTION("""COMPUTED_VALUE"""),7.17)</f>
        <v>7.17</v>
      </c>
      <c r="E78" s="1">
        <f>IFERROR(__xludf.DUMMYFUNCTION("""COMPUTED_VALUE"""),7.49)</f>
        <v>7.49</v>
      </c>
      <c r="F78" s="1">
        <f>IFERROR(__xludf.DUMMYFUNCTION("""COMPUTED_VALUE"""),1.2101192E7)</f>
        <v>12101192</v>
      </c>
      <c r="G78" s="2" t="s">
        <v>10</v>
      </c>
    </row>
    <row r="79">
      <c r="A79" s="3">
        <f>IFERROR(__xludf.DUMMYFUNCTION("""COMPUTED_VALUE"""),44673.72916666667)</f>
        <v>44673.72917</v>
      </c>
      <c r="B79" s="1">
        <f>IFERROR(__xludf.DUMMYFUNCTION("""COMPUTED_VALUE"""),7.35)</f>
        <v>7.35</v>
      </c>
      <c r="C79" s="1">
        <f>IFERROR(__xludf.DUMMYFUNCTION("""COMPUTED_VALUE"""),7.44)</f>
        <v>7.44</v>
      </c>
      <c r="D79" s="1">
        <f>IFERROR(__xludf.DUMMYFUNCTION("""COMPUTED_VALUE"""),7.21)</f>
        <v>7.21</v>
      </c>
      <c r="E79" s="1">
        <f>IFERROR(__xludf.DUMMYFUNCTION("""COMPUTED_VALUE"""),7.22)</f>
        <v>7.22</v>
      </c>
      <c r="F79" s="1">
        <f>IFERROR(__xludf.DUMMYFUNCTION("""COMPUTED_VALUE"""),5696891.0)</f>
        <v>5696891</v>
      </c>
      <c r="G79" s="2" t="s">
        <v>10</v>
      </c>
    </row>
    <row r="80">
      <c r="A80" s="3">
        <f>IFERROR(__xludf.DUMMYFUNCTION("""COMPUTED_VALUE"""),44676.72916666667)</f>
        <v>44676.72917</v>
      </c>
      <c r="B80" s="1">
        <f>IFERROR(__xludf.DUMMYFUNCTION("""COMPUTED_VALUE"""),7.11)</f>
        <v>7.11</v>
      </c>
      <c r="C80" s="1">
        <f>IFERROR(__xludf.DUMMYFUNCTION("""COMPUTED_VALUE"""),7.38)</f>
        <v>7.38</v>
      </c>
      <c r="D80" s="1">
        <f>IFERROR(__xludf.DUMMYFUNCTION("""COMPUTED_VALUE"""),7.09)</f>
        <v>7.09</v>
      </c>
      <c r="E80" s="1">
        <f>IFERROR(__xludf.DUMMYFUNCTION("""COMPUTED_VALUE"""),7.21)</f>
        <v>7.21</v>
      </c>
      <c r="F80" s="1">
        <f>IFERROR(__xludf.DUMMYFUNCTION("""COMPUTED_VALUE"""),4769041.0)</f>
        <v>4769041</v>
      </c>
      <c r="G80" s="2" t="s">
        <v>10</v>
      </c>
    </row>
    <row r="81">
      <c r="A81" s="3">
        <f>IFERROR(__xludf.DUMMYFUNCTION("""COMPUTED_VALUE"""),44677.72916666667)</f>
        <v>44677.72917</v>
      </c>
      <c r="B81" s="1">
        <f>IFERROR(__xludf.DUMMYFUNCTION("""COMPUTED_VALUE"""),7.33)</f>
        <v>7.33</v>
      </c>
      <c r="C81" s="1">
        <f>IFERROR(__xludf.DUMMYFUNCTION("""COMPUTED_VALUE"""),7.37)</f>
        <v>7.37</v>
      </c>
      <c r="D81" s="1">
        <f>IFERROR(__xludf.DUMMYFUNCTION("""COMPUTED_VALUE"""),7.09)</f>
        <v>7.09</v>
      </c>
      <c r="E81" s="1">
        <f>IFERROR(__xludf.DUMMYFUNCTION("""COMPUTED_VALUE"""),7.09)</f>
        <v>7.09</v>
      </c>
      <c r="F81" s="1">
        <f>IFERROR(__xludf.DUMMYFUNCTION("""COMPUTED_VALUE"""),7282128.0)</f>
        <v>7282128</v>
      </c>
      <c r="G81" s="2" t="s">
        <v>10</v>
      </c>
    </row>
    <row r="82">
      <c r="A82" s="3">
        <f>IFERROR(__xludf.DUMMYFUNCTION("""COMPUTED_VALUE"""),44678.72916666667)</f>
        <v>44678.72917</v>
      </c>
      <c r="B82" s="1">
        <f>IFERROR(__xludf.DUMMYFUNCTION("""COMPUTED_VALUE"""),7.07)</f>
        <v>7.07</v>
      </c>
      <c r="C82" s="1">
        <f>IFERROR(__xludf.DUMMYFUNCTION("""COMPUTED_VALUE"""),7.16)</f>
        <v>7.16</v>
      </c>
      <c r="D82" s="1">
        <f>IFERROR(__xludf.DUMMYFUNCTION("""COMPUTED_VALUE"""),6.88)</f>
        <v>6.88</v>
      </c>
      <c r="E82" s="1">
        <f>IFERROR(__xludf.DUMMYFUNCTION("""COMPUTED_VALUE"""),7.05)</f>
        <v>7.05</v>
      </c>
      <c r="F82" s="1">
        <f>IFERROR(__xludf.DUMMYFUNCTION("""COMPUTED_VALUE"""),6046702.0)</f>
        <v>6046702</v>
      </c>
      <c r="G82" s="2" t="s">
        <v>10</v>
      </c>
    </row>
    <row r="83">
      <c r="A83" s="3">
        <f>IFERROR(__xludf.DUMMYFUNCTION("""COMPUTED_VALUE"""),44679.72916666667)</f>
        <v>44679.72917</v>
      </c>
      <c r="B83" s="1">
        <f>IFERROR(__xludf.DUMMYFUNCTION("""COMPUTED_VALUE"""),7.16)</f>
        <v>7.16</v>
      </c>
      <c r="C83" s="1">
        <f>IFERROR(__xludf.DUMMYFUNCTION("""COMPUTED_VALUE"""),7.25)</f>
        <v>7.25</v>
      </c>
      <c r="D83" s="1">
        <f>IFERROR(__xludf.DUMMYFUNCTION("""COMPUTED_VALUE"""),7.08)</f>
        <v>7.08</v>
      </c>
      <c r="E83" s="1">
        <f>IFERROR(__xludf.DUMMYFUNCTION("""COMPUTED_VALUE"""),7.15)</f>
        <v>7.15</v>
      </c>
      <c r="F83" s="1">
        <f>IFERROR(__xludf.DUMMYFUNCTION("""COMPUTED_VALUE"""),4681721.0)</f>
        <v>4681721</v>
      </c>
      <c r="G83" s="2" t="s">
        <v>10</v>
      </c>
    </row>
    <row r="84">
      <c r="A84" s="3">
        <f>IFERROR(__xludf.DUMMYFUNCTION("""COMPUTED_VALUE"""),44680.72916666667)</f>
        <v>44680.72917</v>
      </c>
      <c r="B84" s="1">
        <f>IFERROR(__xludf.DUMMYFUNCTION("""COMPUTED_VALUE"""),7.21)</f>
        <v>7.21</v>
      </c>
      <c r="C84" s="1">
        <f>IFERROR(__xludf.DUMMYFUNCTION("""COMPUTED_VALUE"""),7.23)</f>
        <v>7.23</v>
      </c>
      <c r="D84" s="1">
        <f>IFERROR(__xludf.DUMMYFUNCTION("""COMPUTED_VALUE"""),7.03)</f>
        <v>7.03</v>
      </c>
      <c r="E84" s="1">
        <f>IFERROR(__xludf.DUMMYFUNCTION("""COMPUTED_VALUE"""),7.15)</f>
        <v>7.15</v>
      </c>
      <c r="F84" s="1">
        <f>IFERROR(__xludf.DUMMYFUNCTION("""COMPUTED_VALUE"""),3177617.0)</f>
        <v>3177617</v>
      </c>
      <c r="G84" s="2" t="s">
        <v>10</v>
      </c>
    </row>
    <row r="85">
      <c r="A85" s="3">
        <f>IFERROR(__xludf.DUMMYFUNCTION("""COMPUTED_VALUE"""),44683.72916666667)</f>
        <v>44683.72917</v>
      </c>
      <c r="B85" s="1">
        <f>IFERROR(__xludf.DUMMYFUNCTION("""COMPUTED_VALUE"""),7.1)</f>
        <v>7.1</v>
      </c>
      <c r="C85" s="1">
        <f>IFERROR(__xludf.DUMMYFUNCTION("""COMPUTED_VALUE"""),7.28)</f>
        <v>7.28</v>
      </c>
      <c r="D85" s="1">
        <f>IFERROR(__xludf.DUMMYFUNCTION("""COMPUTED_VALUE"""),6.93)</f>
        <v>6.93</v>
      </c>
      <c r="E85" s="1">
        <f>IFERROR(__xludf.DUMMYFUNCTION("""COMPUTED_VALUE"""),7.12)</f>
        <v>7.12</v>
      </c>
      <c r="F85" s="1">
        <f>IFERROR(__xludf.DUMMYFUNCTION("""COMPUTED_VALUE"""),4799071.0)</f>
        <v>4799071</v>
      </c>
      <c r="G85" s="2" t="s">
        <v>10</v>
      </c>
    </row>
    <row r="86">
      <c r="A86" s="3">
        <f>IFERROR(__xludf.DUMMYFUNCTION("""COMPUTED_VALUE"""),44684.72916666667)</f>
        <v>44684.72917</v>
      </c>
      <c r="B86" s="1">
        <f>IFERROR(__xludf.DUMMYFUNCTION("""COMPUTED_VALUE"""),7.16)</f>
        <v>7.16</v>
      </c>
      <c r="C86" s="1">
        <f>IFERROR(__xludf.DUMMYFUNCTION("""COMPUTED_VALUE"""),7.36)</f>
        <v>7.36</v>
      </c>
      <c r="D86" s="1">
        <f>IFERROR(__xludf.DUMMYFUNCTION("""COMPUTED_VALUE"""),7.12)</f>
        <v>7.12</v>
      </c>
      <c r="E86" s="1">
        <f>IFERROR(__xludf.DUMMYFUNCTION("""COMPUTED_VALUE"""),7.36)</f>
        <v>7.36</v>
      </c>
      <c r="F86" s="1">
        <f>IFERROR(__xludf.DUMMYFUNCTION("""COMPUTED_VALUE"""),6540088.0)</f>
        <v>6540088</v>
      </c>
      <c r="G86" s="2" t="s">
        <v>10</v>
      </c>
    </row>
    <row r="87">
      <c r="A87" s="3">
        <f>IFERROR(__xludf.DUMMYFUNCTION("""COMPUTED_VALUE"""),44685.72916666667)</f>
        <v>44685.72917</v>
      </c>
      <c r="B87" s="1">
        <f>IFERROR(__xludf.DUMMYFUNCTION("""COMPUTED_VALUE"""),7.35)</f>
        <v>7.35</v>
      </c>
      <c r="C87" s="1">
        <f>IFERROR(__xludf.DUMMYFUNCTION("""COMPUTED_VALUE"""),7.39)</f>
        <v>7.39</v>
      </c>
      <c r="D87" s="1">
        <f>IFERROR(__xludf.DUMMYFUNCTION("""COMPUTED_VALUE"""),7.1)</f>
        <v>7.1</v>
      </c>
      <c r="E87" s="1">
        <f>IFERROR(__xludf.DUMMYFUNCTION("""COMPUTED_VALUE"""),7.1)</f>
        <v>7.1</v>
      </c>
      <c r="F87" s="1">
        <f>IFERROR(__xludf.DUMMYFUNCTION("""COMPUTED_VALUE"""),6450509.0)</f>
        <v>6450509</v>
      </c>
      <c r="G87" s="2" t="s">
        <v>10</v>
      </c>
    </row>
    <row r="88">
      <c r="A88" s="3">
        <f>IFERROR(__xludf.DUMMYFUNCTION("""COMPUTED_VALUE"""),44686.72916666667)</f>
        <v>44686.72917</v>
      </c>
      <c r="B88" s="1">
        <f>IFERROR(__xludf.DUMMYFUNCTION("""COMPUTED_VALUE"""),7.31)</f>
        <v>7.31</v>
      </c>
      <c r="C88" s="1">
        <f>IFERROR(__xludf.DUMMYFUNCTION("""COMPUTED_VALUE"""),7.42)</f>
        <v>7.42</v>
      </c>
      <c r="D88" s="1">
        <f>IFERROR(__xludf.DUMMYFUNCTION("""COMPUTED_VALUE"""),6.84)</f>
        <v>6.84</v>
      </c>
      <c r="E88" s="1">
        <f>IFERROR(__xludf.DUMMYFUNCTION("""COMPUTED_VALUE"""),6.92)</f>
        <v>6.92</v>
      </c>
      <c r="F88" s="1">
        <f>IFERROR(__xludf.DUMMYFUNCTION("""COMPUTED_VALUE"""),1.440967E7)</f>
        <v>14409670</v>
      </c>
      <c r="G88" s="2" t="s">
        <v>10</v>
      </c>
    </row>
    <row r="89">
      <c r="A89" s="3">
        <f>IFERROR(__xludf.DUMMYFUNCTION("""COMPUTED_VALUE"""),44687.72916666667)</f>
        <v>44687.72917</v>
      </c>
      <c r="B89" s="1">
        <f>IFERROR(__xludf.DUMMYFUNCTION("""COMPUTED_VALUE"""),6.95)</f>
        <v>6.95</v>
      </c>
      <c r="C89" s="1">
        <f>IFERROR(__xludf.DUMMYFUNCTION("""COMPUTED_VALUE"""),6.98)</f>
        <v>6.98</v>
      </c>
      <c r="D89" s="1">
        <f>IFERROR(__xludf.DUMMYFUNCTION("""COMPUTED_VALUE"""),6.72)</f>
        <v>6.72</v>
      </c>
      <c r="E89" s="1">
        <f>IFERROR(__xludf.DUMMYFUNCTION("""COMPUTED_VALUE"""),6.91)</f>
        <v>6.91</v>
      </c>
      <c r="F89" s="1">
        <f>IFERROR(__xludf.DUMMYFUNCTION("""COMPUTED_VALUE"""),1.0697728E7)</f>
        <v>10697728</v>
      </c>
      <c r="G89" s="2" t="s">
        <v>10</v>
      </c>
    </row>
    <row r="90">
      <c r="A90" s="3">
        <f>IFERROR(__xludf.DUMMYFUNCTION("""COMPUTED_VALUE"""),44690.72916666667)</f>
        <v>44690.72917</v>
      </c>
      <c r="B90" s="1">
        <f>IFERROR(__xludf.DUMMYFUNCTION("""COMPUTED_VALUE"""),6.9)</f>
        <v>6.9</v>
      </c>
      <c r="C90" s="1">
        <f>IFERROR(__xludf.DUMMYFUNCTION("""COMPUTED_VALUE"""),7.1)</f>
        <v>7.1</v>
      </c>
      <c r="D90" s="1">
        <f>IFERROR(__xludf.DUMMYFUNCTION("""COMPUTED_VALUE"""),6.75)</f>
        <v>6.75</v>
      </c>
      <c r="E90" s="1">
        <f>IFERROR(__xludf.DUMMYFUNCTION("""COMPUTED_VALUE"""),6.77)</f>
        <v>6.77</v>
      </c>
      <c r="F90" s="1">
        <f>IFERROR(__xludf.DUMMYFUNCTION("""COMPUTED_VALUE"""),8387050.0)</f>
        <v>8387050</v>
      </c>
      <c r="G90" s="2" t="s">
        <v>10</v>
      </c>
    </row>
    <row r="91">
      <c r="A91" s="3">
        <f>IFERROR(__xludf.DUMMYFUNCTION("""COMPUTED_VALUE"""),44691.72916666667)</f>
        <v>44691.72917</v>
      </c>
      <c r="B91" s="1">
        <f>IFERROR(__xludf.DUMMYFUNCTION("""COMPUTED_VALUE"""),6.87)</f>
        <v>6.87</v>
      </c>
      <c r="C91" s="1">
        <f>IFERROR(__xludf.DUMMYFUNCTION("""COMPUTED_VALUE"""),6.88)</f>
        <v>6.88</v>
      </c>
      <c r="D91" s="1">
        <f>IFERROR(__xludf.DUMMYFUNCTION("""COMPUTED_VALUE"""),6.66)</f>
        <v>6.66</v>
      </c>
      <c r="E91" s="1">
        <f>IFERROR(__xludf.DUMMYFUNCTION("""COMPUTED_VALUE"""),6.68)</f>
        <v>6.68</v>
      </c>
      <c r="F91" s="1">
        <f>IFERROR(__xludf.DUMMYFUNCTION("""COMPUTED_VALUE"""),8293682.0)</f>
        <v>8293682</v>
      </c>
      <c r="G91" s="2" t="s">
        <v>10</v>
      </c>
    </row>
    <row r="92">
      <c r="A92" s="3">
        <f>IFERROR(__xludf.DUMMYFUNCTION("""COMPUTED_VALUE"""),44692.72916666667)</f>
        <v>44692.72917</v>
      </c>
      <c r="B92" s="1">
        <f>IFERROR(__xludf.DUMMYFUNCTION("""COMPUTED_VALUE"""),6.75)</f>
        <v>6.75</v>
      </c>
      <c r="C92" s="1">
        <f>IFERROR(__xludf.DUMMYFUNCTION("""COMPUTED_VALUE"""),6.99)</f>
        <v>6.99</v>
      </c>
      <c r="D92" s="1">
        <f>IFERROR(__xludf.DUMMYFUNCTION("""COMPUTED_VALUE"""),6.72)</f>
        <v>6.72</v>
      </c>
      <c r="E92" s="1">
        <f>IFERROR(__xludf.DUMMYFUNCTION("""COMPUTED_VALUE"""),6.91)</f>
        <v>6.91</v>
      </c>
      <c r="F92" s="1">
        <f>IFERROR(__xludf.DUMMYFUNCTION("""COMPUTED_VALUE"""),8773576.0)</f>
        <v>8773576</v>
      </c>
      <c r="G92" s="2" t="s">
        <v>10</v>
      </c>
    </row>
    <row r="93">
      <c r="A93" s="3">
        <f>IFERROR(__xludf.DUMMYFUNCTION("""COMPUTED_VALUE"""),44693.72916666667)</f>
        <v>44693.72917</v>
      </c>
      <c r="B93" s="1">
        <f>IFERROR(__xludf.DUMMYFUNCTION("""COMPUTED_VALUE"""),6.77)</f>
        <v>6.77</v>
      </c>
      <c r="C93" s="1">
        <f>IFERROR(__xludf.DUMMYFUNCTION("""COMPUTED_VALUE"""),6.85)</f>
        <v>6.85</v>
      </c>
      <c r="D93" s="1">
        <f>IFERROR(__xludf.DUMMYFUNCTION("""COMPUTED_VALUE"""),6.62)</f>
        <v>6.62</v>
      </c>
      <c r="E93" s="1">
        <f>IFERROR(__xludf.DUMMYFUNCTION("""COMPUTED_VALUE"""),6.78)</f>
        <v>6.78</v>
      </c>
      <c r="F93" s="1">
        <f>IFERROR(__xludf.DUMMYFUNCTION("""COMPUTED_VALUE"""),7900179.0)</f>
        <v>7900179</v>
      </c>
      <c r="G93" s="2" t="s">
        <v>10</v>
      </c>
    </row>
    <row r="94">
      <c r="A94" s="3">
        <f>IFERROR(__xludf.DUMMYFUNCTION("""COMPUTED_VALUE"""),44694.72916666667)</f>
        <v>44694.72917</v>
      </c>
      <c r="B94" s="1">
        <f>IFERROR(__xludf.DUMMYFUNCTION("""COMPUTED_VALUE"""),6.87)</f>
        <v>6.87</v>
      </c>
      <c r="C94" s="1">
        <f>IFERROR(__xludf.DUMMYFUNCTION("""COMPUTED_VALUE"""),6.9)</f>
        <v>6.9</v>
      </c>
      <c r="D94" s="1">
        <f>IFERROR(__xludf.DUMMYFUNCTION("""COMPUTED_VALUE"""),6.74)</f>
        <v>6.74</v>
      </c>
      <c r="E94" s="1">
        <f>IFERROR(__xludf.DUMMYFUNCTION("""COMPUTED_VALUE"""),6.9)</f>
        <v>6.9</v>
      </c>
      <c r="F94" s="1">
        <f>IFERROR(__xludf.DUMMYFUNCTION("""COMPUTED_VALUE"""),5873329.0)</f>
        <v>5873329</v>
      </c>
      <c r="G94" s="2" t="s">
        <v>10</v>
      </c>
    </row>
    <row r="95">
      <c r="A95" s="3">
        <f>IFERROR(__xludf.DUMMYFUNCTION("""COMPUTED_VALUE"""),44697.72916666667)</f>
        <v>44697.72917</v>
      </c>
      <c r="B95" s="1">
        <f>IFERROR(__xludf.DUMMYFUNCTION("""COMPUTED_VALUE"""),6.94)</f>
        <v>6.94</v>
      </c>
      <c r="C95" s="1">
        <f>IFERROR(__xludf.DUMMYFUNCTION("""COMPUTED_VALUE"""),6.96)</f>
        <v>6.96</v>
      </c>
      <c r="D95" s="1">
        <f>IFERROR(__xludf.DUMMYFUNCTION("""COMPUTED_VALUE"""),6.69)</f>
        <v>6.69</v>
      </c>
      <c r="E95" s="1">
        <f>IFERROR(__xludf.DUMMYFUNCTION("""COMPUTED_VALUE"""),6.7)</f>
        <v>6.7</v>
      </c>
      <c r="F95" s="1">
        <f>IFERROR(__xludf.DUMMYFUNCTION("""COMPUTED_VALUE"""),7383980.0)</f>
        <v>7383980</v>
      </c>
      <c r="G95" s="2" t="s">
        <v>10</v>
      </c>
    </row>
    <row r="96">
      <c r="A96" s="3">
        <f>IFERROR(__xludf.DUMMYFUNCTION("""COMPUTED_VALUE"""),44698.72916666667)</f>
        <v>44698.72917</v>
      </c>
      <c r="B96" s="1">
        <f>IFERROR(__xludf.DUMMYFUNCTION("""COMPUTED_VALUE"""),6.8)</f>
        <v>6.8</v>
      </c>
      <c r="C96" s="1">
        <f>IFERROR(__xludf.DUMMYFUNCTION("""COMPUTED_VALUE"""),6.91)</f>
        <v>6.91</v>
      </c>
      <c r="D96" s="1">
        <f>IFERROR(__xludf.DUMMYFUNCTION("""COMPUTED_VALUE"""),6.73)</f>
        <v>6.73</v>
      </c>
      <c r="E96" s="1">
        <f>IFERROR(__xludf.DUMMYFUNCTION("""COMPUTED_VALUE"""),6.83)</f>
        <v>6.83</v>
      </c>
      <c r="F96" s="1">
        <f>IFERROR(__xludf.DUMMYFUNCTION("""COMPUTED_VALUE"""),6655141.0)</f>
        <v>6655141</v>
      </c>
      <c r="G96" s="2" t="s">
        <v>10</v>
      </c>
    </row>
    <row r="97">
      <c r="A97" s="3">
        <f>IFERROR(__xludf.DUMMYFUNCTION("""COMPUTED_VALUE"""),44699.72916666667)</f>
        <v>44699.72917</v>
      </c>
      <c r="B97" s="1">
        <f>IFERROR(__xludf.DUMMYFUNCTION("""COMPUTED_VALUE"""),6.85)</f>
        <v>6.85</v>
      </c>
      <c r="C97" s="1">
        <f>IFERROR(__xludf.DUMMYFUNCTION("""COMPUTED_VALUE"""),6.96)</f>
        <v>6.96</v>
      </c>
      <c r="D97" s="1">
        <f>IFERROR(__xludf.DUMMYFUNCTION("""COMPUTED_VALUE"""),6.73)</f>
        <v>6.73</v>
      </c>
      <c r="E97" s="1">
        <f>IFERROR(__xludf.DUMMYFUNCTION("""COMPUTED_VALUE"""),6.9)</f>
        <v>6.9</v>
      </c>
      <c r="F97" s="1">
        <f>IFERROR(__xludf.DUMMYFUNCTION("""COMPUTED_VALUE"""),8457785.0)</f>
        <v>8457785</v>
      </c>
      <c r="G97" s="2" t="s">
        <v>10</v>
      </c>
    </row>
    <row r="98">
      <c r="A98" s="3">
        <f>IFERROR(__xludf.DUMMYFUNCTION("""COMPUTED_VALUE"""),44700.72916666667)</f>
        <v>44700.72917</v>
      </c>
      <c r="B98" s="1">
        <f>IFERROR(__xludf.DUMMYFUNCTION("""COMPUTED_VALUE"""),6.79)</f>
        <v>6.79</v>
      </c>
      <c r="C98" s="1">
        <f>IFERROR(__xludf.DUMMYFUNCTION("""COMPUTED_VALUE"""),6.87)</f>
        <v>6.87</v>
      </c>
      <c r="D98" s="1">
        <f>IFERROR(__xludf.DUMMYFUNCTION("""COMPUTED_VALUE"""),6.71)</f>
        <v>6.71</v>
      </c>
      <c r="E98" s="1">
        <f>IFERROR(__xludf.DUMMYFUNCTION("""COMPUTED_VALUE"""),6.8)</f>
        <v>6.8</v>
      </c>
      <c r="F98" s="1">
        <f>IFERROR(__xludf.DUMMYFUNCTION("""COMPUTED_VALUE"""),6095083.0)</f>
        <v>6095083</v>
      </c>
      <c r="G98" s="2" t="s">
        <v>10</v>
      </c>
    </row>
    <row r="99">
      <c r="A99" s="3">
        <f>IFERROR(__xludf.DUMMYFUNCTION("""COMPUTED_VALUE"""),44701.72916666667)</f>
        <v>44701.72917</v>
      </c>
      <c r="B99" s="1">
        <f>IFERROR(__xludf.DUMMYFUNCTION("""COMPUTED_VALUE"""),6.9)</f>
        <v>6.9</v>
      </c>
      <c r="C99" s="1">
        <f>IFERROR(__xludf.DUMMYFUNCTION("""COMPUTED_VALUE"""),6.95)</f>
        <v>6.95</v>
      </c>
      <c r="D99" s="1">
        <f>IFERROR(__xludf.DUMMYFUNCTION("""COMPUTED_VALUE"""),6.82)</f>
        <v>6.82</v>
      </c>
      <c r="E99" s="1">
        <f>IFERROR(__xludf.DUMMYFUNCTION("""COMPUTED_VALUE"""),6.85)</f>
        <v>6.85</v>
      </c>
      <c r="F99" s="1">
        <f>IFERROR(__xludf.DUMMYFUNCTION("""COMPUTED_VALUE"""),5281698.0)</f>
        <v>5281698</v>
      </c>
      <c r="G99" s="2" t="s">
        <v>10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IFERROR(__xludf.DUMMYFUNCTION("""COMPUTED_VALUE"""),6.95)</f>
        <v>6.95</v>
      </c>
      <c r="C100" s="1">
        <f>IFERROR(__xludf.DUMMYFUNCTION("""COMPUTED_VALUE"""),6.99)</f>
        <v>6.99</v>
      </c>
      <c r="D100" s="1">
        <f>IFERROR(__xludf.DUMMYFUNCTION("""COMPUTED_VALUE"""),6.8)</f>
        <v>6.8</v>
      </c>
      <c r="E100" s="1">
        <f>IFERROR(__xludf.DUMMYFUNCTION("""COMPUTED_VALUE"""),6.9)</f>
        <v>6.9</v>
      </c>
      <c r="F100" s="1">
        <f>IFERROR(__xludf.DUMMYFUNCTION("""COMPUTED_VALUE"""),4318422.0)</f>
        <v>4318422</v>
      </c>
      <c r="G100" s="2" t="s">
        <v>10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IFERROR(__xludf.DUMMYFUNCTION("""COMPUTED_VALUE"""),6.8)</f>
        <v>6.8</v>
      </c>
      <c r="C101" s="1">
        <f>IFERROR(__xludf.DUMMYFUNCTION("""COMPUTED_VALUE"""),6.81)</f>
        <v>6.81</v>
      </c>
      <c r="D101" s="1">
        <f>IFERROR(__xludf.DUMMYFUNCTION("""COMPUTED_VALUE"""),6.49)</f>
        <v>6.49</v>
      </c>
      <c r="E101" s="1">
        <f>IFERROR(__xludf.DUMMYFUNCTION("""COMPUTED_VALUE"""),6.5)</f>
        <v>6.5</v>
      </c>
      <c r="F101" s="1">
        <f>IFERROR(__xludf.DUMMYFUNCTION("""COMPUTED_VALUE"""),1.5567528E7)</f>
        <v>15567528</v>
      </c>
      <c r="G101" s="2" t="s">
        <v>10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IFERROR(__xludf.DUMMYFUNCTION("""COMPUTED_VALUE"""),6.6)</f>
        <v>6.6</v>
      </c>
      <c r="C102" s="1">
        <f>IFERROR(__xludf.DUMMYFUNCTION("""COMPUTED_VALUE"""),6.79)</f>
        <v>6.79</v>
      </c>
      <c r="D102" s="1">
        <f>IFERROR(__xludf.DUMMYFUNCTION("""COMPUTED_VALUE"""),6.48)</f>
        <v>6.48</v>
      </c>
      <c r="E102" s="1">
        <f>IFERROR(__xludf.DUMMYFUNCTION("""COMPUTED_VALUE"""),6.78)</f>
        <v>6.78</v>
      </c>
      <c r="F102" s="1">
        <f>IFERROR(__xludf.DUMMYFUNCTION("""COMPUTED_VALUE"""),8471041.0)</f>
        <v>8471041</v>
      </c>
      <c r="G102" s="2" t="s">
        <v>10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IFERROR(__xludf.DUMMYFUNCTION("""COMPUTED_VALUE"""),6.77)</f>
        <v>6.77</v>
      </c>
      <c r="C103" s="1">
        <f>IFERROR(__xludf.DUMMYFUNCTION("""COMPUTED_VALUE"""),6.85)</f>
        <v>6.85</v>
      </c>
      <c r="D103" s="1">
        <f>IFERROR(__xludf.DUMMYFUNCTION("""COMPUTED_VALUE"""),6.73)</f>
        <v>6.73</v>
      </c>
      <c r="E103" s="1">
        <f>IFERROR(__xludf.DUMMYFUNCTION("""COMPUTED_VALUE"""),6.85)</f>
        <v>6.85</v>
      </c>
      <c r="F103" s="1">
        <f>IFERROR(__xludf.DUMMYFUNCTION("""COMPUTED_VALUE"""),2813952.0)</f>
        <v>2813952</v>
      </c>
      <c r="G103" s="2" t="s">
        <v>10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IFERROR(__xludf.DUMMYFUNCTION("""COMPUTED_VALUE"""),6.87)</f>
        <v>6.87</v>
      </c>
      <c r="C104" s="1">
        <f>IFERROR(__xludf.DUMMYFUNCTION("""COMPUTED_VALUE"""),6.93)</f>
        <v>6.93</v>
      </c>
      <c r="D104" s="1">
        <f>IFERROR(__xludf.DUMMYFUNCTION("""COMPUTED_VALUE"""),6.81)</f>
        <v>6.81</v>
      </c>
      <c r="E104" s="1">
        <f>IFERROR(__xludf.DUMMYFUNCTION("""COMPUTED_VALUE"""),6.88)</f>
        <v>6.88</v>
      </c>
      <c r="F104" s="1">
        <f>IFERROR(__xludf.DUMMYFUNCTION("""COMPUTED_VALUE"""),3955755.0)</f>
        <v>3955755</v>
      </c>
      <c r="G104" s="2" t="s">
        <v>10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IFERROR(__xludf.DUMMYFUNCTION("""COMPUTED_VALUE"""),6.96)</f>
        <v>6.96</v>
      </c>
      <c r="C105" s="1">
        <f>IFERROR(__xludf.DUMMYFUNCTION("""COMPUTED_VALUE"""),7.03)</f>
        <v>7.03</v>
      </c>
      <c r="D105" s="1">
        <f>IFERROR(__xludf.DUMMYFUNCTION("""COMPUTED_VALUE"""),6.91)</f>
        <v>6.91</v>
      </c>
      <c r="E105" s="1">
        <f>IFERROR(__xludf.DUMMYFUNCTION("""COMPUTED_VALUE"""),6.97)</f>
        <v>6.97</v>
      </c>
      <c r="F105" s="1">
        <f>IFERROR(__xludf.DUMMYFUNCTION("""COMPUTED_VALUE"""),4889600.0)</f>
        <v>4889600</v>
      </c>
      <c r="G105" s="2" t="s">
        <v>10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IFERROR(__xludf.DUMMYFUNCTION("""COMPUTED_VALUE"""),6.95)</f>
        <v>6.95</v>
      </c>
      <c r="C106" s="1">
        <f>IFERROR(__xludf.DUMMYFUNCTION("""COMPUTED_VALUE"""),6.95)</f>
        <v>6.95</v>
      </c>
      <c r="D106" s="1">
        <f>IFERROR(__xludf.DUMMYFUNCTION("""COMPUTED_VALUE"""),6.73)</f>
        <v>6.73</v>
      </c>
      <c r="E106" s="1">
        <f>IFERROR(__xludf.DUMMYFUNCTION("""COMPUTED_VALUE"""),6.83)</f>
        <v>6.83</v>
      </c>
      <c r="F106" s="1">
        <f>IFERROR(__xludf.DUMMYFUNCTION("""COMPUTED_VALUE"""),8682792.0)</f>
        <v>8682792</v>
      </c>
      <c r="G106" s="2" t="s">
        <v>10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IFERROR(__xludf.DUMMYFUNCTION("""COMPUTED_VALUE"""),6.91)</f>
        <v>6.91</v>
      </c>
      <c r="C107" s="1">
        <f>IFERROR(__xludf.DUMMYFUNCTION("""COMPUTED_VALUE"""),6.95)</f>
        <v>6.95</v>
      </c>
      <c r="D107" s="1">
        <f>IFERROR(__xludf.DUMMYFUNCTION("""COMPUTED_VALUE"""),6.78)</f>
        <v>6.78</v>
      </c>
      <c r="E107" s="1">
        <f>IFERROR(__xludf.DUMMYFUNCTION("""COMPUTED_VALUE"""),6.81)</f>
        <v>6.81</v>
      </c>
      <c r="F107" s="1">
        <f>IFERROR(__xludf.DUMMYFUNCTION("""COMPUTED_VALUE"""),4719144.0)</f>
        <v>4719144</v>
      </c>
      <c r="G107" s="2" t="s">
        <v>10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IFERROR(__xludf.DUMMYFUNCTION("""COMPUTED_VALUE"""),6.84)</f>
        <v>6.84</v>
      </c>
      <c r="C108" s="1">
        <f>IFERROR(__xludf.DUMMYFUNCTION("""COMPUTED_VALUE"""),6.86)</f>
        <v>6.86</v>
      </c>
      <c r="D108" s="1">
        <f>IFERROR(__xludf.DUMMYFUNCTION("""COMPUTED_VALUE"""),6.77)</f>
        <v>6.77</v>
      </c>
      <c r="E108" s="1">
        <f>IFERROR(__xludf.DUMMYFUNCTION("""COMPUTED_VALUE"""),6.77)</f>
        <v>6.77</v>
      </c>
      <c r="F108" s="1">
        <f>IFERROR(__xludf.DUMMYFUNCTION("""COMPUTED_VALUE"""),2923810.0)</f>
        <v>2923810</v>
      </c>
      <c r="G108" s="2" t="s">
        <v>10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IFERROR(__xludf.DUMMYFUNCTION("""COMPUTED_VALUE"""),6.8)</f>
        <v>6.8</v>
      </c>
      <c r="C109" s="1">
        <f>IFERROR(__xludf.DUMMYFUNCTION("""COMPUTED_VALUE"""),6.8)</f>
        <v>6.8</v>
      </c>
      <c r="D109" s="1">
        <f>IFERROR(__xludf.DUMMYFUNCTION("""COMPUTED_VALUE"""),6.55)</f>
        <v>6.55</v>
      </c>
      <c r="E109" s="1">
        <f>IFERROR(__xludf.DUMMYFUNCTION("""COMPUTED_VALUE"""),6.57)</f>
        <v>6.57</v>
      </c>
      <c r="F109" s="1">
        <f>IFERROR(__xludf.DUMMYFUNCTION("""COMPUTED_VALUE"""),7075591.0)</f>
        <v>7075591</v>
      </c>
      <c r="G109" s="2" t="s">
        <v>10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IFERROR(__xludf.DUMMYFUNCTION("""COMPUTED_VALUE"""),6.66)</f>
        <v>6.66</v>
      </c>
      <c r="C110" s="1">
        <f>IFERROR(__xludf.DUMMYFUNCTION("""COMPUTED_VALUE"""),6.76)</f>
        <v>6.76</v>
      </c>
      <c r="D110" s="1">
        <f>IFERROR(__xludf.DUMMYFUNCTION("""COMPUTED_VALUE"""),6.62)</f>
        <v>6.62</v>
      </c>
      <c r="E110" s="1">
        <f>IFERROR(__xludf.DUMMYFUNCTION("""COMPUTED_VALUE"""),6.69)</f>
        <v>6.69</v>
      </c>
      <c r="F110" s="1">
        <f>IFERROR(__xludf.DUMMYFUNCTION("""COMPUTED_VALUE"""),4326638.0)</f>
        <v>4326638</v>
      </c>
      <c r="G110" s="2" t="s">
        <v>10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IFERROR(__xludf.DUMMYFUNCTION("""COMPUTED_VALUE"""),6.66)</f>
        <v>6.66</v>
      </c>
      <c r="C111" s="1">
        <f>IFERROR(__xludf.DUMMYFUNCTION("""COMPUTED_VALUE"""),6.71)</f>
        <v>6.71</v>
      </c>
      <c r="D111" s="1">
        <f>IFERROR(__xludf.DUMMYFUNCTION("""COMPUTED_VALUE"""),6.55)</f>
        <v>6.55</v>
      </c>
      <c r="E111" s="1">
        <f>IFERROR(__xludf.DUMMYFUNCTION("""COMPUTED_VALUE"""),6.61)</f>
        <v>6.61</v>
      </c>
      <c r="F111" s="1">
        <f>IFERROR(__xludf.DUMMYFUNCTION("""COMPUTED_VALUE"""),6511201.0)</f>
        <v>6511201</v>
      </c>
      <c r="G111" s="2" t="s">
        <v>10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IFERROR(__xludf.DUMMYFUNCTION("""COMPUTED_VALUE"""),6.63)</f>
        <v>6.63</v>
      </c>
      <c r="C112" s="1">
        <f>IFERROR(__xludf.DUMMYFUNCTION("""COMPUTED_VALUE"""),6.68)</f>
        <v>6.68</v>
      </c>
      <c r="D112" s="1">
        <f>IFERROR(__xludf.DUMMYFUNCTION("""COMPUTED_VALUE"""),6.38)</f>
        <v>6.38</v>
      </c>
      <c r="E112" s="1">
        <f>IFERROR(__xludf.DUMMYFUNCTION("""COMPUTED_VALUE"""),6.4)</f>
        <v>6.4</v>
      </c>
      <c r="F112" s="1">
        <f>IFERROR(__xludf.DUMMYFUNCTION("""COMPUTED_VALUE"""),8013529.0)</f>
        <v>8013529</v>
      </c>
      <c r="G112" s="2" t="s">
        <v>10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IFERROR(__xludf.DUMMYFUNCTION("""COMPUTED_VALUE"""),6.4)</f>
        <v>6.4</v>
      </c>
      <c r="C113" s="1">
        <f>IFERROR(__xludf.DUMMYFUNCTION("""COMPUTED_VALUE"""),6.4)</f>
        <v>6.4</v>
      </c>
      <c r="D113" s="1">
        <f>IFERROR(__xludf.DUMMYFUNCTION("""COMPUTED_VALUE"""),6.28)</f>
        <v>6.28</v>
      </c>
      <c r="E113" s="1">
        <f>IFERROR(__xludf.DUMMYFUNCTION("""COMPUTED_VALUE"""),6.33)</f>
        <v>6.33</v>
      </c>
      <c r="F113" s="1">
        <f>IFERROR(__xludf.DUMMYFUNCTION("""COMPUTED_VALUE"""),7132257.0)</f>
        <v>7132257</v>
      </c>
      <c r="G113" s="2" t="s">
        <v>10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IFERROR(__xludf.DUMMYFUNCTION("""COMPUTED_VALUE"""),6.3)</f>
        <v>6.3</v>
      </c>
      <c r="C114" s="1">
        <f>IFERROR(__xludf.DUMMYFUNCTION("""COMPUTED_VALUE"""),6.31)</f>
        <v>6.31</v>
      </c>
      <c r="D114" s="1">
        <f>IFERROR(__xludf.DUMMYFUNCTION("""COMPUTED_VALUE"""),6.06)</f>
        <v>6.06</v>
      </c>
      <c r="E114" s="1">
        <f>IFERROR(__xludf.DUMMYFUNCTION("""COMPUTED_VALUE"""),6.07)</f>
        <v>6.07</v>
      </c>
      <c r="F114" s="1">
        <f>IFERROR(__xludf.DUMMYFUNCTION("""COMPUTED_VALUE"""),9353996.0)</f>
        <v>9353996</v>
      </c>
      <c r="G114" s="2" t="s">
        <v>10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IFERROR(__xludf.DUMMYFUNCTION("""COMPUTED_VALUE"""),6.0)</f>
        <v>6</v>
      </c>
      <c r="C115" s="1">
        <f>IFERROR(__xludf.DUMMYFUNCTION("""COMPUTED_VALUE"""),6.0)</f>
        <v>6</v>
      </c>
      <c r="D115" s="1">
        <f>IFERROR(__xludf.DUMMYFUNCTION("""COMPUTED_VALUE"""),5.78)</f>
        <v>5.78</v>
      </c>
      <c r="E115" s="1">
        <f>IFERROR(__xludf.DUMMYFUNCTION("""COMPUTED_VALUE"""),5.83)</f>
        <v>5.83</v>
      </c>
      <c r="F115" s="1">
        <f>IFERROR(__xludf.DUMMYFUNCTION("""COMPUTED_VALUE"""),1.0785224E7)</f>
        <v>10785224</v>
      </c>
      <c r="G115" s="2" t="s">
        <v>10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IFERROR(__xludf.DUMMYFUNCTION("""COMPUTED_VALUE"""),5.94)</f>
        <v>5.94</v>
      </c>
      <c r="C116" s="1">
        <f>IFERROR(__xludf.DUMMYFUNCTION("""COMPUTED_VALUE"""),5.95)</f>
        <v>5.95</v>
      </c>
      <c r="D116" s="1">
        <f>IFERROR(__xludf.DUMMYFUNCTION("""COMPUTED_VALUE"""),5.7)</f>
        <v>5.7</v>
      </c>
      <c r="E116" s="1">
        <f>IFERROR(__xludf.DUMMYFUNCTION("""COMPUTED_VALUE"""),5.71)</f>
        <v>5.71</v>
      </c>
      <c r="F116" s="1">
        <f>IFERROR(__xludf.DUMMYFUNCTION("""COMPUTED_VALUE"""),8593116.0)</f>
        <v>8593116</v>
      </c>
      <c r="G116" s="2" t="s">
        <v>10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IFERROR(__xludf.DUMMYFUNCTION("""COMPUTED_VALUE"""),5.79)</f>
        <v>5.79</v>
      </c>
      <c r="C117" s="1">
        <f>IFERROR(__xludf.DUMMYFUNCTION("""COMPUTED_VALUE"""),5.98)</f>
        <v>5.98</v>
      </c>
      <c r="D117" s="1">
        <f>IFERROR(__xludf.DUMMYFUNCTION("""COMPUTED_VALUE"""),5.72)</f>
        <v>5.72</v>
      </c>
      <c r="E117" s="1">
        <f>IFERROR(__xludf.DUMMYFUNCTION("""COMPUTED_VALUE"""),5.96)</f>
        <v>5.96</v>
      </c>
      <c r="F117" s="1">
        <f>IFERROR(__xludf.DUMMYFUNCTION("""COMPUTED_VALUE"""),1.0182735E7)</f>
        <v>10182735</v>
      </c>
      <c r="G117" s="2" t="s">
        <v>10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IFERROR(__xludf.DUMMYFUNCTION("""COMPUTED_VALUE"""),5.96)</f>
        <v>5.96</v>
      </c>
      <c r="C118" s="1">
        <f>IFERROR(__xludf.DUMMYFUNCTION("""COMPUTED_VALUE"""),5.96)</f>
        <v>5.96</v>
      </c>
      <c r="D118" s="1">
        <f>IFERROR(__xludf.DUMMYFUNCTION("""COMPUTED_VALUE"""),5.69)</f>
        <v>5.69</v>
      </c>
      <c r="E118" s="1">
        <f>IFERROR(__xludf.DUMMYFUNCTION("""COMPUTED_VALUE"""),5.71)</f>
        <v>5.71</v>
      </c>
      <c r="F118" s="1">
        <f>IFERROR(__xludf.DUMMYFUNCTION("""COMPUTED_VALUE"""),5894822.0)</f>
        <v>5894822</v>
      </c>
      <c r="G118" s="2" t="s">
        <v>10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IFERROR(__xludf.DUMMYFUNCTION("""COMPUTED_VALUE"""),5.77)</f>
        <v>5.77</v>
      </c>
      <c r="C119" s="1">
        <f>IFERROR(__xludf.DUMMYFUNCTION("""COMPUTED_VALUE"""),5.99)</f>
        <v>5.99</v>
      </c>
      <c r="D119" s="1">
        <f>IFERROR(__xludf.DUMMYFUNCTION("""COMPUTED_VALUE"""),5.69)</f>
        <v>5.69</v>
      </c>
      <c r="E119" s="1">
        <f>IFERROR(__xludf.DUMMYFUNCTION("""COMPUTED_VALUE"""),5.98)</f>
        <v>5.98</v>
      </c>
      <c r="F119" s="1">
        <f>IFERROR(__xludf.DUMMYFUNCTION("""COMPUTED_VALUE"""),1.135787E7)</f>
        <v>11357870</v>
      </c>
      <c r="G119" s="2" t="s">
        <v>10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IFERROR(__xludf.DUMMYFUNCTION("""COMPUTED_VALUE"""),6.0)</f>
        <v>6</v>
      </c>
      <c r="C120" s="1">
        <f>IFERROR(__xludf.DUMMYFUNCTION("""COMPUTED_VALUE"""),6.44)</f>
        <v>6.44</v>
      </c>
      <c r="D120" s="1">
        <f>IFERROR(__xludf.DUMMYFUNCTION("""COMPUTED_VALUE"""),5.99)</f>
        <v>5.99</v>
      </c>
      <c r="E120" s="1">
        <f>IFERROR(__xludf.DUMMYFUNCTION("""COMPUTED_VALUE"""),6.43)</f>
        <v>6.43</v>
      </c>
      <c r="F120" s="1">
        <f>IFERROR(__xludf.DUMMYFUNCTION("""COMPUTED_VALUE"""),7697057.0)</f>
        <v>7697057</v>
      </c>
      <c r="G120" s="2" t="s">
        <v>10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IFERROR(__xludf.DUMMYFUNCTION("""COMPUTED_VALUE"""),6.46)</f>
        <v>6.46</v>
      </c>
      <c r="C121" s="1">
        <f>IFERROR(__xludf.DUMMYFUNCTION("""COMPUTED_VALUE"""),6.59)</f>
        <v>6.59</v>
      </c>
      <c r="D121" s="1">
        <f>IFERROR(__xludf.DUMMYFUNCTION("""COMPUTED_VALUE"""),6.28)</f>
        <v>6.28</v>
      </c>
      <c r="E121" s="1">
        <f>IFERROR(__xludf.DUMMYFUNCTION("""COMPUTED_VALUE"""),6.34)</f>
        <v>6.34</v>
      </c>
      <c r="F121" s="1">
        <f>IFERROR(__xludf.DUMMYFUNCTION("""COMPUTED_VALUE"""),8205658.0)</f>
        <v>8205658</v>
      </c>
      <c r="G121" s="2" t="s">
        <v>10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IFERROR(__xludf.DUMMYFUNCTION("""COMPUTED_VALUE"""),6.24)</f>
        <v>6.24</v>
      </c>
      <c r="C122" s="1">
        <f>IFERROR(__xludf.DUMMYFUNCTION("""COMPUTED_VALUE"""),6.45)</f>
        <v>6.45</v>
      </c>
      <c r="D122" s="1">
        <f>IFERROR(__xludf.DUMMYFUNCTION("""COMPUTED_VALUE"""),6.2)</f>
        <v>6.2</v>
      </c>
      <c r="E122" s="1">
        <f>IFERROR(__xludf.DUMMYFUNCTION("""COMPUTED_VALUE"""),6.37)</f>
        <v>6.37</v>
      </c>
      <c r="F122" s="1">
        <f>IFERROR(__xludf.DUMMYFUNCTION("""COMPUTED_VALUE"""),7076624.0)</f>
        <v>7076624</v>
      </c>
      <c r="G122" s="2" t="s">
        <v>10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IFERROR(__xludf.DUMMYFUNCTION("""COMPUTED_VALUE"""),6.37)</f>
        <v>6.37</v>
      </c>
      <c r="C123" s="1">
        <f>IFERROR(__xludf.DUMMYFUNCTION("""COMPUTED_VALUE"""),6.44)</f>
        <v>6.44</v>
      </c>
      <c r="D123" s="1">
        <f>IFERROR(__xludf.DUMMYFUNCTION("""COMPUTED_VALUE"""),6.27)</f>
        <v>6.27</v>
      </c>
      <c r="E123" s="1">
        <f>IFERROR(__xludf.DUMMYFUNCTION("""COMPUTED_VALUE"""),6.28)</f>
        <v>6.28</v>
      </c>
      <c r="F123" s="1">
        <f>IFERROR(__xludf.DUMMYFUNCTION("""COMPUTED_VALUE"""),5698819.0)</f>
        <v>5698819</v>
      </c>
      <c r="G123" s="2" t="s">
        <v>10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IFERROR(__xludf.DUMMYFUNCTION("""COMPUTED_VALUE"""),6.31)</f>
        <v>6.31</v>
      </c>
      <c r="C124" s="1">
        <f>IFERROR(__xludf.DUMMYFUNCTION("""COMPUTED_VALUE"""),6.31)</f>
        <v>6.31</v>
      </c>
      <c r="D124" s="1">
        <f>IFERROR(__xludf.DUMMYFUNCTION("""COMPUTED_VALUE"""),5.94)</f>
        <v>5.94</v>
      </c>
      <c r="E124" s="1">
        <f>IFERROR(__xludf.DUMMYFUNCTION("""COMPUTED_VALUE"""),5.97)</f>
        <v>5.97</v>
      </c>
      <c r="F124" s="1">
        <f>IFERROR(__xludf.DUMMYFUNCTION("""COMPUTED_VALUE"""),6414477.0)</f>
        <v>6414477</v>
      </c>
      <c r="G124" s="2" t="s">
        <v>10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IFERROR(__xludf.DUMMYFUNCTION("""COMPUTED_VALUE"""),6.03)</f>
        <v>6.03</v>
      </c>
      <c r="C125" s="1">
        <f>IFERROR(__xludf.DUMMYFUNCTION("""COMPUTED_VALUE"""),6.12)</f>
        <v>6.12</v>
      </c>
      <c r="D125" s="1">
        <f>IFERROR(__xludf.DUMMYFUNCTION("""COMPUTED_VALUE"""),5.95)</f>
        <v>5.95</v>
      </c>
      <c r="E125" s="1">
        <f>IFERROR(__xludf.DUMMYFUNCTION("""COMPUTED_VALUE"""),5.98)</f>
        <v>5.98</v>
      </c>
      <c r="F125" s="1">
        <f>IFERROR(__xludf.DUMMYFUNCTION("""COMPUTED_VALUE"""),3542253.0)</f>
        <v>3542253</v>
      </c>
      <c r="G125" s="2" t="s">
        <v>10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IFERROR(__xludf.DUMMYFUNCTION("""COMPUTED_VALUE"""),6.05)</f>
        <v>6.05</v>
      </c>
      <c r="C126" s="1">
        <f>IFERROR(__xludf.DUMMYFUNCTION("""COMPUTED_VALUE"""),6.2)</f>
        <v>6.2</v>
      </c>
      <c r="D126" s="1">
        <f>IFERROR(__xludf.DUMMYFUNCTION("""COMPUTED_VALUE"""),5.94)</f>
        <v>5.94</v>
      </c>
      <c r="E126" s="1">
        <f>IFERROR(__xludf.DUMMYFUNCTION("""COMPUTED_VALUE"""),6.04)</f>
        <v>6.04</v>
      </c>
      <c r="F126" s="1">
        <f>IFERROR(__xludf.DUMMYFUNCTION("""COMPUTED_VALUE"""),4331093.0)</f>
        <v>4331093</v>
      </c>
      <c r="G126" s="2" t="s">
        <v>10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IFERROR(__xludf.DUMMYFUNCTION("""COMPUTED_VALUE"""),5.95)</f>
        <v>5.95</v>
      </c>
      <c r="C127" s="1">
        <f>IFERROR(__xludf.DUMMYFUNCTION("""COMPUTED_VALUE"""),5.99)</f>
        <v>5.99</v>
      </c>
      <c r="D127" s="1">
        <f>IFERROR(__xludf.DUMMYFUNCTION("""COMPUTED_VALUE"""),5.73)</f>
        <v>5.73</v>
      </c>
      <c r="E127" s="1">
        <f>IFERROR(__xludf.DUMMYFUNCTION("""COMPUTED_VALUE"""),5.81)</f>
        <v>5.81</v>
      </c>
      <c r="F127" s="1">
        <f>IFERROR(__xludf.DUMMYFUNCTION("""COMPUTED_VALUE"""),6993595.0)</f>
        <v>6993595</v>
      </c>
      <c r="G127" s="2" t="s">
        <v>10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IFERROR(__xludf.DUMMYFUNCTION("""COMPUTED_VALUE"""),5.67)</f>
        <v>5.67</v>
      </c>
      <c r="C128" s="1">
        <f>IFERROR(__xludf.DUMMYFUNCTION("""COMPUTED_VALUE"""),5.69)</f>
        <v>5.69</v>
      </c>
      <c r="D128" s="1">
        <f>IFERROR(__xludf.DUMMYFUNCTION("""COMPUTED_VALUE"""),5.31)</f>
        <v>5.31</v>
      </c>
      <c r="E128" s="1">
        <f>IFERROR(__xludf.DUMMYFUNCTION("""COMPUTED_VALUE"""),5.56)</f>
        <v>5.56</v>
      </c>
      <c r="F128" s="1">
        <f>IFERROR(__xludf.DUMMYFUNCTION("""COMPUTED_VALUE"""),1.3529135E7)</f>
        <v>13529135</v>
      </c>
      <c r="G128" s="2" t="s">
        <v>10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IFERROR(__xludf.DUMMYFUNCTION("""COMPUTED_VALUE"""),5.53)</f>
        <v>5.53</v>
      </c>
      <c r="C129" s="1">
        <f>IFERROR(__xludf.DUMMYFUNCTION("""COMPUTED_VALUE"""),5.75)</f>
        <v>5.75</v>
      </c>
      <c r="D129" s="1">
        <f>IFERROR(__xludf.DUMMYFUNCTION("""COMPUTED_VALUE"""),5.45)</f>
        <v>5.45</v>
      </c>
      <c r="E129" s="1">
        <f>IFERROR(__xludf.DUMMYFUNCTION("""COMPUTED_VALUE"""),5.57)</f>
        <v>5.57</v>
      </c>
      <c r="F129" s="1">
        <f>IFERROR(__xludf.DUMMYFUNCTION("""COMPUTED_VALUE"""),5476846.0)</f>
        <v>5476846</v>
      </c>
      <c r="G129" s="2" t="s">
        <v>10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IFERROR(__xludf.DUMMYFUNCTION("""COMPUTED_VALUE"""),5.69)</f>
        <v>5.69</v>
      </c>
      <c r="C130" s="1">
        <f>IFERROR(__xludf.DUMMYFUNCTION("""COMPUTED_VALUE"""),5.72)</f>
        <v>5.72</v>
      </c>
      <c r="D130" s="1">
        <f>IFERROR(__xludf.DUMMYFUNCTION("""COMPUTED_VALUE"""),5.55)</f>
        <v>5.55</v>
      </c>
      <c r="E130" s="1">
        <f>IFERROR(__xludf.DUMMYFUNCTION("""COMPUTED_VALUE"""),5.71)</f>
        <v>5.71</v>
      </c>
      <c r="F130" s="1">
        <f>IFERROR(__xludf.DUMMYFUNCTION("""COMPUTED_VALUE"""),5707309.0)</f>
        <v>5707309</v>
      </c>
      <c r="G130" s="2" t="s">
        <v>10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IFERROR(__xludf.DUMMYFUNCTION("""COMPUTED_VALUE"""),5.74)</f>
        <v>5.74</v>
      </c>
      <c r="C131" s="1">
        <f>IFERROR(__xludf.DUMMYFUNCTION("""COMPUTED_VALUE"""),5.79)</f>
        <v>5.79</v>
      </c>
      <c r="D131" s="1">
        <f>IFERROR(__xludf.DUMMYFUNCTION("""COMPUTED_VALUE"""),5.47)</f>
        <v>5.47</v>
      </c>
      <c r="E131" s="1">
        <f>IFERROR(__xludf.DUMMYFUNCTION("""COMPUTED_VALUE"""),5.53)</f>
        <v>5.53</v>
      </c>
      <c r="F131" s="1">
        <f>IFERROR(__xludf.DUMMYFUNCTION("""COMPUTED_VALUE"""),6039722.0)</f>
        <v>6039722</v>
      </c>
      <c r="G131" s="2" t="s">
        <v>10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IFERROR(__xludf.DUMMYFUNCTION("""COMPUTED_VALUE"""),5.58)</f>
        <v>5.58</v>
      </c>
      <c r="C132" s="1">
        <f>IFERROR(__xludf.DUMMYFUNCTION("""COMPUTED_VALUE"""),5.73)</f>
        <v>5.73</v>
      </c>
      <c r="D132" s="1">
        <f>IFERROR(__xludf.DUMMYFUNCTION("""COMPUTED_VALUE"""),5.5)</f>
        <v>5.5</v>
      </c>
      <c r="E132" s="1">
        <f>IFERROR(__xludf.DUMMYFUNCTION("""COMPUTED_VALUE"""),5.51)</f>
        <v>5.51</v>
      </c>
      <c r="F132" s="1">
        <f>IFERROR(__xludf.DUMMYFUNCTION("""COMPUTED_VALUE"""),5010953.0)</f>
        <v>5010953</v>
      </c>
      <c r="G132" s="2" t="s">
        <v>10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IFERROR(__xludf.DUMMYFUNCTION("""COMPUTED_VALUE"""),5.65)</f>
        <v>5.65</v>
      </c>
      <c r="C133" s="1">
        <f>IFERROR(__xludf.DUMMYFUNCTION("""COMPUTED_VALUE"""),5.81)</f>
        <v>5.81</v>
      </c>
      <c r="D133" s="1">
        <f>IFERROR(__xludf.DUMMYFUNCTION("""COMPUTED_VALUE"""),5.54)</f>
        <v>5.54</v>
      </c>
      <c r="E133" s="1">
        <f>IFERROR(__xludf.DUMMYFUNCTION("""COMPUTED_VALUE"""),5.76)</f>
        <v>5.76</v>
      </c>
      <c r="F133" s="1">
        <f>IFERROR(__xludf.DUMMYFUNCTION("""COMPUTED_VALUE"""),7266778.0)</f>
        <v>7266778</v>
      </c>
      <c r="G133" s="2" t="s">
        <v>10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IFERROR(__xludf.DUMMYFUNCTION("""COMPUTED_VALUE"""),5.75)</f>
        <v>5.75</v>
      </c>
      <c r="C134" s="1">
        <f>IFERROR(__xludf.DUMMYFUNCTION("""COMPUTED_VALUE"""),5.93)</f>
        <v>5.93</v>
      </c>
      <c r="D134" s="1">
        <f>IFERROR(__xludf.DUMMYFUNCTION("""COMPUTED_VALUE"""),5.69)</f>
        <v>5.69</v>
      </c>
      <c r="E134" s="1">
        <f>IFERROR(__xludf.DUMMYFUNCTION("""COMPUTED_VALUE"""),5.8)</f>
        <v>5.8</v>
      </c>
      <c r="F134" s="1">
        <f>IFERROR(__xludf.DUMMYFUNCTION("""COMPUTED_VALUE"""),6495071.0)</f>
        <v>6495071</v>
      </c>
      <c r="G134" s="2" t="s">
        <v>10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IFERROR(__xludf.DUMMYFUNCTION("""COMPUTED_VALUE"""),5.71)</f>
        <v>5.71</v>
      </c>
      <c r="C135" s="1">
        <f>IFERROR(__xludf.DUMMYFUNCTION("""COMPUTED_VALUE"""),5.78)</f>
        <v>5.78</v>
      </c>
      <c r="D135" s="1">
        <f>IFERROR(__xludf.DUMMYFUNCTION("""COMPUTED_VALUE"""),5.59)</f>
        <v>5.59</v>
      </c>
      <c r="E135" s="1">
        <f>IFERROR(__xludf.DUMMYFUNCTION("""COMPUTED_VALUE"""),5.6)</f>
        <v>5.6</v>
      </c>
      <c r="F135" s="1">
        <f>IFERROR(__xludf.DUMMYFUNCTION("""COMPUTED_VALUE"""),3572883.0)</f>
        <v>3572883</v>
      </c>
      <c r="G135" s="2" t="s">
        <v>10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IFERROR(__xludf.DUMMYFUNCTION("""COMPUTED_VALUE"""),5.6)</f>
        <v>5.6</v>
      </c>
      <c r="C136" s="1">
        <f>IFERROR(__xludf.DUMMYFUNCTION("""COMPUTED_VALUE"""),5.78)</f>
        <v>5.78</v>
      </c>
      <c r="D136" s="1">
        <f>IFERROR(__xludf.DUMMYFUNCTION("""COMPUTED_VALUE"""),5.5)</f>
        <v>5.5</v>
      </c>
      <c r="E136" s="1">
        <f>IFERROR(__xludf.DUMMYFUNCTION("""COMPUTED_VALUE"""),5.78)</f>
        <v>5.78</v>
      </c>
      <c r="F136" s="1">
        <f>IFERROR(__xludf.DUMMYFUNCTION("""COMPUTED_VALUE"""),4951303.0)</f>
        <v>4951303</v>
      </c>
      <c r="G136" s="2" t="s">
        <v>10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IFERROR(__xludf.DUMMYFUNCTION("""COMPUTED_VALUE"""),5.78)</f>
        <v>5.78</v>
      </c>
      <c r="C137" s="1">
        <f>IFERROR(__xludf.DUMMYFUNCTION("""COMPUTED_VALUE"""),5.86)</f>
        <v>5.86</v>
      </c>
      <c r="D137" s="1">
        <f>IFERROR(__xludf.DUMMYFUNCTION("""COMPUTED_VALUE"""),5.58)</f>
        <v>5.58</v>
      </c>
      <c r="E137" s="1">
        <f>IFERROR(__xludf.DUMMYFUNCTION("""COMPUTED_VALUE"""),5.67)</f>
        <v>5.67</v>
      </c>
      <c r="F137" s="1">
        <f>IFERROR(__xludf.DUMMYFUNCTION("""COMPUTED_VALUE"""),5075098.0)</f>
        <v>5075098</v>
      </c>
      <c r="G137" s="2" t="s">
        <v>10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IFERROR(__xludf.DUMMYFUNCTION("""COMPUTED_VALUE"""),5.64)</f>
        <v>5.64</v>
      </c>
      <c r="C138" s="1">
        <f>IFERROR(__xludf.DUMMYFUNCTION("""COMPUTED_VALUE"""),5.81)</f>
        <v>5.81</v>
      </c>
      <c r="D138" s="1">
        <f>IFERROR(__xludf.DUMMYFUNCTION("""COMPUTED_VALUE"""),5.64)</f>
        <v>5.64</v>
      </c>
      <c r="E138" s="1">
        <f>IFERROR(__xludf.DUMMYFUNCTION("""COMPUTED_VALUE"""),5.73)</f>
        <v>5.73</v>
      </c>
      <c r="F138" s="1">
        <f>IFERROR(__xludf.DUMMYFUNCTION("""COMPUTED_VALUE"""),4396948.0)</f>
        <v>4396948</v>
      </c>
      <c r="G138" s="2" t="s">
        <v>10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IFERROR(__xludf.DUMMYFUNCTION("""COMPUTED_VALUE"""),5.76)</f>
        <v>5.76</v>
      </c>
      <c r="C139" s="1">
        <f>IFERROR(__xludf.DUMMYFUNCTION("""COMPUTED_VALUE"""),6.25)</f>
        <v>6.25</v>
      </c>
      <c r="D139" s="1">
        <f>IFERROR(__xludf.DUMMYFUNCTION("""COMPUTED_VALUE"""),5.73)</f>
        <v>5.73</v>
      </c>
      <c r="E139" s="1">
        <f>IFERROR(__xludf.DUMMYFUNCTION("""COMPUTED_VALUE"""),6.13)</f>
        <v>6.13</v>
      </c>
      <c r="F139" s="1">
        <f>IFERROR(__xludf.DUMMYFUNCTION("""COMPUTED_VALUE"""),9369378.0)</f>
        <v>9369378</v>
      </c>
      <c r="G139" s="2" t="s">
        <v>10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IFERROR(__xludf.DUMMYFUNCTION("""COMPUTED_VALUE"""),6.16)</f>
        <v>6.16</v>
      </c>
      <c r="C140" s="1">
        <f>IFERROR(__xludf.DUMMYFUNCTION("""COMPUTED_VALUE"""),6.29)</f>
        <v>6.29</v>
      </c>
      <c r="D140" s="1">
        <f>IFERROR(__xludf.DUMMYFUNCTION("""COMPUTED_VALUE"""),6.12)</f>
        <v>6.12</v>
      </c>
      <c r="E140" s="1">
        <f>IFERROR(__xludf.DUMMYFUNCTION("""COMPUTED_VALUE"""),6.15)</f>
        <v>6.15</v>
      </c>
      <c r="F140" s="1">
        <f>IFERROR(__xludf.DUMMYFUNCTION("""COMPUTED_VALUE"""),4931942.0)</f>
        <v>4931942</v>
      </c>
      <c r="G140" s="2" t="s">
        <v>10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IFERROR(__xludf.DUMMYFUNCTION("""COMPUTED_VALUE"""),6.13)</f>
        <v>6.13</v>
      </c>
      <c r="C141" s="1">
        <f>IFERROR(__xludf.DUMMYFUNCTION("""COMPUTED_VALUE"""),6.31)</f>
        <v>6.31</v>
      </c>
      <c r="D141" s="1">
        <f>IFERROR(__xludf.DUMMYFUNCTION("""COMPUTED_VALUE"""),6.05)</f>
        <v>6.05</v>
      </c>
      <c r="E141" s="1">
        <f>IFERROR(__xludf.DUMMYFUNCTION("""COMPUTED_VALUE"""),6.29)</f>
        <v>6.29</v>
      </c>
      <c r="F141" s="1">
        <f>IFERROR(__xludf.DUMMYFUNCTION("""COMPUTED_VALUE"""),5299882.0)</f>
        <v>5299882</v>
      </c>
      <c r="G141" s="2" t="s">
        <v>10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IFERROR(__xludf.DUMMYFUNCTION("""COMPUTED_VALUE"""),6.31)</f>
        <v>6.31</v>
      </c>
      <c r="C142" s="1">
        <f>IFERROR(__xludf.DUMMYFUNCTION("""COMPUTED_VALUE"""),6.35)</f>
        <v>6.35</v>
      </c>
      <c r="D142" s="1">
        <f>IFERROR(__xludf.DUMMYFUNCTION("""COMPUTED_VALUE"""),6.12)</f>
        <v>6.12</v>
      </c>
      <c r="E142" s="1">
        <f>IFERROR(__xludf.DUMMYFUNCTION("""COMPUTED_VALUE"""),6.24)</f>
        <v>6.24</v>
      </c>
      <c r="F142" s="1">
        <f>IFERROR(__xludf.DUMMYFUNCTION("""COMPUTED_VALUE"""),4160880.0)</f>
        <v>4160880</v>
      </c>
      <c r="G142" s="2" t="s">
        <v>10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IFERROR(__xludf.DUMMYFUNCTION("""COMPUTED_VALUE"""),6.22)</f>
        <v>6.22</v>
      </c>
      <c r="C143" s="1">
        <f>IFERROR(__xludf.DUMMYFUNCTION("""COMPUTED_VALUE"""),6.24)</f>
        <v>6.24</v>
      </c>
      <c r="D143" s="1">
        <f>IFERROR(__xludf.DUMMYFUNCTION("""COMPUTED_VALUE"""),5.94)</f>
        <v>5.94</v>
      </c>
      <c r="E143" s="1">
        <f>IFERROR(__xludf.DUMMYFUNCTION("""COMPUTED_VALUE"""),5.99)</f>
        <v>5.99</v>
      </c>
      <c r="F143" s="1">
        <f>IFERROR(__xludf.DUMMYFUNCTION("""COMPUTED_VALUE"""),7039991.0)</f>
        <v>7039991</v>
      </c>
      <c r="G143" s="2" t="s">
        <v>10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IFERROR(__xludf.DUMMYFUNCTION("""COMPUTED_VALUE"""),6.0)</f>
        <v>6</v>
      </c>
      <c r="C144" s="1">
        <f>IFERROR(__xludf.DUMMYFUNCTION("""COMPUTED_VALUE"""),6.07)</f>
        <v>6.07</v>
      </c>
      <c r="D144" s="1">
        <f>IFERROR(__xludf.DUMMYFUNCTION("""COMPUTED_VALUE"""),5.99)</f>
        <v>5.99</v>
      </c>
      <c r="E144" s="1">
        <f>IFERROR(__xludf.DUMMYFUNCTION("""COMPUTED_VALUE"""),6.04)</f>
        <v>6.04</v>
      </c>
      <c r="F144" s="1">
        <f>IFERROR(__xludf.DUMMYFUNCTION("""COMPUTED_VALUE"""),3831861.0)</f>
        <v>3831861</v>
      </c>
      <c r="G144" s="2" t="s">
        <v>10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IFERROR(__xludf.DUMMYFUNCTION("""COMPUTED_VALUE"""),6.0)</f>
        <v>6</v>
      </c>
      <c r="C145" s="1">
        <f>IFERROR(__xludf.DUMMYFUNCTION("""COMPUTED_VALUE"""),6.19)</f>
        <v>6.19</v>
      </c>
      <c r="D145" s="1">
        <f>IFERROR(__xludf.DUMMYFUNCTION("""COMPUTED_VALUE"""),6.0)</f>
        <v>6</v>
      </c>
      <c r="E145" s="1">
        <f>IFERROR(__xludf.DUMMYFUNCTION("""COMPUTED_VALUE"""),6.03)</f>
        <v>6.03</v>
      </c>
      <c r="F145" s="1">
        <f>IFERROR(__xludf.DUMMYFUNCTION("""COMPUTED_VALUE"""),3270638.0)</f>
        <v>3270638</v>
      </c>
      <c r="G145" s="2" t="s">
        <v>10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IFERROR(__xludf.DUMMYFUNCTION("""COMPUTED_VALUE"""),6.02)</f>
        <v>6.02</v>
      </c>
      <c r="C146" s="1">
        <f>IFERROR(__xludf.DUMMYFUNCTION("""COMPUTED_VALUE"""),6.07)</f>
        <v>6.07</v>
      </c>
      <c r="D146" s="1">
        <f>IFERROR(__xludf.DUMMYFUNCTION("""COMPUTED_VALUE"""),5.84)</f>
        <v>5.84</v>
      </c>
      <c r="E146" s="1">
        <f>IFERROR(__xludf.DUMMYFUNCTION("""COMPUTED_VALUE"""),5.87)</f>
        <v>5.87</v>
      </c>
      <c r="F146" s="1">
        <f>IFERROR(__xludf.DUMMYFUNCTION("""COMPUTED_VALUE"""),3927471.0)</f>
        <v>3927471</v>
      </c>
      <c r="G146" s="2" t="s">
        <v>10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IFERROR(__xludf.DUMMYFUNCTION("""COMPUTED_VALUE"""),5.91)</f>
        <v>5.91</v>
      </c>
      <c r="C147" s="1">
        <f>IFERROR(__xludf.DUMMYFUNCTION("""COMPUTED_VALUE"""),6.11)</f>
        <v>6.11</v>
      </c>
      <c r="D147" s="1">
        <f>IFERROR(__xludf.DUMMYFUNCTION("""COMPUTED_VALUE"""),5.85)</f>
        <v>5.85</v>
      </c>
      <c r="E147" s="1">
        <f>IFERROR(__xludf.DUMMYFUNCTION("""COMPUTED_VALUE"""),6.06)</f>
        <v>6.06</v>
      </c>
      <c r="F147" s="1">
        <f>IFERROR(__xludf.DUMMYFUNCTION("""COMPUTED_VALUE"""),3979993.0)</f>
        <v>3979993</v>
      </c>
      <c r="G147" s="2" t="s">
        <v>10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IFERROR(__xludf.DUMMYFUNCTION("""COMPUTED_VALUE"""),6.09)</f>
        <v>6.09</v>
      </c>
      <c r="C148" s="1">
        <f>IFERROR(__xludf.DUMMYFUNCTION("""COMPUTED_VALUE"""),6.1)</f>
        <v>6.1</v>
      </c>
      <c r="D148" s="1">
        <f>IFERROR(__xludf.DUMMYFUNCTION("""COMPUTED_VALUE"""),6.02)</f>
        <v>6.02</v>
      </c>
      <c r="E148" s="1">
        <f>IFERROR(__xludf.DUMMYFUNCTION("""COMPUTED_VALUE"""),6.04)</f>
        <v>6.04</v>
      </c>
      <c r="F148" s="1">
        <f>IFERROR(__xludf.DUMMYFUNCTION("""COMPUTED_VALUE"""),2673745.0)</f>
        <v>2673745</v>
      </c>
      <c r="G148" s="2" t="s">
        <v>10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IFERROR(__xludf.DUMMYFUNCTION("""COMPUTED_VALUE"""),6.11)</f>
        <v>6.11</v>
      </c>
      <c r="C149" s="1">
        <f>IFERROR(__xludf.DUMMYFUNCTION("""COMPUTED_VALUE"""),6.19)</f>
        <v>6.19</v>
      </c>
      <c r="D149" s="1">
        <f>IFERROR(__xludf.DUMMYFUNCTION("""COMPUTED_VALUE"""),5.96)</f>
        <v>5.96</v>
      </c>
      <c r="E149" s="1">
        <f>IFERROR(__xludf.DUMMYFUNCTION("""COMPUTED_VALUE"""),5.99)</f>
        <v>5.99</v>
      </c>
      <c r="F149" s="1">
        <f>IFERROR(__xludf.DUMMYFUNCTION("""COMPUTED_VALUE"""),4521926.0)</f>
        <v>4521926</v>
      </c>
      <c r="G149" s="2" t="s">
        <v>10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IFERROR(__xludf.DUMMYFUNCTION("""COMPUTED_VALUE"""),6.0)</f>
        <v>6</v>
      </c>
      <c r="C150" s="1">
        <f>IFERROR(__xludf.DUMMYFUNCTION("""COMPUTED_VALUE"""),6.06)</f>
        <v>6.06</v>
      </c>
      <c r="D150" s="1">
        <f>IFERROR(__xludf.DUMMYFUNCTION("""COMPUTED_VALUE"""),5.97)</f>
        <v>5.97</v>
      </c>
      <c r="E150" s="1">
        <f>IFERROR(__xludf.DUMMYFUNCTION("""COMPUTED_VALUE"""),5.97)</f>
        <v>5.97</v>
      </c>
      <c r="F150" s="1">
        <f>IFERROR(__xludf.DUMMYFUNCTION("""COMPUTED_VALUE"""),2906865.0)</f>
        <v>2906865</v>
      </c>
      <c r="G150" s="2" t="s">
        <v>10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IFERROR(__xludf.DUMMYFUNCTION("""COMPUTED_VALUE"""),5.97)</f>
        <v>5.97</v>
      </c>
      <c r="C151" s="1">
        <f>IFERROR(__xludf.DUMMYFUNCTION("""COMPUTED_VALUE"""),6.05)</f>
        <v>6.05</v>
      </c>
      <c r="D151" s="1">
        <f>IFERROR(__xludf.DUMMYFUNCTION("""COMPUTED_VALUE"""),5.92)</f>
        <v>5.92</v>
      </c>
      <c r="E151" s="1">
        <f>IFERROR(__xludf.DUMMYFUNCTION("""COMPUTED_VALUE"""),6.01)</f>
        <v>6.01</v>
      </c>
      <c r="F151" s="1">
        <f>IFERROR(__xludf.DUMMYFUNCTION("""COMPUTED_VALUE"""),2822500.0)</f>
        <v>2822500</v>
      </c>
      <c r="G151" s="2" t="s">
        <v>10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IFERROR(__xludf.DUMMYFUNCTION("""COMPUTED_VALUE"""),6.0)</f>
        <v>6</v>
      </c>
      <c r="C152" s="1">
        <f>IFERROR(__xludf.DUMMYFUNCTION("""COMPUTED_VALUE"""),6.17)</f>
        <v>6.17</v>
      </c>
      <c r="D152" s="1">
        <f>IFERROR(__xludf.DUMMYFUNCTION("""COMPUTED_VALUE"""),5.98)</f>
        <v>5.98</v>
      </c>
      <c r="E152" s="1">
        <f>IFERROR(__xludf.DUMMYFUNCTION("""COMPUTED_VALUE"""),6.08)</f>
        <v>6.08</v>
      </c>
      <c r="F152" s="1">
        <f>IFERROR(__xludf.DUMMYFUNCTION("""COMPUTED_VALUE"""),5186444.0)</f>
        <v>5186444</v>
      </c>
      <c r="G152" s="2" t="s">
        <v>10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IFERROR(__xludf.DUMMYFUNCTION("""COMPUTED_VALUE"""),6.25)</f>
        <v>6.25</v>
      </c>
      <c r="C153" s="1">
        <f>IFERROR(__xludf.DUMMYFUNCTION("""COMPUTED_VALUE"""),6.53)</f>
        <v>6.53</v>
      </c>
      <c r="D153" s="1">
        <f>IFERROR(__xludf.DUMMYFUNCTION("""COMPUTED_VALUE"""),6.22)</f>
        <v>6.22</v>
      </c>
      <c r="E153" s="1">
        <f>IFERROR(__xludf.DUMMYFUNCTION("""COMPUTED_VALUE"""),6.47)</f>
        <v>6.47</v>
      </c>
      <c r="F153" s="1">
        <f>IFERROR(__xludf.DUMMYFUNCTION("""COMPUTED_VALUE"""),1.3500983E7)</f>
        <v>13500983</v>
      </c>
      <c r="G153" s="2" t="s">
        <v>10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IFERROR(__xludf.DUMMYFUNCTION("""COMPUTED_VALUE"""),6.54)</f>
        <v>6.54</v>
      </c>
      <c r="C154" s="1">
        <f>IFERROR(__xludf.DUMMYFUNCTION("""COMPUTED_VALUE"""),6.77)</f>
        <v>6.77</v>
      </c>
      <c r="D154" s="1">
        <f>IFERROR(__xludf.DUMMYFUNCTION("""COMPUTED_VALUE"""),6.53)</f>
        <v>6.53</v>
      </c>
      <c r="E154" s="1">
        <f>IFERROR(__xludf.DUMMYFUNCTION("""COMPUTED_VALUE"""),6.73)</f>
        <v>6.73</v>
      </c>
      <c r="F154" s="1">
        <f>IFERROR(__xludf.DUMMYFUNCTION("""COMPUTED_VALUE"""),9862794.0)</f>
        <v>9862794</v>
      </c>
      <c r="G154" s="2" t="s">
        <v>10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IFERROR(__xludf.DUMMYFUNCTION("""COMPUTED_VALUE"""),6.82)</f>
        <v>6.82</v>
      </c>
      <c r="C155" s="1">
        <f>IFERROR(__xludf.DUMMYFUNCTION("""COMPUTED_VALUE"""),6.89)</f>
        <v>6.89</v>
      </c>
      <c r="D155" s="1">
        <f>IFERROR(__xludf.DUMMYFUNCTION("""COMPUTED_VALUE"""),6.68)</f>
        <v>6.68</v>
      </c>
      <c r="E155" s="1">
        <f>IFERROR(__xludf.DUMMYFUNCTION("""COMPUTED_VALUE"""),6.75)</f>
        <v>6.75</v>
      </c>
      <c r="F155" s="1">
        <f>IFERROR(__xludf.DUMMYFUNCTION("""COMPUTED_VALUE"""),6890281.0)</f>
        <v>6890281</v>
      </c>
      <c r="G155" s="2" t="s">
        <v>10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IFERROR(__xludf.DUMMYFUNCTION("""COMPUTED_VALUE"""),6.77)</f>
        <v>6.77</v>
      </c>
      <c r="C156" s="1">
        <f>IFERROR(__xludf.DUMMYFUNCTION("""COMPUTED_VALUE"""),6.84)</f>
        <v>6.84</v>
      </c>
      <c r="D156" s="1">
        <f>IFERROR(__xludf.DUMMYFUNCTION("""COMPUTED_VALUE"""),6.53)</f>
        <v>6.53</v>
      </c>
      <c r="E156" s="1">
        <f>IFERROR(__xludf.DUMMYFUNCTION("""COMPUTED_VALUE"""),6.57)</f>
        <v>6.57</v>
      </c>
      <c r="F156" s="1">
        <f>IFERROR(__xludf.DUMMYFUNCTION("""COMPUTED_VALUE"""),6367580.0)</f>
        <v>6367580</v>
      </c>
      <c r="G156" s="2" t="s">
        <v>10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IFERROR(__xludf.DUMMYFUNCTION("""COMPUTED_VALUE"""),6.56)</f>
        <v>6.56</v>
      </c>
      <c r="C157" s="1">
        <f>IFERROR(__xludf.DUMMYFUNCTION("""COMPUTED_VALUE"""),6.69)</f>
        <v>6.69</v>
      </c>
      <c r="D157" s="1">
        <f>IFERROR(__xludf.DUMMYFUNCTION("""COMPUTED_VALUE"""),6.5)</f>
        <v>6.5</v>
      </c>
      <c r="E157" s="1">
        <f>IFERROR(__xludf.DUMMYFUNCTION("""COMPUTED_VALUE"""),6.61)</f>
        <v>6.61</v>
      </c>
      <c r="F157" s="1">
        <f>IFERROR(__xludf.DUMMYFUNCTION("""COMPUTED_VALUE"""),5757012.0)</f>
        <v>5757012</v>
      </c>
      <c r="G157" s="2" t="s">
        <v>10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IFERROR(__xludf.DUMMYFUNCTION("""COMPUTED_VALUE"""),6.65)</f>
        <v>6.65</v>
      </c>
      <c r="C158" s="1">
        <f>IFERROR(__xludf.DUMMYFUNCTION("""COMPUTED_VALUE"""),6.68)</f>
        <v>6.68</v>
      </c>
      <c r="D158" s="1">
        <f>IFERROR(__xludf.DUMMYFUNCTION("""COMPUTED_VALUE"""),6.51)</f>
        <v>6.51</v>
      </c>
      <c r="E158" s="1">
        <f>IFERROR(__xludf.DUMMYFUNCTION("""COMPUTED_VALUE"""),6.53)</f>
        <v>6.53</v>
      </c>
      <c r="F158" s="1">
        <f>IFERROR(__xludf.DUMMYFUNCTION("""COMPUTED_VALUE"""),4576627.0)</f>
        <v>4576627</v>
      </c>
      <c r="G158" s="2" t="s">
        <v>10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IFERROR(__xludf.DUMMYFUNCTION("""COMPUTED_VALUE"""),6.5)</f>
        <v>6.5</v>
      </c>
      <c r="C159" s="1">
        <f>IFERROR(__xludf.DUMMYFUNCTION("""COMPUTED_VALUE"""),6.63)</f>
        <v>6.63</v>
      </c>
      <c r="D159" s="1">
        <f>IFERROR(__xludf.DUMMYFUNCTION("""COMPUTED_VALUE"""),6.5)</f>
        <v>6.5</v>
      </c>
      <c r="E159" s="1">
        <f>IFERROR(__xludf.DUMMYFUNCTION("""COMPUTED_VALUE"""),6.59)</f>
        <v>6.59</v>
      </c>
      <c r="F159" s="1">
        <f>IFERROR(__xludf.DUMMYFUNCTION("""COMPUTED_VALUE"""),5730321.0)</f>
        <v>5730321</v>
      </c>
      <c r="G159" s="2" t="s">
        <v>10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IFERROR(__xludf.DUMMYFUNCTION("""COMPUTED_VALUE"""),6.59)</f>
        <v>6.59</v>
      </c>
      <c r="C160" s="1">
        <f>IFERROR(__xludf.DUMMYFUNCTION("""COMPUTED_VALUE"""),6.76)</f>
        <v>6.76</v>
      </c>
      <c r="D160" s="1">
        <f>IFERROR(__xludf.DUMMYFUNCTION("""COMPUTED_VALUE"""),6.53)</f>
        <v>6.53</v>
      </c>
      <c r="E160" s="1">
        <f>IFERROR(__xludf.DUMMYFUNCTION("""COMPUTED_VALUE"""),6.73)</f>
        <v>6.73</v>
      </c>
      <c r="F160" s="1">
        <f>IFERROR(__xludf.DUMMYFUNCTION("""COMPUTED_VALUE"""),4330621.0)</f>
        <v>4330621</v>
      </c>
      <c r="G160" s="2" t="s">
        <v>10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IFERROR(__xludf.DUMMYFUNCTION("""COMPUTED_VALUE"""),6.73)</f>
        <v>6.73</v>
      </c>
      <c r="C161" s="1">
        <f>IFERROR(__xludf.DUMMYFUNCTION("""COMPUTED_VALUE"""),6.8)</f>
        <v>6.8</v>
      </c>
      <c r="D161" s="1">
        <f>IFERROR(__xludf.DUMMYFUNCTION("""COMPUTED_VALUE"""),6.67)</f>
        <v>6.67</v>
      </c>
      <c r="E161" s="1">
        <f>IFERROR(__xludf.DUMMYFUNCTION("""COMPUTED_VALUE"""),6.75)</f>
        <v>6.75</v>
      </c>
      <c r="F161" s="1">
        <f>IFERROR(__xludf.DUMMYFUNCTION("""COMPUTED_VALUE"""),4084321.0)</f>
        <v>4084321</v>
      </c>
      <c r="G161" s="2" t="s">
        <v>10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IFERROR(__xludf.DUMMYFUNCTION("""COMPUTED_VALUE"""),6.73)</f>
        <v>6.73</v>
      </c>
      <c r="C162" s="1">
        <f>IFERROR(__xludf.DUMMYFUNCTION("""COMPUTED_VALUE"""),6.76)</f>
        <v>6.76</v>
      </c>
      <c r="D162" s="1">
        <f>IFERROR(__xludf.DUMMYFUNCTION("""COMPUTED_VALUE"""),6.45)</f>
        <v>6.45</v>
      </c>
      <c r="E162" s="1">
        <f>IFERROR(__xludf.DUMMYFUNCTION("""COMPUTED_VALUE"""),6.47)</f>
        <v>6.47</v>
      </c>
      <c r="F162" s="1">
        <f>IFERROR(__xludf.DUMMYFUNCTION("""COMPUTED_VALUE"""),5073159.0)</f>
        <v>5073159</v>
      </c>
      <c r="G162" s="2" t="s">
        <v>10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IFERROR(__xludf.DUMMYFUNCTION("""COMPUTED_VALUE"""),6.47)</f>
        <v>6.47</v>
      </c>
      <c r="C163" s="1">
        <f>IFERROR(__xludf.DUMMYFUNCTION("""COMPUTED_VALUE"""),6.6)</f>
        <v>6.6</v>
      </c>
      <c r="D163" s="1">
        <f>IFERROR(__xludf.DUMMYFUNCTION("""COMPUTED_VALUE"""),6.47)</f>
        <v>6.47</v>
      </c>
      <c r="E163" s="1">
        <f>IFERROR(__xludf.DUMMYFUNCTION("""COMPUTED_VALUE"""),6.57)</f>
        <v>6.57</v>
      </c>
      <c r="F163" s="1">
        <f>IFERROR(__xludf.DUMMYFUNCTION("""COMPUTED_VALUE"""),2984605.0)</f>
        <v>2984605</v>
      </c>
      <c r="G163" s="2" t="s">
        <v>10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IFERROR(__xludf.DUMMYFUNCTION("""COMPUTED_VALUE"""),6.46)</f>
        <v>6.46</v>
      </c>
      <c r="C164" s="1">
        <f>IFERROR(__xludf.DUMMYFUNCTION("""COMPUTED_VALUE"""),6.49)</f>
        <v>6.49</v>
      </c>
      <c r="D164" s="1">
        <f>IFERROR(__xludf.DUMMYFUNCTION("""COMPUTED_VALUE"""),6.26)</f>
        <v>6.26</v>
      </c>
      <c r="E164" s="1">
        <f>IFERROR(__xludf.DUMMYFUNCTION("""COMPUTED_VALUE"""),6.28)</f>
        <v>6.28</v>
      </c>
      <c r="F164" s="1">
        <f>IFERROR(__xludf.DUMMYFUNCTION("""COMPUTED_VALUE"""),5359059.0)</f>
        <v>5359059</v>
      </c>
      <c r="G164" s="2" t="s">
        <v>10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IFERROR(__xludf.DUMMYFUNCTION("""COMPUTED_VALUE"""),6.22)</f>
        <v>6.22</v>
      </c>
      <c r="C165" s="1">
        <f>IFERROR(__xludf.DUMMYFUNCTION("""COMPUTED_VALUE"""),6.25)</f>
        <v>6.25</v>
      </c>
      <c r="D165" s="1">
        <f>IFERROR(__xludf.DUMMYFUNCTION("""COMPUTED_VALUE"""),6.03)</f>
        <v>6.03</v>
      </c>
      <c r="E165" s="1">
        <f>IFERROR(__xludf.DUMMYFUNCTION("""COMPUTED_VALUE"""),6.09)</f>
        <v>6.09</v>
      </c>
      <c r="F165" s="1">
        <f>IFERROR(__xludf.DUMMYFUNCTION("""COMPUTED_VALUE"""),5371928.0)</f>
        <v>5371928</v>
      </c>
      <c r="G165" s="2" t="s">
        <v>10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IFERROR(__xludf.DUMMYFUNCTION("""COMPUTED_VALUE"""),6.05)</f>
        <v>6.05</v>
      </c>
      <c r="C166" s="1">
        <f>IFERROR(__xludf.DUMMYFUNCTION("""COMPUTED_VALUE"""),6.16)</f>
        <v>6.16</v>
      </c>
      <c r="D166" s="1">
        <f>IFERROR(__xludf.DUMMYFUNCTION("""COMPUTED_VALUE"""),5.97)</f>
        <v>5.97</v>
      </c>
      <c r="E166" s="1">
        <f>IFERROR(__xludf.DUMMYFUNCTION("""COMPUTED_VALUE"""),6.02)</f>
        <v>6.02</v>
      </c>
      <c r="F166" s="1">
        <f>IFERROR(__xludf.DUMMYFUNCTION("""COMPUTED_VALUE"""),4772211.0)</f>
        <v>4772211</v>
      </c>
      <c r="G166" s="2" t="s">
        <v>10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IFERROR(__xludf.DUMMYFUNCTION("""COMPUTED_VALUE"""),5.96)</f>
        <v>5.96</v>
      </c>
      <c r="C167" s="1">
        <f>IFERROR(__xludf.DUMMYFUNCTION("""COMPUTED_VALUE"""),6.04)</f>
        <v>6.04</v>
      </c>
      <c r="D167" s="1">
        <f>IFERROR(__xludf.DUMMYFUNCTION("""COMPUTED_VALUE"""),5.9)</f>
        <v>5.9</v>
      </c>
      <c r="E167" s="1">
        <f>IFERROR(__xludf.DUMMYFUNCTION("""COMPUTED_VALUE"""),6.0)</f>
        <v>6</v>
      </c>
      <c r="F167" s="1">
        <f>IFERROR(__xludf.DUMMYFUNCTION("""COMPUTED_VALUE"""),3284519.0)</f>
        <v>3284519</v>
      </c>
      <c r="G167" s="2" t="s">
        <v>10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IFERROR(__xludf.DUMMYFUNCTION("""COMPUTED_VALUE"""),6.08)</f>
        <v>6.08</v>
      </c>
      <c r="C168" s="1">
        <f>IFERROR(__xludf.DUMMYFUNCTION("""COMPUTED_VALUE"""),6.1)</f>
        <v>6.1</v>
      </c>
      <c r="D168" s="1">
        <f>IFERROR(__xludf.DUMMYFUNCTION("""COMPUTED_VALUE"""),5.97)</f>
        <v>5.97</v>
      </c>
      <c r="E168" s="1">
        <f>IFERROR(__xludf.DUMMYFUNCTION("""COMPUTED_VALUE"""),5.99)</f>
        <v>5.99</v>
      </c>
      <c r="F168" s="1">
        <f>IFERROR(__xludf.DUMMYFUNCTION("""COMPUTED_VALUE"""),2736851.0)</f>
        <v>2736851</v>
      </c>
      <c r="G168" s="2" t="s">
        <v>10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IFERROR(__xludf.DUMMYFUNCTION("""COMPUTED_VALUE"""),6.0)</f>
        <v>6</v>
      </c>
      <c r="C169" s="1">
        <f>IFERROR(__xludf.DUMMYFUNCTION("""COMPUTED_VALUE"""),6.04)</f>
        <v>6.04</v>
      </c>
      <c r="D169" s="1">
        <f>IFERROR(__xludf.DUMMYFUNCTION("""COMPUTED_VALUE"""),5.83)</f>
        <v>5.83</v>
      </c>
      <c r="E169" s="1">
        <f>IFERROR(__xludf.DUMMYFUNCTION("""COMPUTED_VALUE"""),5.85)</f>
        <v>5.85</v>
      </c>
      <c r="F169" s="1">
        <f>IFERROR(__xludf.DUMMYFUNCTION("""COMPUTED_VALUE"""),4920056.0)</f>
        <v>4920056</v>
      </c>
      <c r="G169" s="2" t="s">
        <v>10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IFERROR(__xludf.DUMMYFUNCTION("""COMPUTED_VALUE"""),5.82)</f>
        <v>5.82</v>
      </c>
      <c r="C170" s="1">
        <f>IFERROR(__xludf.DUMMYFUNCTION("""COMPUTED_VALUE"""),5.89)</f>
        <v>5.89</v>
      </c>
      <c r="D170" s="1">
        <f>IFERROR(__xludf.DUMMYFUNCTION("""COMPUTED_VALUE"""),5.74)</f>
        <v>5.74</v>
      </c>
      <c r="E170" s="1">
        <f>IFERROR(__xludf.DUMMYFUNCTION("""COMPUTED_VALUE"""),5.88)</f>
        <v>5.88</v>
      </c>
      <c r="F170" s="1">
        <f>IFERROR(__xludf.DUMMYFUNCTION("""COMPUTED_VALUE"""),3746292.0)</f>
        <v>3746292</v>
      </c>
      <c r="G170" s="2" t="s">
        <v>10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IFERROR(__xludf.DUMMYFUNCTION("""COMPUTED_VALUE"""),5.9)</f>
        <v>5.9</v>
      </c>
      <c r="C171" s="1">
        <f>IFERROR(__xludf.DUMMYFUNCTION("""COMPUTED_VALUE"""),5.97)</f>
        <v>5.97</v>
      </c>
      <c r="D171" s="1">
        <f>IFERROR(__xludf.DUMMYFUNCTION("""COMPUTED_VALUE"""),5.84)</f>
        <v>5.84</v>
      </c>
      <c r="E171" s="1">
        <f>IFERROR(__xludf.DUMMYFUNCTION("""COMPUTED_VALUE"""),5.91)</f>
        <v>5.91</v>
      </c>
      <c r="F171" s="1">
        <f>IFERROR(__xludf.DUMMYFUNCTION("""COMPUTED_VALUE"""),2908786.0)</f>
        <v>2908786</v>
      </c>
      <c r="G171" s="2" t="s">
        <v>10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IFERROR(__xludf.DUMMYFUNCTION("""COMPUTED_VALUE"""),5.92)</f>
        <v>5.92</v>
      </c>
      <c r="C172" s="1">
        <f>IFERROR(__xludf.DUMMYFUNCTION("""COMPUTED_VALUE"""),5.95)</f>
        <v>5.95</v>
      </c>
      <c r="D172" s="1">
        <f>IFERROR(__xludf.DUMMYFUNCTION("""COMPUTED_VALUE"""),5.83)</f>
        <v>5.83</v>
      </c>
      <c r="E172" s="1">
        <f>IFERROR(__xludf.DUMMYFUNCTION("""COMPUTED_VALUE"""),5.94)</f>
        <v>5.94</v>
      </c>
      <c r="F172" s="1">
        <f>IFERROR(__xludf.DUMMYFUNCTION("""COMPUTED_VALUE"""),4046035.0)</f>
        <v>4046035</v>
      </c>
      <c r="G172" s="2" t="s">
        <v>10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IFERROR(__xludf.DUMMYFUNCTION("""COMPUTED_VALUE"""),5.86)</f>
        <v>5.86</v>
      </c>
      <c r="C173" s="1">
        <f>IFERROR(__xludf.DUMMYFUNCTION("""COMPUTED_VALUE"""),5.88)</f>
        <v>5.88</v>
      </c>
      <c r="D173" s="1">
        <f>IFERROR(__xludf.DUMMYFUNCTION("""COMPUTED_VALUE"""),5.69)</f>
        <v>5.69</v>
      </c>
      <c r="E173" s="1">
        <f>IFERROR(__xludf.DUMMYFUNCTION("""COMPUTED_VALUE"""),5.75)</f>
        <v>5.75</v>
      </c>
      <c r="F173" s="1">
        <f>IFERROR(__xludf.DUMMYFUNCTION("""COMPUTED_VALUE"""),5032688.0)</f>
        <v>5032688</v>
      </c>
      <c r="G173" s="2" t="s">
        <v>10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IFERROR(__xludf.DUMMYFUNCTION("""COMPUTED_VALUE"""),5.88)</f>
        <v>5.88</v>
      </c>
      <c r="C174" s="1">
        <f>IFERROR(__xludf.DUMMYFUNCTION("""COMPUTED_VALUE"""),5.98)</f>
        <v>5.98</v>
      </c>
      <c r="D174" s="1">
        <f>IFERROR(__xludf.DUMMYFUNCTION("""COMPUTED_VALUE"""),5.83)</f>
        <v>5.83</v>
      </c>
      <c r="E174" s="1">
        <f>IFERROR(__xludf.DUMMYFUNCTION("""COMPUTED_VALUE"""),5.94)</f>
        <v>5.94</v>
      </c>
      <c r="F174" s="1">
        <f>IFERROR(__xludf.DUMMYFUNCTION("""COMPUTED_VALUE"""),5014250.0)</f>
        <v>5014250</v>
      </c>
      <c r="G174" s="2" t="s">
        <v>10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IFERROR(__xludf.DUMMYFUNCTION("""COMPUTED_VALUE"""),5.86)</f>
        <v>5.86</v>
      </c>
      <c r="C175" s="1">
        <f>IFERROR(__xludf.DUMMYFUNCTION("""COMPUTED_VALUE"""),5.88)</f>
        <v>5.88</v>
      </c>
      <c r="D175" s="1">
        <f>IFERROR(__xludf.DUMMYFUNCTION("""COMPUTED_VALUE"""),5.79)</f>
        <v>5.79</v>
      </c>
      <c r="E175" s="1">
        <f>IFERROR(__xludf.DUMMYFUNCTION("""COMPUTED_VALUE"""),5.87)</f>
        <v>5.87</v>
      </c>
      <c r="F175" s="1">
        <f>IFERROR(__xludf.DUMMYFUNCTION("""COMPUTED_VALUE"""),3737053.0)</f>
        <v>3737053</v>
      </c>
      <c r="G175" s="2" t="s">
        <v>10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IFERROR(__xludf.DUMMYFUNCTION("""COMPUTED_VALUE"""),5.85)</f>
        <v>5.85</v>
      </c>
      <c r="C176" s="1">
        <f>IFERROR(__xludf.DUMMYFUNCTION("""COMPUTED_VALUE"""),6.05)</f>
        <v>6.05</v>
      </c>
      <c r="D176" s="1">
        <f>IFERROR(__xludf.DUMMYFUNCTION("""COMPUTED_VALUE"""),5.85)</f>
        <v>5.85</v>
      </c>
      <c r="E176" s="1">
        <f>IFERROR(__xludf.DUMMYFUNCTION("""COMPUTED_VALUE"""),5.95)</f>
        <v>5.95</v>
      </c>
      <c r="F176" s="1">
        <f>IFERROR(__xludf.DUMMYFUNCTION("""COMPUTED_VALUE"""),6259665.0)</f>
        <v>6259665</v>
      </c>
      <c r="G176" s="2" t="s">
        <v>10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IFERROR(__xludf.DUMMYFUNCTION("""COMPUTED_VALUE"""),5.98)</f>
        <v>5.98</v>
      </c>
      <c r="C177" s="1">
        <f>IFERROR(__xludf.DUMMYFUNCTION("""COMPUTED_VALUE"""),6.15)</f>
        <v>6.15</v>
      </c>
      <c r="D177" s="1">
        <f>IFERROR(__xludf.DUMMYFUNCTION("""COMPUTED_VALUE"""),5.92)</f>
        <v>5.92</v>
      </c>
      <c r="E177" s="1">
        <f>IFERROR(__xludf.DUMMYFUNCTION("""COMPUTED_VALUE"""),6.14)</f>
        <v>6.14</v>
      </c>
      <c r="F177" s="1">
        <f>IFERROR(__xludf.DUMMYFUNCTION("""COMPUTED_VALUE"""),7484874.0)</f>
        <v>7484874</v>
      </c>
      <c r="G177" s="2" t="s">
        <v>10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IFERROR(__xludf.DUMMYFUNCTION("""COMPUTED_VALUE"""),6.19)</f>
        <v>6.19</v>
      </c>
      <c r="C178" s="1">
        <f>IFERROR(__xludf.DUMMYFUNCTION("""COMPUTED_VALUE"""),6.28)</f>
        <v>6.28</v>
      </c>
      <c r="D178" s="1">
        <f>IFERROR(__xludf.DUMMYFUNCTION("""COMPUTED_VALUE"""),6.09)</f>
        <v>6.09</v>
      </c>
      <c r="E178" s="1">
        <f>IFERROR(__xludf.DUMMYFUNCTION("""COMPUTED_VALUE"""),6.17)</f>
        <v>6.17</v>
      </c>
      <c r="F178" s="1">
        <f>IFERROR(__xludf.DUMMYFUNCTION("""COMPUTED_VALUE"""),6086125.0)</f>
        <v>6086125</v>
      </c>
      <c r="G178" s="2" t="s">
        <v>10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IFERROR(__xludf.DUMMYFUNCTION("""COMPUTED_VALUE"""),6.18)</f>
        <v>6.18</v>
      </c>
      <c r="C179" s="1">
        <f>IFERROR(__xludf.DUMMYFUNCTION("""COMPUTED_VALUE"""),6.31)</f>
        <v>6.31</v>
      </c>
      <c r="D179" s="1">
        <f>IFERROR(__xludf.DUMMYFUNCTION("""COMPUTED_VALUE"""),6.15)</f>
        <v>6.15</v>
      </c>
      <c r="E179" s="1">
        <f>IFERROR(__xludf.DUMMYFUNCTION("""COMPUTED_VALUE"""),6.29)</f>
        <v>6.29</v>
      </c>
      <c r="F179" s="1">
        <f>IFERROR(__xludf.DUMMYFUNCTION("""COMPUTED_VALUE"""),7105953.0)</f>
        <v>7105953</v>
      </c>
      <c r="G179" s="2" t="s">
        <v>10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IFERROR(__xludf.DUMMYFUNCTION("""COMPUTED_VALUE"""),6.35)</f>
        <v>6.35</v>
      </c>
      <c r="C180" s="1">
        <f>IFERROR(__xludf.DUMMYFUNCTION("""COMPUTED_VALUE"""),6.47)</f>
        <v>6.47</v>
      </c>
      <c r="D180" s="1">
        <f>IFERROR(__xludf.DUMMYFUNCTION("""COMPUTED_VALUE"""),6.34)</f>
        <v>6.34</v>
      </c>
      <c r="E180" s="1">
        <f>IFERROR(__xludf.DUMMYFUNCTION("""COMPUTED_VALUE"""),6.42)</f>
        <v>6.42</v>
      </c>
      <c r="F180" s="1">
        <f>IFERROR(__xludf.DUMMYFUNCTION("""COMPUTED_VALUE"""),7726537.0)</f>
        <v>7726537</v>
      </c>
      <c r="G180" s="2" t="s">
        <v>10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IFERROR(__xludf.DUMMYFUNCTION("""COMPUTED_VALUE"""),6.44)</f>
        <v>6.44</v>
      </c>
      <c r="C181" s="1">
        <f>IFERROR(__xludf.DUMMYFUNCTION("""COMPUTED_VALUE"""),6.48)</f>
        <v>6.48</v>
      </c>
      <c r="D181" s="1">
        <f>IFERROR(__xludf.DUMMYFUNCTION("""COMPUTED_VALUE"""),6.28)</f>
        <v>6.28</v>
      </c>
      <c r="E181" s="1">
        <f>IFERROR(__xludf.DUMMYFUNCTION("""COMPUTED_VALUE"""),6.32)</f>
        <v>6.32</v>
      </c>
      <c r="F181" s="1">
        <f>IFERROR(__xludf.DUMMYFUNCTION("""COMPUTED_VALUE"""),4364622.0)</f>
        <v>4364622</v>
      </c>
      <c r="G181" s="2" t="s">
        <v>10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IFERROR(__xludf.DUMMYFUNCTION("""COMPUTED_VALUE"""),6.22)</f>
        <v>6.22</v>
      </c>
      <c r="C182" s="1">
        <f>IFERROR(__xludf.DUMMYFUNCTION("""COMPUTED_VALUE"""),6.25)</f>
        <v>6.25</v>
      </c>
      <c r="D182" s="1">
        <f>IFERROR(__xludf.DUMMYFUNCTION("""COMPUTED_VALUE"""),5.98)</f>
        <v>5.98</v>
      </c>
      <c r="E182" s="1">
        <f>IFERROR(__xludf.DUMMYFUNCTION("""COMPUTED_VALUE"""),6.09)</f>
        <v>6.09</v>
      </c>
      <c r="F182" s="1">
        <f>IFERROR(__xludf.DUMMYFUNCTION("""COMPUTED_VALUE"""),1.1673441E7)</f>
        <v>11673441</v>
      </c>
      <c r="G182" s="2" t="s">
        <v>10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IFERROR(__xludf.DUMMYFUNCTION("""COMPUTED_VALUE"""),6.14)</f>
        <v>6.14</v>
      </c>
      <c r="C183" s="1">
        <f>IFERROR(__xludf.DUMMYFUNCTION("""COMPUTED_VALUE"""),6.27)</f>
        <v>6.27</v>
      </c>
      <c r="D183" s="1">
        <f>IFERROR(__xludf.DUMMYFUNCTION("""COMPUTED_VALUE"""),6.13)</f>
        <v>6.13</v>
      </c>
      <c r="E183" s="1">
        <f>IFERROR(__xludf.DUMMYFUNCTION("""COMPUTED_VALUE"""),6.25)</f>
        <v>6.25</v>
      </c>
      <c r="F183" s="1">
        <f>IFERROR(__xludf.DUMMYFUNCTION("""COMPUTED_VALUE"""),5473831.0)</f>
        <v>5473831</v>
      </c>
      <c r="G183" s="2" t="s">
        <v>10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IFERROR(__xludf.DUMMYFUNCTION("""COMPUTED_VALUE"""),6.11)</f>
        <v>6.11</v>
      </c>
      <c r="C184" s="1">
        <f>IFERROR(__xludf.DUMMYFUNCTION("""COMPUTED_VALUE"""),6.11)</f>
        <v>6.11</v>
      </c>
      <c r="D184" s="1">
        <f>IFERROR(__xludf.DUMMYFUNCTION("""COMPUTED_VALUE"""),5.97)</f>
        <v>5.97</v>
      </c>
      <c r="E184" s="1">
        <f>IFERROR(__xludf.DUMMYFUNCTION("""COMPUTED_VALUE"""),6.07)</f>
        <v>6.07</v>
      </c>
      <c r="F184" s="1">
        <f>IFERROR(__xludf.DUMMYFUNCTION("""COMPUTED_VALUE"""),9653734.0)</f>
        <v>9653734</v>
      </c>
      <c r="G184" s="2" t="s">
        <v>10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IFERROR(__xludf.DUMMYFUNCTION("""COMPUTED_VALUE"""),6.01)</f>
        <v>6.01</v>
      </c>
      <c r="C185" s="1">
        <f>IFERROR(__xludf.DUMMYFUNCTION("""COMPUTED_VALUE"""),6.19)</f>
        <v>6.19</v>
      </c>
      <c r="D185" s="1">
        <f>IFERROR(__xludf.DUMMYFUNCTION("""COMPUTED_VALUE"""),5.98)</f>
        <v>5.98</v>
      </c>
      <c r="E185" s="1">
        <f>IFERROR(__xludf.DUMMYFUNCTION("""COMPUTED_VALUE"""),6.16)</f>
        <v>6.16</v>
      </c>
      <c r="F185" s="1">
        <f>IFERROR(__xludf.DUMMYFUNCTION("""COMPUTED_VALUE"""),3228844.0)</f>
        <v>3228844</v>
      </c>
      <c r="G185" s="2" t="s">
        <v>10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IFERROR(__xludf.DUMMYFUNCTION("""COMPUTED_VALUE"""),6.18)</f>
        <v>6.18</v>
      </c>
      <c r="C186" s="1">
        <f>IFERROR(__xludf.DUMMYFUNCTION("""COMPUTED_VALUE"""),6.25)</f>
        <v>6.25</v>
      </c>
      <c r="D186" s="1">
        <f>IFERROR(__xludf.DUMMYFUNCTION("""COMPUTED_VALUE"""),6.07)</f>
        <v>6.07</v>
      </c>
      <c r="E186" s="1">
        <f>IFERROR(__xludf.DUMMYFUNCTION("""COMPUTED_VALUE"""),6.11)</f>
        <v>6.11</v>
      </c>
      <c r="F186" s="1">
        <f>IFERROR(__xludf.DUMMYFUNCTION("""COMPUTED_VALUE"""),4430304.0)</f>
        <v>4430304</v>
      </c>
      <c r="G186" s="2" t="s">
        <v>10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IFERROR(__xludf.DUMMYFUNCTION("""COMPUTED_VALUE"""),6.04)</f>
        <v>6.04</v>
      </c>
      <c r="C187" s="1">
        <f>IFERROR(__xludf.DUMMYFUNCTION("""COMPUTED_VALUE"""),6.05)</f>
        <v>6.05</v>
      </c>
      <c r="D187" s="1">
        <f>IFERROR(__xludf.DUMMYFUNCTION("""COMPUTED_VALUE"""),5.83)</f>
        <v>5.83</v>
      </c>
      <c r="E187" s="1">
        <f>IFERROR(__xludf.DUMMYFUNCTION("""COMPUTED_VALUE"""),5.92)</f>
        <v>5.92</v>
      </c>
      <c r="F187" s="1">
        <f>IFERROR(__xludf.DUMMYFUNCTION("""COMPUTED_VALUE"""),6186492.0)</f>
        <v>6186492</v>
      </c>
      <c r="G187" s="2" t="s">
        <v>10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IFERROR(__xludf.DUMMYFUNCTION("""COMPUTED_VALUE"""),5.8)</f>
        <v>5.8</v>
      </c>
      <c r="C188" s="1">
        <f>IFERROR(__xludf.DUMMYFUNCTION("""COMPUTED_VALUE"""),5.94)</f>
        <v>5.94</v>
      </c>
      <c r="D188" s="1">
        <f>IFERROR(__xludf.DUMMYFUNCTION("""COMPUTED_VALUE"""),5.77)</f>
        <v>5.77</v>
      </c>
      <c r="E188" s="1">
        <f>IFERROR(__xludf.DUMMYFUNCTION("""COMPUTED_VALUE"""),5.85)</f>
        <v>5.85</v>
      </c>
      <c r="F188" s="1">
        <f>IFERROR(__xludf.DUMMYFUNCTION("""COMPUTED_VALUE"""),4533910.0)</f>
        <v>4533910</v>
      </c>
      <c r="G188" s="2" t="s">
        <v>10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IFERROR(__xludf.DUMMYFUNCTION("""COMPUTED_VALUE"""),5.87)</f>
        <v>5.87</v>
      </c>
      <c r="C189" s="1">
        <f>IFERROR(__xludf.DUMMYFUNCTION("""COMPUTED_VALUE"""),5.92)</f>
        <v>5.92</v>
      </c>
      <c r="D189" s="1">
        <f>IFERROR(__xludf.DUMMYFUNCTION("""COMPUTED_VALUE"""),5.63)</f>
        <v>5.63</v>
      </c>
      <c r="E189" s="1">
        <f>IFERROR(__xludf.DUMMYFUNCTION("""COMPUTED_VALUE"""),5.67)</f>
        <v>5.67</v>
      </c>
      <c r="F189" s="1">
        <f>IFERROR(__xludf.DUMMYFUNCTION("""COMPUTED_VALUE"""),5623134.0)</f>
        <v>5623134</v>
      </c>
      <c r="G189" s="2" t="s">
        <v>10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IFERROR(__xludf.DUMMYFUNCTION("""COMPUTED_VALUE"""),5.6)</f>
        <v>5.6</v>
      </c>
      <c r="C190" s="1">
        <f>IFERROR(__xludf.DUMMYFUNCTION("""COMPUTED_VALUE"""),5.81)</f>
        <v>5.81</v>
      </c>
      <c r="D190" s="1">
        <f>IFERROR(__xludf.DUMMYFUNCTION("""COMPUTED_VALUE"""),5.55)</f>
        <v>5.55</v>
      </c>
      <c r="E190" s="1">
        <f>IFERROR(__xludf.DUMMYFUNCTION("""COMPUTED_VALUE"""),5.73)</f>
        <v>5.73</v>
      </c>
      <c r="F190" s="1">
        <f>IFERROR(__xludf.DUMMYFUNCTION("""COMPUTED_VALUE"""),4931691.0)</f>
        <v>4931691</v>
      </c>
      <c r="G190" s="2" t="s">
        <v>10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IFERROR(__xludf.DUMMYFUNCTION("""COMPUTED_VALUE"""),5.84)</f>
        <v>5.84</v>
      </c>
      <c r="C191" s="1">
        <f>IFERROR(__xludf.DUMMYFUNCTION("""COMPUTED_VALUE"""),5.88)</f>
        <v>5.88</v>
      </c>
      <c r="D191" s="1">
        <f>IFERROR(__xludf.DUMMYFUNCTION("""COMPUTED_VALUE"""),5.76)</f>
        <v>5.76</v>
      </c>
      <c r="E191" s="1">
        <f>IFERROR(__xludf.DUMMYFUNCTION("""COMPUTED_VALUE"""),5.8)</f>
        <v>5.8</v>
      </c>
      <c r="F191" s="1">
        <f>IFERROR(__xludf.DUMMYFUNCTION("""COMPUTED_VALUE"""),4478875.0)</f>
        <v>4478875</v>
      </c>
      <c r="G191" s="2" t="s">
        <v>10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IFERROR(__xludf.DUMMYFUNCTION("""COMPUTED_VALUE"""),5.73)</f>
        <v>5.73</v>
      </c>
      <c r="C192" s="1">
        <f>IFERROR(__xludf.DUMMYFUNCTION("""COMPUTED_VALUE"""),5.78)</f>
        <v>5.78</v>
      </c>
      <c r="D192" s="1">
        <f>IFERROR(__xludf.DUMMYFUNCTION("""COMPUTED_VALUE"""),5.48)</f>
        <v>5.48</v>
      </c>
      <c r="E192" s="1">
        <f>IFERROR(__xludf.DUMMYFUNCTION("""COMPUTED_VALUE"""),5.77)</f>
        <v>5.77</v>
      </c>
      <c r="F192" s="1">
        <f>IFERROR(__xludf.DUMMYFUNCTION("""COMPUTED_VALUE"""),9429393.0)</f>
        <v>9429393</v>
      </c>
      <c r="G192" s="2" t="s">
        <v>10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IFERROR(__xludf.DUMMYFUNCTION("""COMPUTED_VALUE"""),5.79)</f>
        <v>5.79</v>
      </c>
      <c r="C193" s="1">
        <f>IFERROR(__xludf.DUMMYFUNCTION("""COMPUTED_VALUE"""),5.92)</f>
        <v>5.92</v>
      </c>
      <c r="D193" s="1">
        <f>IFERROR(__xludf.DUMMYFUNCTION("""COMPUTED_VALUE"""),5.7)</f>
        <v>5.7</v>
      </c>
      <c r="E193" s="1">
        <f>IFERROR(__xludf.DUMMYFUNCTION("""COMPUTED_VALUE"""),5.82)</f>
        <v>5.82</v>
      </c>
      <c r="F193" s="1">
        <f>IFERROR(__xludf.DUMMYFUNCTION("""COMPUTED_VALUE"""),5950424.0)</f>
        <v>5950424</v>
      </c>
      <c r="G193" s="2" t="s">
        <v>10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IFERROR(__xludf.DUMMYFUNCTION("""COMPUTED_VALUE"""),5.84)</f>
        <v>5.84</v>
      </c>
      <c r="C194" s="1">
        <f>IFERROR(__xludf.DUMMYFUNCTION("""COMPUTED_VALUE"""),6.03)</f>
        <v>6.03</v>
      </c>
      <c r="D194" s="1">
        <f>IFERROR(__xludf.DUMMYFUNCTION("""COMPUTED_VALUE"""),5.81)</f>
        <v>5.81</v>
      </c>
      <c r="E194" s="1">
        <f>IFERROR(__xludf.DUMMYFUNCTION("""COMPUTED_VALUE"""),5.92)</f>
        <v>5.92</v>
      </c>
      <c r="F194" s="1">
        <f>IFERROR(__xludf.DUMMYFUNCTION("""COMPUTED_VALUE"""),6159226.0)</f>
        <v>6159226</v>
      </c>
      <c r="G194" s="2" t="s">
        <v>10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IFERROR(__xludf.DUMMYFUNCTION("""COMPUTED_VALUE"""),5.7)</f>
        <v>5.7</v>
      </c>
      <c r="C195" s="1">
        <f>IFERROR(__xludf.DUMMYFUNCTION("""COMPUTED_VALUE"""),5.77)</f>
        <v>5.77</v>
      </c>
      <c r="D195" s="1">
        <f>IFERROR(__xludf.DUMMYFUNCTION("""COMPUTED_VALUE"""),5.52)</f>
        <v>5.52</v>
      </c>
      <c r="E195" s="1">
        <f>IFERROR(__xludf.DUMMYFUNCTION("""COMPUTED_VALUE"""),5.72)</f>
        <v>5.72</v>
      </c>
      <c r="F195" s="1">
        <f>IFERROR(__xludf.DUMMYFUNCTION("""COMPUTED_VALUE"""),8961433.0)</f>
        <v>8961433</v>
      </c>
      <c r="G195" s="2" t="s">
        <v>10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IFERROR(__xludf.DUMMYFUNCTION("""COMPUTED_VALUE"""),5.79)</f>
        <v>5.79</v>
      </c>
      <c r="C196" s="1">
        <f>IFERROR(__xludf.DUMMYFUNCTION("""COMPUTED_VALUE"""),6.0)</f>
        <v>6</v>
      </c>
      <c r="D196" s="1">
        <f>IFERROR(__xludf.DUMMYFUNCTION("""COMPUTED_VALUE"""),5.76)</f>
        <v>5.76</v>
      </c>
      <c r="E196" s="1">
        <f>IFERROR(__xludf.DUMMYFUNCTION("""COMPUTED_VALUE"""),5.98)</f>
        <v>5.98</v>
      </c>
      <c r="F196" s="1">
        <f>IFERROR(__xludf.DUMMYFUNCTION("""COMPUTED_VALUE"""),6445665.0)</f>
        <v>6445665</v>
      </c>
      <c r="G196" s="2" t="s">
        <v>10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IFERROR(__xludf.DUMMYFUNCTION("""COMPUTED_VALUE"""),5.96)</f>
        <v>5.96</v>
      </c>
      <c r="C197" s="1">
        <f>IFERROR(__xludf.DUMMYFUNCTION("""COMPUTED_VALUE"""),6.01)</f>
        <v>6.01</v>
      </c>
      <c r="D197" s="1">
        <f>IFERROR(__xludf.DUMMYFUNCTION("""COMPUTED_VALUE"""),5.89)</f>
        <v>5.89</v>
      </c>
      <c r="E197" s="1">
        <f>IFERROR(__xludf.DUMMYFUNCTION("""COMPUTED_VALUE"""),6.0)</f>
        <v>6</v>
      </c>
      <c r="F197" s="1">
        <f>IFERROR(__xludf.DUMMYFUNCTION("""COMPUTED_VALUE"""),4106460.0)</f>
        <v>4106460</v>
      </c>
      <c r="G197" s="2" t="s">
        <v>10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IFERROR(__xludf.DUMMYFUNCTION("""COMPUTED_VALUE"""),6.04)</f>
        <v>6.04</v>
      </c>
      <c r="C198" s="1">
        <f>IFERROR(__xludf.DUMMYFUNCTION("""COMPUTED_VALUE"""),6.15)</f>
        <v>6.15</v>
      </c>
      <c r="D198" s="1">
        <f>IFERROR(__xludf.DUMMYFUNCTION("""COMPUTED_VALUE"""),5.98)</f>
        <v>5.98</v>
      </c>
      <c r="E198" s="1">
        <f>IFERROR(__xludf.DUMMYFUNCTION("""COMPUTED_VALUE"""),6.03)</f>
        <v>6.03</v>
      </c>
      <c r="F198" s="1">
        <f>IFERROR(__xludf.DUMMYFUNCTION("""COMPUTED_VALUE"""),3484575.0)</f>
        <v>3484575</v>
      </c>
      <c r="G198" s="2" t="s">
        <v>10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IFERROR(__xludf.DUMMYFUNCTION("""COMPUTED_VALUE"""),6.01)</f>
        <v>6.01</v>
      </c>
      <c r="C199" s="1">
        <f>IFERROR(__xludf.DUMMYFUNCTION("""COMPUTED_VALUE"""),6.1)</f>
        <v>6.1</v>
      </c>
      <c r="D199" s="1">
        <f>IFERROR(__xludf.DUMMYFUNCTION("""COMPUTED_VALUE"""),5.99)</f>
        <v>5.99</v>
      </c>
      <c r="E199" s="1">
        <f>IFERROR(__xludf.DUMMYFUNCTION("""COMPUTED_VALUE"""),6.06)</f>
        <v>6.06</v>
      </c>
      <c r="F199" s="1">
        <f>IFERROR(__xludf.DUMMYFUNCTION("""COMPUTED_VALUE"""),2937272.0)</f>
        <v>2937272</v>
      </c>
      <c r="G199" s="2" t="s">
        <v>10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IFERROR(__xludf.DUMMYFUNCTION("""COMPUTED_VALUE"""),5.99)</f>
        <v>5.99</v>
      </c>
      <c r="C200" s="1">
        <f>IFERROR(__xludf.DUMMYFUNCTION("""COMPUTED_VALUE"""),6.1)</f>
        <v>6.1</v>
      </c>
      <c r="D200" s="1">
        <f>IFERROR(__xludf.DUMMYFUNCTION("""COMPUTED_VALUE"""),5.83)</f>
        <v>5.83</v>
      </c>
      <c r="E200" s="1">
        <f>IFERROR(__xludf.DUMMYFUNCTION("""COMPUTED_VALUE"""),6.03)</f>
        <v>6.03</v>
      </c>
      <c r="F200" s="1">
        <f>IFERROR(__xludf.DUMMYFUNCTION("""COMPUTED_VALUE"""),3884673.0)</f>
        <v>3884673</v>
      </c>
      <c r="G200" s="2" t="s">
        <v>10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IFERROR(__xludf.DUMMYFUNCTION("""COMPUTED_VALUE"""),6.0)</f>
        <v>6</v>
      </c>
      <c r="C201" s="1">
        <f>IFERROR(__xludf.DUMMYFUNCTION("""COMPUTED_VALUE"""),6.23)</f>
        <v>6.23</v>
      </c>
      <c r="D201" s="1">
        <f>IFERROR(__xludf.DUMMYFUNCTION("""COMPUTED_VALUE"""),5.97)</f>
        <v>5.97</v>
      </c>
      <c r="E201" s="1">
        <f>IFERROR(__xludf.DUMMYFUNCTION("""COMPUTED_VALUE"""),6.14)</f>
        <v>6.14</v>
      </c>
      <c r="F201" s="1">
        <f>IFERROR(__xludf.DUMMYFUNCTION("""COMPUTED_VALUE"""),6919508.0)</f>
        <v>6919508</v>
      </c>
      <c r="G201" s="2" t="s">
        <v>10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IFERROR(__xludf.DUMMYFUNCTION("""COMPUTED_VALUE"""),6.12)</f>
        <v>6.12</v>
      </c>
      <c r="C202" s="1">
        <f>IFERROR(__xludf.DUMMYFUNCTION("""COMPUTED_VALUE"""),6.16)</f>
        <v>6.16</v>
      </c>
      <c r="D202" s="1">
        <f>IFERROR(__xludf.DUMMYFUNCTION("""COMPUTED_VALUE"""),5.99)</f>
        <v>5.99</v>
      </c>
      <c r="E202" s="1">
        <f>IFERROR(__xludf.DUMMYFUNCTION("""COMPUTED_VALUE"""),6.1)</f>
        <v>6.1</v>
      </c>
      <c r="F202" s="1">
        <f>IFERROR(__xludf.DUMMYFUNCTION("""COMPUTED_VALUE"""),4645530.0)</f>
        <v>4645530</v>
      </c>
      <c r="G202" s="2" t="s">
        <v>10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IFERROR(__xludf.DUMMYFUNCTION("""COMPUTED_VALUE"""),6.09)</f>
        <v>6.09</v>
      </c>
      <c r="C203" s="1">
        <f>IFERROR(__xludf.DUMMYFUNCTION("""COMPUTED_VALUE"""),6.43)</f>
        <v>6.43</v>
      </c>
      <c r="D203" s="1">
        <f>IFERROR(__xludf.DUMMYFUNCTION("""COMPUTED_VALUE"""),6.04)</f>
        <v>6.04</v>
      </c>
      <c r="E203" s="1">
        <f>IFERROR(__xludf.DUMMYFUNCTION("""COMPUTED_VALUE"""),6.39)</f>
        <v>6.39</v>
      </c>
      <c r="F203" s="1">
        <f>IFERROR(__xludf.DUMMYFUNCTION("""COMPUTED_VALUE"""),9898101.0)</f>
        <v>9898101</v>
      </c>
      <c r="G203" s="2" t="s">
        <v>10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IFERROR(__xludf.DUMMYFUNCTION("""COMPUTED_VALUE"""),6.44)</f>
        <v>6.44</v>
      </c>
      <c r="C204" s="1">
        <f>IFERROR(__xludf.DUMMYFUNCTION("""COMPUTED_VALUE"""),6.56)</f>
        <v>6.56</v>
      </c>
      <c r="D204" s="1">
        <f>IFERROR(__xludf.DUMMYFUNCTION("""COMPUTED_VALUE"""),6.37)</f>
        <v>6.37</v>
      </c>
      <c r="E204" s="1">
        <f>IFERROR(__xludf.DUMMYFUNCTION("""COMPUTED_VALUE"""),6.48)</f>
        <v>6.48</v>
      </c>
      <c r="F204" s="1">
        <f>IFERROR(__xludf.DUMMYFUNCTION("""COMPUTED_VALUE"""),7437254.0)</f>
        <v>7437254</v>
      </c>
      <c r="G204" s="2" t="s">
        <v>10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IFERROR(__xludf.DUMMYFUNCTION("""COMPUTED_VALUE"""),6.45)</f>
        <v>6.45</v>
      </c>
      <c r="C205" s="1">
        <f>IFERROR(__xludf.DUMMYFUNCTION("""COMPUTED_VALUE"""),6.78)</f>
        <v>6.78</v>
      </c>
      <c r="D205" s="1">
        <f>IFERROR(__xludf.DUMMYFUNCTION("""COMPUTED_VALUE"""),6.43)</f>
        <v>6.43</v>
      </c>
      <c r="E205" s="1">
        <f>IFERROR(__xludf.DUMMYFUNCTION("""COMPUTED_VALUE"""),6.58)</f>
        <v>6.58</v>
      </c>
      <c r="F205" s="1">
        <f>IFERROR(__xludf.DUMMYFUNCTION("""COMPUTED_VALUE"""),1.2421156E7)</f>
        <v>12421156</v>
      </c>
      <c r="G205" s="2" t="s">
        <v>10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IFERROR(__xludf.DUMMYFUNCTION("""COMPUTED_VALUE"""),6.73)</f>
        <v>6.73</v>
      </c>
      <c r="C206" s="1">
        <f>IFERROR(__xludf.DUMMYFUNCTION("""COMPUTED_VALUE"""),6.75)</f>
        <v>6.75</v>
      </c>
      <c r="D206" s="1">
        <f>IFERROR(__xludf.DUMMYFUNCTION("""COMPUTED_VALUE"""),6.5)</f>
        <v>6.5</v>
      </c>
      <c r="E206" s="1">
        <f>IFERROR(__xludf.DUMMYFUNCTION("""COMPUTED_VALUE"""),6.66)</f>
        <v>6.66</v>
      </c>
      <c r="F206" s="1">
        <f>IFERROR(__xludf.DUMMYFUNCTION("""COMPUTED_VALUE"""),8359411.0)</f>
        <v>8359411</v>
      </c>
      <c r="G206" s="2" t="s">
        <v>10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IFERROR(__xludf.DUMMYFUNCTION("""COMPUTED_VALUE"""),6.72)</f>
        <v>6.72</v>
      </c>
      <c r="C207" s="1">
        <f>IFERROR(__xludf.DUMMYFUNCTION("""COMPUTED_VALUE"""),6.86)</f>
        <v>6.86</v>
      </c>
      <c r="D207" s="1">
        <f>IFERROR(__xludf.DUMMYFUNCTION("""COMPUTED_VALUE"""),6.71)</f>
        <v>6.71</v>
      </c>
      <c r="E207" s="1">
        <f>IFERROR(__xludf.DUMMYFUNCTION("""COMPUTED_VALUE"""),6.76)</f>
        <v>6.76</v>
      </c>
      <c r="F207" s="1">
        <f>IFERROR(__xludf.DUMMYFUNCTION("""COMPUTED_VALUE"""),6258301.0)</f>
        <v>6258301</v>
      </c>
      <c r="G207" s="2" t="s">
        <v>10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IFERROR(__xludf.DUMMYFUNCTION("""COMPUTED_VALUE"""),6.7)</f>
        <v>6.7</v>
      </c>
      <c r="C208" s="1">
        <f>IFERROR(__xludf.DUMMYFUNCTION("""COMPUTED_VALUE"""),6.76)</f>
        <v>6.76</v>
      </c>
      <c r="D208" s="1">
        <f>IFERROR(__xludf.DUMMYFUNCTION("""COMPUTED_VALUE"""),6.61)</f>
        <v>6.61</v>
      </c>
      <c r="E208" s="1">
        <f>IFERROR(__xludf.DUMMYFUNCTION("""COMPUTED_VALUE"""),6.65)</f>
        <v>6.65</v>
      </c>
      <c r="F208" s="1">
        <f>IFERROR(__xludf.DUMMYFUNCTION("""COMPUTED_VALUE"""),4708109.0)</f>
        <v>4708109</v>
      </c>
      <c r="G208" s="2" t="s">
        <v>10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IFERROR(__xludf.DUMMYFUNCTION("""COMPUTED_VALUE"""),6.55)</f>
        <v>6.55</v>
      </c>
      <c r="C209" s="1">
        <f>IFERROR(__xludf.DUMMYFUNCTION("""COMPUTED_VALUE"""),6.65)</f>
        <v>6.65</v>
      </c>
      <c r="D209" s="1">
        <f>IFERROR(__xludf.DUMMYFUNCTION("""COMPUTED_VALUE"""),6.48)</f>
        <v>6.48</v>
      </c>
      <c r="E209" s="1">
        <f>IFERROR(__xludf.DUMMYFUNCTION("""COMPUTED_VALUE"""),6.57)</f>
        <v>6.57</v>
      </c>
      <c r="F209" s="1">
        <f>IFERROR(__xludf.DUMMYFUNCTION("""COMPUTED_VALUE"""),3198900.0)</f>
        <v>3198900</v>
      </c>
      <c r="G209" s="2" t="s">
        <v>10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IFERROR(__xludf.DUMMYFUNCTION("""COMPUTED_VALUE"""),6.61)</f>
        <v>6.61</v>
      </c>
      <c r="C210" s="1">
        <f>IFERROR(__xludf.DUMMYFUNCTION("""COMPUTED_VALUE"""),6.68)</f>
        <v>6.68</v>
      </c>
      <c r="D210" s="1">
        <f>IFERROR(__xludf.DUMMYFUNCTION("""COMPUTED_VALUE"""),6.55)</f>
        <v>6.55</v>
      </c>
      <c r="E210" s="1">
        <f>IFERROR(__xludf.DUMMYFUNCTION("""COMPUTED_VALUE"""),6.58)</f>
        <v>6.58</v>
      </c>
      <c r="F210" s="1">
        <f>IFERROR(__xludf.DUMMYFUNCTION("""COMPUTED_VALUE"""),2963255.0)</f>
        <v>2963255</v>
      </c>
      <c r="G210" s="2" t="s">
        <v>10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IFERROR(__xludf.DUMMYFUNCTION("""COMPUTED_VALUE"""),6.61)</f>
        <v>6.61</v>
      </c>
      <c r="C211" s="1">
        <f>IFERROR(__xludf.DUMMYFUNCTION("""COMPUTED_VALUE"""),6.63)</f>
        <v>6.63</v>
      </c>
      <c r="D211" s="1">
        <f>IFERROR(__xludf.DUMMYFUNCTION("""COMPUTED_VALUE"""),6.56)</f>
        <v>6.56</v>
      </c>
      <c r="E211" s="1">
        <f>IFERROR(__xludf.DUMMYFUNCTION("""COMPUTED_VALUE"""),6.63)</f>
        <v>6.63</v>
      </c>
      <c r="F211" s="1">
        <f>IFERROR(__xludf.DUMMYFUNCTION("""COMPUTED_VALUE"""),2703768.0)</f>
        <v>2703768</v>
      </c>
      <c r="G211" s="2" t="s">
        <v>10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IFERROR(__xludf.DUMMYFUNCTION("""COMPUTED_VALUE"""),6.61)</f>
        <v>6.61</v>
      </c>
      <c r="C212" s="1">
        <f>IFERROR(__xludf.DUMMYFUNCTION("""COMPUTED_VALUE"""),6.66)</f>
        <v>6.66</v>
      </c>
      <c r="D212" s="1">
        <f>IFERROR(__xludf.DUMMYFUNCTION("""COMPUTED_VALUE"""),6.56)</f>
        <v>6.56</v>
      </c>
      <c r="E212" s="1">
        <f>IFERROR(__xludf.DUMMYFUNCTION("""COMPUTED_VALUE"""),6.65)</f>
        <v>6.65</v>
      </c>
      <c r="F212" s="1">
        <f>IFERROR(__xludf.DUMMYFUNCTION("""COMPUTED_VALUE"""),3719411.0)</f>
        <v>3719411</v>
      </c>
      <c r="G212" s="2" t="s">
        <v>10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IFERROR(__xludf.DUMMYFUNCTION("""COMPUTED_VALUE"""),6.66)</f>
        <v>6.66</v>
      </c>
      <c r="C213" s="1">
        <f>IFERROR(__xludf.DUMMYFUNCTION("""COMPUTED_VALUE"""),6.89)</f>
        <v>6.89</v>
      </c>
      <c r="D213" s="1">
        <f>IFERROR(__xludf.DUMMYFUNCTION("""COMPUTED_VALUE"""),6.64)</f>
        <v>6.64</v>
      </c>
      <c r="E213" s="1">
        <f>IFERROR(__xludf.DUMMYFUNCTION("""COMPUTED_VALUE"""),6.86)</f>
        <v>6.86</v>
      </c>
      <c r="F213" s="1">
        <f>IFERROR(__xludf.DUMMYFUNCTION("""COMPUTED_VALUE"""),7472430.0)</f>
        <v>7472430</v>
      </c>
      <c r="G213" s="2" t="s">
        <v>10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IFERROR(__xludf.DUMMYFUNCTION("""COMPUTED_VALUE"""),6.81)</f>
        <v>6.81</v>
      </c>
      <c r="C214" s="1">
        <f>IFERROR(__xludf.DUMMYFUNCTION("""COMPUTED_VALUE"""),6.97)</f>
        <v>6.97</v>
      </c>
      <c r="D214" s="1">
        <f>IFERROR(__xludf.DUMMYFUNCTION("""COMPUTED_VALUE"""),6.73)</f>
        <v>6.73</v>
      </c>
      <c r="E214" s="1">
        <f>IFERROR(__xludf.DUMMYFUNCTION("""COMPUTED_VALUE"""),6.82)</f>
        <v>6.82</v>
      </c>
      <c r="F214" s="1">
        <f>IFERROR(__xludf.DUMMYFUNCTION("""COMPUTED_VALUE"""),7167294.0)</f>
        <v>7167294</v>
      </c>
      <c r="G214" s="2" t="s">
        <v>10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IFERROR(__xludf.DUMMYFUNCTION("""COMPUTED_VALUE"""),6.8)</f>
        <v>6.8</v>
      </c>
      <c r="C215" s="1">
        <f>IFERROR(__xludf.DUMMYFUNCTION("""COMPUTED_VALUE"""),7.02)</f>
        <v>7.02</v>
      </c>
      <c r="D215" s="1">
        <f>IFERROR(__xludf.DUMMYFUNCTION("""COMPUTED_VALUE"""),6.8)</f>
        <v>6.8</v>
      </c>
      <c r="E215" s="1">
        <f>IFERROR(__xludf.DUMMYFUNCTION("""COMPUTED_VALUE"""),6.94)</f>
        <v>6.94</v>
      </c>
      <c r="F215" s="1">
        <f>IFERROR(__xludf.DUMMYFUNCTION("""COMPUTED_VALUE"""),5369429.0)</f>
        <v>5369429</v>
      </c>
      <c r="G215" s="2" t="s">
        <v>10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IFERROR(__xludf.DUMMYFUNCTION("""COMPUTED_VALUE"""),7.0)</f>
        <v>7</v>
      </c>
      <c r="C216" s="1">
        <f>IFERROR(__xludf.DUMMYFUNCTION("""COMPUTED_VALUE"""),7.04)</f>
        <v>7.04</v>
      </c>
      <c r="D216" s="1">
        <f>IFERROR(__xludf.DUMMYFUNCTION("""COMPUTED_VALUE"""),6.91)</f>
        <v>6.91</v>
      </c>
      <c r="E216" s="1">
        <f>IFERROR(__xludf.DUMMYFUNCTION("""COMPUTED_VALUE"""),6.95)</f>
        <v>6.95</v>
      </c>
      <c r="F216" s="1">
        <f>IFERROR(__xludf.DUMMYFUNCTION("""COMPUTED_VALUE"""),3023820.0)</f>
        <v>3023820</v>
      </c>
      <c r="G216" s="2" t="s">
        <v>10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IFERROR(__xludf.DUMMYFUNCTION("""COMPUTED_VALUE"""),6.99)</f>
        <v>6.99</v>
      </c>
      <c r="C217" s="1">
        <f>IFERROR(__xludf.DUMMYFUNCTION("""COMPUTED_VALUE"""),7.04)</f>
        <v>7.04</v>
      </c>
      <c r="D217" s="1">
        <f>IFERROR(__xludf.DUMMYFUNCTION("""COMPUTED_VALUE"""),6.81)</f>
        <v>6.81</v>
      </c>
      <c r="E217" s="1">
        <f>IFERROR(__xludf.DUMMYFUNCTION("""COMPUTED_VALUE"""),6.94)</f>
        <v>6.94</v>
      </c>
      <c r="F217" s="1">
        <f>IFERROR(__xludf.DUMMYFUNCTION("""COMPUTED_VALUE"""),4695003.0)</f>
        <v>4695003</v>
      </c>
      <c r="G217" s="2" t="s">
        <v>10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IFERROR(__xludf.DUMMYFUNCTION("""COMPUTED_VALUE"""),6.86)</f>
        <v>6.86</v>
      </c>
      <c r="C218" s="1">
        <f>IFERROR(__xludf.DUMMYFUNCTION("""COMPUTED_VALUE"""),7.03)</f>
        <v>7.03</v>
      </c>
      <c r="D218" s="1">
        <f>IFERROR(__xludf.DUMMYFUNCTION("""COMPUTED_VALUE"""),6.84)</f>
        <v>6.84</v>
      </c>
      <c r="E218" s="1">
        <f>IFERROR(__xludf.DUMMYFUNCTION("""COMPUTED_VALUE"""),6.98)</f>
        <v>6.98</v>
      </c>
      <c r="F218" s="1">
        <f>IFERROR(__xludf.DUMMYFUNCTION("""COMPUTED_VALUE"""),4931713.0)</f>
        <v>4931713</v>
      </c>
      <c r="G218" s="2" t="s">
        <v>10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IFERROR(__xludf.DUMMYFUNCTION("""COMPUTED_VALUE"""),7.1)</f>
        <v>7.1</v>
      </c>
      <c r="C219" s="1">
        <f>IFERROR(__xludf.DUMMYFUNCTION("""COMPUTED_VALUE"""),7.2)</f>
        <v>7.2</v>
      </c>
      <c r="D219" s="1">
        <f>IFERROR(__xludf.DUMMYFUNCTION("""COMPUTED_VALUE"""),7.06)</f>
        <v>7.06</v>
      </c>
      <c r="E219" s="1">
        <f>IFERROR(__xludf.DUMMYFUNCTION("""COMPUTED_VALUE"""),7.1)</f>
        <v>7.1</v>
      </c>
      <c r="F219" s="1">
        <f>IFERROR(__xludf.DUMMYFUNCTION("""COMPUTED_VALUE"""),8392940.0)</f>
        <v>8392940</v>
      </c>
      <c r="G219" s="2" t="s">
        <v>10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IFERROR(__xludf.DUMMYFUNCTION("""COMPUTED_VALUE"""),7.07)</f>
        <v>7.07</v>
      </c>
      <c r="C220" s="1">
        <f>IFERROR(__xludf.DUMMYFUNCTION("""COMPUTED_VALUE"""),7.22)</f>
        <v>7.22</v>
      </c>
      <c r="D220" s="1">
        <f>IFERROR(__xludf.DUMMYFUNCTION("""COMPUTED_VALUE"""),7.03)</f>
        <v>7.03</v>
      </c>
      <c r="E220" s="1">
        <f>IFERROR(__xludf.DUMMYFUNCTION("""COMPUTED_VALUE"""),7.18)</f>
        <v>7.18</v>
      </c>
      <c r="F220" s="1">
        <f>IFERROR(__xludf.DUMMYFUNCTION("""COMPUTED_VALUE"""),4993508.0)</f>
        <v>4993508</v>
      </c>
      <c r="G220" s="2" t="s">
        <v>10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IFERROR(__xludf.DUMMYFUNCTION("""COMPUTED_VALUE"""),7.17)</f>
        <v>7.17</v>
      </c>
      <c r="C221" s="1">
        <f>IFERROR(__xludf.DUMMYFUNCTION("""COMPUTED_VALUE"""),7.23)</f>
        <v>7.23</v>
      </c>
      <c r="D221" s="1">
        <f>IFERROR(__xludf.DUMMYFUNCTION("""COMPUTED_VALUE"""),7.16)</f>
        <v>7.16</v>
      </c>
      <c r="E221" s="1">
        <f>IFERROR(__xludf.DUMMYFUNCTION("""COMPUTED_VALUE"""),7.22)</f>
        <v>7.22</v>
      </c>
      <c r="F221" s="1">
        <f>IFERROR(__xludf.DUMMYFUNCTION("""COMPUTED_VALUE"""),4275089.0)</f>
        <v>4275089</v>
      </c>
      <c r="G221" s="2" t="s">
        <v>10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IFERROR(__xludf.DUMMYFUNCTION("""COMPUTED_VALUE"""),7.17)</f>
        <v>7.17</v>
      </c>
      <c r="C222" s="1">
        <f>IFERROR(__xludf.DUMMYFUNCTION("""COMPUTED_VALUE"""),7.22)</f>
        <v>7.22</v>
      </c>
      <c r="D222" s="1">
        <f>IFERROR(__xludf.DUMMYFUNCTION("""COMPUTED_VALUE"""),7.13)</f>
        <v>7.13</v>
      </c>
      <c r="E222" s="1">
        <f>IFERROR(__xludf.DUMMYFUNCTION("""COMPUTED_VALUE"""),7.19)</f>
        <v>7.19</v>
      </c>
      <c r="F222" s="1">
        <f>IFERROR(__xludf.DUMMYFUNCTION("""COMPUTED_VALUE"""),3503572.0)</f>
        <v>3503572</v>
      </c>
      <c r="G222" s="2" t="s">
        <v>10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IFERROR(__xludf.DUMMYFUNCTION("""COMPUTED_VALUE"""),7.16)</f>
        <v>7.16</v>
      </c>
      <c r="C223" s="1">
        <f>IFERROR(__xludf.DUMMYFUNCTION("""COMPUTED_VALUE"""),7.28)</f>
        <v>7.28</v>
      </c>
      <c r="D223" s="1">
        <f>IFERROR(__xludf.DUMMYFUNCTION("""COMPUTED_VALUE"""),7.14)</f>
        <v>7.14</v>
      </c>
      <c r="E223" s="1">
        <f>IFERROR(__xludf.DUMMYFUNCTION("""COMPUTED_VALUE"""),7.23)</f>
        <v>7.23</v>
      </c>
      <c r="F223" s="1">
        <f>IFERROR(__xludf.DUMMYFUNCTION("""COMPUTED_VALUE"""),6017106.0)</f>
        <v>6017106</v>
      </c>
      <c r="G223" s="2" t="s">
        <v>10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IFERROR(__xludf.DUMMYFUNCTION("""COMPUTED_VALUE"""),7.29)</f>
        <v>7.29</v>
      </c>
      <c r="C224" s="1">
        <f>IFERROR(__xludf.DUMMYFUNCTION("""COMPUTED_VALUE"""),7.4)</f>
        <v>7.4</v>
      </c>
      <c r="D224" s="1">
        <f>IFERROR(__xludf.DUMMYFUNCTION("""COMPUTED_VALUE"""),7.24)</f>
        <v>7.24</v>
      </c>
      <c r="E224" s="1">
        <f>IFERROR(__xludf.DUMMYFUNCTION("""COMPUTED_VALUE"""),7.33)</f>
        <v>7.33</v>
      </c>
      <c r="F224" s="1">
        <f>IFERROR(__xludf.DUMMYFUNCTION("""COMPUTED_VALUE"""),6307732.0)</f>
        <v>6307732</v>
      </c>
      <c r="G224" s="2" t="s">
        <v>10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IFERROR(__xludf.DUMMYFUNCTION("""COMPUTED_VALUE"""),7.3)</f>
        <v>7.3</v>
      </c>
      <c r="C225" s="1">
        <f>IFERROR(__xludf.DUMMYFUNCTION("""COMPUTED_VALUE"""),7.37)</f>
        <v>7.37</v>
      </c>
      <c r="D225" s="1">
        <f>IFERROR(__xludf.DUMMYFUNCTION("""COMPUTED_VALUE"""),7.17)</f>
        <v>7.17</v>
      </c>
      <c r="E225" s="1">
        <f>IFERROR(__xludf.DUMMYFUNCTION("""COMPUTED_VALUE"""),7.3)</f>
        <v>7.3</v>
      </c>
      <c r="F225" s="1">
        <f>IFERROR(__xludf.DUMMYFUNCTION("""COMPUTED_VALUE"""),7865125.0)</f>
        <v>7865125</v>
      </c>
      <c r="G225" s="2" t="s">
        <v>10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IFERROR(__xludf.DUMMYFUNCTION("""COMPUTED_VALUE"""),7.29)</f>
        <v>7.29</v>
      </c>
      <c r="C226" s="1">
        <f>IFERROR(__xludf.DUMMYFUNCTION("""COMPUTED_VALUE"""),7.42)</f>
        <v>7.42</v>
      </c>
      <c r="D226" s="1">
        <f>IFERROR(__xludf.DUMMYFUNCTION("""COMPUTED_VALUE"""),7.22)</f>
        <v>7.22</v>
      </c>
      <c r="E226" s="1">
        <f>IFERROR(__xludf.DUMMYFUNCTION("""COMPUTED_VALUE"""),7.39)</f>
        <v>7.39</v>
      </c>
      <c r="F226" s="1">
        <f>IFERROR(__xludf.DUMMYFUNCTION("""COMPUTED_VALUE"""),6295673.0)</f>
        <v>6295673</v>
      </c>
      <c r="G226" s="2" t="s">
        <v>10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IFERROR(__xludf.DUMMYFUNCTION("""COMPUTED_VALUE"""),7.34)</f>
        <v>7.34</v>
      </c>
      <c r="C227" s="1">
        <f>IFERROR(__xludf.DUMMYFUNCTION("""COMPUTED_VALUE"""),7.35)</f>
        <v>7.35</v>
      </c>
      <c r="D227" s="1">
        <f>IFERROR(__xludf.DUMMYFUNCTION("""COMPUTED_VALUE"""),7.14)</f>
        <v>7.14</v>
      </c>
      <c r="E227" s="1">
        <f>IFERROR(__xludf.DUMMYFUNCTION("""COMPUTED_VALUE"""),7.22)</f>
        <v>7.22</v>
      </c>
      <c r="F227" s="1">
        <f>IFERROR(__xludf.DUMMYFUNCTION("""COMPUTED_VALUE"""),6574947.0)</f>
        <v>6574947</v>
      </c>
      <c r="G227" s="2" t="s">
        <v>10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IFERROR(__xludf.DUMMYFUNCTION("""COMPUTED_VALUE"""),7.23)</f>
        <v>7.23</v>
      </c>
      <c r="C228" s="1">
        <f>IFERROR(__xludf.DUMMYFUNCTION("""COMPUTED_VALUE"""),7.29)</f>
        <v>7.29</v>
      </c>
      <c r="D228" s="1">
        <f>IFERROR(__xludf.DUMMYFUNCTION("""COMPUTED_VALUE"""),7.18)</f>
        <v>7.18</v>
      </c>
      <c r="E228" s="1">
        <f>IFERROR(__xludf.DUMMYFUNCTION("""COMPUTED_VALUE"""),7.28)</f>
        <v>7.28</v>
      </c>
      <c r="F228" s="1">
        <f>IFERROR(__xludf.DUMMYFUNCTION("""COMPUTED_VALUE"""),4874680.0)</f>
        <v>4874680</v>
      </c>
      <c r="G228" s="2" t="s">
        <v>10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IFERROR(__xludf.DUMMYFUNCTION("""COMPUTED_VALUE"""),7.29)</f>
        <v>7.29</v>
      </c>
      <c r="C229" s="1">
        <f>IFERROR(__xludf.DUMMYFUNCTION("""COMPUTED_VALUE"""),7.34)</f>
        <v>7.34</v>
      </c>
      <c r="D229" s="1">
        <f>IFERROR(__xludf.DUMMYFUNCTION("""COMPUTED_VALUE"""),7.21)</f>
        <v>7.21</v>
      </c>
      <c r="E229" s="1">
        <f>IFERROR(__xludf.DUMMYFUNCTION("""COMPUTED_VALUE"""),7.34)</f>
        <v>7.34</v>
      </c>
      <c r="F229" s="1">
        <f>IFERROR(__xludf.DUMMYFUNCTION("""COMPUTED_VALUE"""),4576654.0)</f>
        <v>4576654</v>
      </c>
      <c r="G229" s="2" t="s">
        <v>10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IFERROR(__xludf.DUMMYFUNCTION("""COMPUTED_VALUE"""),7.33)</f>
        <v>7.33</v>
      </c>
      <c r="C230" s="1">
        <f>IFERROR(__xludf.DUMMYFUNCTION("""COMPUTED_VALUE"""),7.44)</f>
        <v>7.44</v>
      </c>
      <c r="D230" s="1">
        <f>IFERROR(__xludf.DUMMYFUNCTION("""COMPUTED_VALUE"""),7.24)</f>
        <v>7.24</v>
      </c>
      <c r="E230" s="1">
        <f>IFERROR(__xludf.DUMMYFUNCTION("""COMPUTED_VALUE"""),7.44)</f>
        <v>7.44</v>
      </c>
      <c r="F230" s="1">
        <f>IFERROR(__xludf.DUMMYFUNCTION("""COMPUTED_VALUE"""),5602780.0)</f>
        <v>5602780</v>
      </c>
      <c r="G230" s="2" t="s">
        <v>10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IFERROR(__xludf.DUMMYFUNCTION("""COMPUTED_VALUE"""),7.48)</f>
        <v>7.48</v>
      </c>
      <c r="C231" s="1">
        <f>IFERROR(__xludf.DUMMYFUNCTION("""COMPUTED_VALUE"""),7.5)</f>
        <v>7.5</v>
      </c>
      <c r="D231" s="1">
        <f>IFERROR(__xludf.DUMMYFUNCTION("""COMPUTED_VALUE"""),7.4)</f>
        <v>7.4</v>
      </c>
      <c r="E231" s="1">
        <f>IFERROR(__xludf.DUMMYFUNCTION("""COMPUTED_VALUE"""),7.47)</f>
        <v>7.47</v>
      </c>
      <c r="F231" s="1">
        <f>IFERROR(__xludf.DUMMYFUNCTION("""COMPUTED_VALUE"""),4332841.0)</f>
        <v>4332841</v>
      </c>
      <c r="G231" s="2" t="s">
        <v>10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IFERROR(__xludf.DUMMYFUNCTION("""COMPUTED_VALUE"""),7.47)</f>
        <v>7.47</v>
      </c>
      <c r="C232" s="1">
        <f>IFERROR(__xludf.DUMMYFUNCTION("""COMPUTED_VALUE"""),7.52)</f>
        <v>7.52</v>
      </c>
      <c r="D232" s="1">
        <f>IFERROR(__xludf.DUMMYFUNCTION("""COMPUTED_VALUE"""),7.34)</f>
        <v>7.34</v>
      </c>
      <c r="E232" s="1">
        <f>IFERROR(__xludf.DUMMYFUNCTION("""COMPUTED_VALUE"""),7.5)</f>
        <v>7.5</v>
      </c>
      <c r="F232" s="1">
        <f>IFERROR(__xludf.DUMMYFUNCTION("""COMPUTED_VALUE"""),5424619.0)</f>
        <v>5424619</v>
      </c>
      <c r="G232" s="2" t="s">
        <v>10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IFERROR(__xludf.DUMMYFUNCTION("""COMPUTED_VALUE"""),7.51)</f>
        <v>7.51</v>
      </c>
      <c r="C233" s="1">
        <f>IFERROR(__xludf.DUMMYFUNCTION("""COMPUTED_VALUE"""),7.56)</f>
        <v>7.56</v>
      </c>
      <c r="D233" s="1">
        <f>IFERROR(__xludf.DUMMYFUNCTION("""COMPUTED_VALUE"""),7.48)</f>
        <v>7.48</v>
      </c>
      <c r="E233" s="1">
        <f>IFERROR(__xludf.DUMMYFUNCTION("""COMPUTED_VALUE"""),7.53)</f>
        <v>7.53</v>
      </c>
      <c r="F233" s="1">
        <f>IFERROR(__xludf.DUMMYFUNCTION("""COMPUTED_VALUE"""),2968500.0)</f>
        <v>2968500</v>
      </c>
      <c r="G233" s="2" t="s">
        <v>10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IFERROR(__xludf.DUMMYFUNCTION("""COMPUTED_VALUE"""),7.55)</f>
        <v>7.55</v>
      </c>
      <c r="C234" s="1">
        <f>IFERROR(__xludf.DUMMYFUNCTION("""COMPUTED_VALUE"""),7.58)</f>
        <v>7.58</v>
      </c>
      <c r="D234" s="1">
        <f>IFERROR(__xludf.DUMMYFUNCTION("""COMPUTED_VALUE"""),7.49)</f>
        <v>7.49</v>
      </c>
      <c r="E234" s="1">
        <f>IFERROR(__xludf.DUMMYFUNCTION("""COMPUTED_VALUE"""),7.57)</f>
        <v>7.57</v>
      </c>
      <c r="F234" s="1">
        <f>IFERROR(__xludf.DUMMYFUNCTION("""COMPUTED_VALUE"""),3431333.0)</f>
        <v>3431333</v>
      </c>
      <c r="G234" s="2" t="s">
        <v>10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IFERROR(__xludf.DUMMYFUNCTION("""COMPUTED_VALUE"""),7.54)</f>
        <v>7.54</v>
      </c>
      <c r="C235" s="1">
        <f>IFERROR(__xludf.DUMMYFUNCTION("""COMPUTED_VALUE"""),7.64)</f>
        <v>7.64</v>
      </c>
      <c r="D235" s="1">
        <f>IFERROR(__xludf.DUMMYFUNCTION("""COMPUTED_VALUE"""),7.52)</f>
        <v>7.52</v>
      </c>
      <c r="E235" s="1">
        <f>IFERROR(__xludf.DUMMYFUNCTION("""COMPUTED_VALUE"""),7.53)</f>
        <v>7.53</v>
      </c>
      <c r="F235" s="1">
        <f>IFERROR(__xludf.DUMMYFUNCTION("""COMPUTED_VALUE"""),4027616.0)</f>
        <v>4027616</v>
      </c>
      <c r="G235" s="2" t="s">
        <v>10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IFERROR(__xludf.DUMMYFUNCTION("""COMPUTED_VALUE"""),7.51)</f>
        <v>7.51</v>
      </c>
      <c r="C236" s="1">
        <f>IFERROR(__xludf.DUMMYFUNCTION("""COMPUTED_VALUE"""),7.62)</f>
        <v>7.62</v>
      </c>
      <c r="D236" s="1">
        <f>IFERROR(__xludf.DUMMYFUNCTION("""COMPUTED_VALUE"""),7.49)</f>
        <v>7.49</v>
      </c>
      <c r="E236" s="1">
        <f>IFERROR(__xludf.DUMMYFUNCTION("""COMPUTED_VALUE"""),7.59)</f>
        <v>7.59</v>
      </c>
      <c r="F236" s="1">
        <f>IFERROR(__xludf.DUMMYFUNCTION("""COMPUTED_VALUE"""),3627626.0)</f>
        <v>3627626</v>
      </c>
      <c r="G236" s="2" t="s">
        <v>10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IFERROR(__xludf.DUMMYFUNCTION("""COMPUTED_VALUE"""),7.62)</f>
        <v>7.62</v>
      </c>
      <c r="C237" s="1">
        <f>IFERROR(__xludf.DUMMYFUNCTION("""COMPUTED_VALUE"""),7.66)</f>
        <v>7.66</v>
      </c>
      <c r="D237" s="1">
        <f>IFERROR(__xludf.DUMMYFUNCTION("""COMPUTED_VALUE"""),7.57)</f>
        <v>7.57</v>
      </c>
      <c r="E237" s="1">
        <f>IFERROR(__xludf.DUMMYFUNCTION("""COMPUTED_VALUE"""),7.66)</f>
        <v>7.66</v>
      </c>
      <c r="F237" s="1">
        <f>IFERROR(__xludf.DUMMYFUNCTION("""COMPUTED_VALUE"""),6493983.0)</f>
        <v>6493983</v>
      </c>
      <c r="G237" s="2" t="s">
        <v>10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IFERROR(__xludf.DUMMYFUNCTION("""COMPUTED_VALUE"""),7.68)</f>
        <v>7.68</v>
      </c>
      <c r="C238" s="1">
        <f>IFERROR(__xludf.DUMMYFUNCTION("""COMPUTED_VALUE"""),7.72)</f>
        <v>7.72</v>
      </c>
      <c r="D238" s="1">
        <f>IFERROR(__xludf.DUMMYFUNCTION("""COMPUTED_VALUE"""),7.56)</f>
        <v>7.56</v>
      </c>
      <c r="E238" s="1">
        <f>IFERROR(__xludf.DUMMYFUNCTION("""COMPUTED_VALUE"""),7.58)</f>
        <v>7.58</v>
      </c>
      <c r="F238" s="1">
        <f>IFERROR(__xludf.DUMMYFUNCTION("""COMPUTED_VALUE"""),4249877.0)</f>
        <v>4249877</v>
      </c>
      <c r="G238" s="2" t="s">
        <v>10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IFERROR(__xludf.DUMMYFUNCTION("""COMPUTED_VALUE"""),7.69)</f>
        <v>7.69</v>
      </c>
      <c r="C239" s="1">
        <f>IFERROR(__xludf.DUMMYFUNCTION("""COMPUTED_VALUE"""),7.75)</f>
        <v>7.75</v>
      </c>
      <c r="D239" s="1">
        <f>IFERROR(__xludf.DUMMYFUNCTION("""COMPUTED_VALUE"""),7.61)</f>
        <v>7.61</v>
      </c>
      <c r="E239" s="1">
        <f>IFERROR(__xludf.DUMMYFUNCTION("""COMPUTED_VALUE"""),7.74)</f>
        <v>7.74</v>
      </c>
      <c r="F239" s="1">
        <f>IFERROR(__xludf.DUMMYFUNCTION("""COMPUTED_VALUE"""),5777036.0)</f>
        <v>5777036</v>
      </c>
      <c r="G239" s="2" t="s">
        <v>10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IFERROR(__xludf.DUMMYFUNCTION("""COMPUTED_VALUE"""),7.74)</f>
        <v>7.74</v>
      </c>
      <c r="C240" s="1">
        <f>IFERROR(__xludf.DUMMYFUNCTION("""COMPUTED_VALUE"""),7.78)</f>
        <v>7.78</v>
      </c>
      <c r="D240" s="1">
        <f>IFERROR(__xludf.DUMMYFUNCTION("""COMPUTED_VALUE"""),7.69)</f>
        <v>7.69</v>
      </c>
      <c r="E240" s="1">
        <f>IFERROR(__xludf.DUMMYFUNCTION("""COMPUTED_VALUE"""),7.77)</f>
        <v>7.77</v>
      </c>
      <c r="F240" s="1">
        <f>IFERROR(__xludf.DUMMYFUNCTION("""COMPUTED_VALUE"""),3716563.0)</f>
        <v>3716563</v>
      </c>
      <c r="G240" s="2" t="s">
        <v>10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IFERROR(__xludf.DUMMYFUNCTION("""COMPUTED_VALUE"""),7.74)</f>
        <v>7.74</v>
      </c>
      <c r="C241" s="1">
        <f>IFERROR(__xludf.DUMMYFUNCTION("""COMPUTED_VALUE"""),7.76)</f>
        <v>7.76</v>
      </c>
      <c r="D241" s="1">
        <f>IFERROR(__xludf.DUMMYFUNCTION("""COMPUTED_VALUE"""),7.65)</f>
        <v>7.65</v>
      </c>
      <c r="E241" s="1">
        <f>IFERROR(__xludf.DUMMYFUNCTION("""COMPUTED_VALUE"""),7.72)</f>
        <v>7.72</v>
      </c>
      <c r="F241" s="1">
        <f>IFERROR(__xludf.DUMMYFUNCTION("""COMPUTED_VALUE"""),3155388.0)</f>
        <v>3155388</v>
      </c>
      <c r="G241" s="2" t="s">
        <v>10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IFERROR(__xludf.DUMMYFUNCTION("""COMPUTED_VALUE"""),7.7)</f>
        <v>7.7</v>
      </c>
      <c r="C242" s="1">
        <f>IFERROR(__xludf.DUMMYFUNCTION("""COMPUTED_VALUE"""),7.75)</f>
        <v>7.75</v>
      </c>
      <c r="D242" s="1">
        <f>IFERROR(__xludf.DUMMYFUNCTION("""COMPUTED_VALUE"""),7.63)</f>
        <v>7.63</v>
      </c>
      <c r="E242" s="1">
        <f>IFERROR(__xludf.DUMMYFUNCTION("""COMPUTED_VALUE"""),7.64)</f>
        <v>7.64</v>
      </c>
      <c r="F242" s="1">
        <f>IFERROR(__xludf.DUMMYFUNCTION("""COMPUTED_VALUE"""),3660450.0)</f>
        <v>3660450</v>
      </c>
      <c r="G242" s="2" t="s">
        <v>10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IFERROR(__xludf.DUMMYFUNCTION("""COMPUTED_VALUE"""),7.69)</f>
        <v>7.69</v>
      </c>
      <c r="C243" s="1">
        <f>IFERROR(__xludf.DUMMYFUNCTION("""COMPUTED_VALUE"""),7.75)</f>
        <v>7.75</v>
      </c>
      <c r="D243" s="1">
        <f>IFERROR(__xludf.DUMMYFUNCTION("""COMPUTED_VALUE"""),7.63)</f>
        <v>7.63</v>
      </c>
      <c r="E243" s="1">
        <f>IFERROR(__xludf.DUMMYFUNCTION("""COMPUTED_VALUE"""),7.71)</f>
        <v>7.71</v>
      </c>
      <c r="F243" s="1">
        <f>IFERROR(__xludf.DUMMYFUNCTION("""COMPUTED_VALUE"""),4083116.0)</f>
        <v>4083116</v>
      </c>
      <c r="G243" s="2" t="s">
        <v>10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IFERROR(__xludf.DUMMYFUNCTION("""COMPUTED_VALUE"""),7.72)</f>
        <v>7.72</v>
      </c>
      <c r="C244" s="1">
        <f>IFERROR(__xludf.DUMMYFUNCTION("""COMPUTED_VALUE"""),7.77)</f>
        <v>7.77</v>
      </c>
      <c r="D244" s="1">
        <f>IFERROR(__xludf.DUMMYFUNCTION("""COMPUTED_VALUE"""),7.62)</f>
        <v>7.62</v>
      </c>
      <c r="E244" s="1">
        <f>IFERROR(__xludf.DUMMYFUNCTION("""COMPUTED_VALUE"""),7.72)</f>
        <v>7.72</v>
      </c>
      <c r="F244" s="1">
        <f>IFERROR(__xludf.DUMMYFUNCTION("""COMPUTED_VALUE"""),3824835.0)</f>
        <v>3824835</v>
      </c>
      <c r="G244" s="2" t="s">
        <v>10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IFERROR(__xludf.DUMMYFUNCTION("""COMPUTED_VALUE"""),7.68)</f>
        <v>7.68</v>
      </c>
      <c r="C245" s="1">
        <f>IFERROR(__xludf.DUMMYFUNCTION("""COMPUTED_VALUE"""),7.7)</f>
        <v>7.7</v>
      </c>
      <c r="D245" s="1">
        <f>IFERROR(__xludf.DUMMYFUNCTION("""COMPUTED_VALUE"""),7.61)</f>
        <v>7.61</v>
      </c>
      <c r="E245" s="1">
        <f>IFERROR(__xludf.DUMMYFUNCTION("""COMPUTED_VALUE"""),7.7)</f>
        <v>7.7</v>
      </c>
      <c r="F245" s="1">
        <f>IFERROR(__xludf.DUMMYFUNCTION("""COMPUTED_VALUE"""),3546849.0)</f>
        <v>3546849</v>
      </c>
      <c r="G245" s="2" t="s">
        <v>10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IFERROR(__xludf.DUMMYFUNCTION("""COMPUTED_VALUE"""),7.71)</f>
        <v>7.71</v>
      </c>
      <c r="C246" s="1">
        <f>IFERROR(__xludf.DUMMYFUNCTION("""COMPUTED_VALUE"""),8.07)</f>
        <v>8.07</v>
      </c>
      <c r="D246" s="1">
        <f>IFERROR(__xludf.DUMMYFUNCTION("""COMPUTED_VALUE"""),7.69)</f>
        <v>7.69</v>
      </c>
      <c r="E246" s="1">
        <f>IFERROR(__xludf.DUMMYFUNCTION("""COMPUTED_VALUE"""),7.99)</f>
        <v>7.99</v>
      </c>
      <c r="F246" s="1">
        <f>IFERROR(__xludf.DUMMYFUNCTION("""COMPUTED_VALUE"""),1.4695324E7)</f>
        <v>14695324</v>
      </c>
      <c r="G246" s="2" t="s">
        <v>10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IFERROR(__xludf.DUMMYFUNCTION("""COMPUTED_VALUE"""),7.99)</f>
        <v>7.99</v>
      </c>
      <c r="C247" s="1">
        <f>IFERROR(__xludf.DUMMYFUNCTION("""COMPUTED_VALUE"""),8.11)</f>
        <v>8.11</v>
      </c>
      <c r="D247" s="1">
        <f>IFERROR(__xludf.DUMMYFUNCTION("""COMPUTED_VALUE"""),7.87)</f>
        <v>7.87</v>
      </c>
      <c r="E247" s="1">
        <f>IFERROR(__xludf.DUMMYFUNCTION("""COMPUTED_VALUE"""),8.09)</f>
        <v>8.09</v>
      </c>
      <c r="F247" s="1">
        <f>IFERROR(__xludf.DUMMYFUNCTION("""COMPUTED_VALUE"""),9004273.0)</f>
        <v>9004273</v>
      </c>
      <c r="G247" s="2" t="s">
        <v>10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IFERROR(__xludf.DUMMYFUNCTION("""COMPUTED_VALUE"""),8.07)</f>
        <v>8.07</v>
      </c>
      <c r="C248" s="1">
        <f>IFERROR(__xludf.DUMMYFUNCTION("""COMPUTED_VALUE"""),8.21)</f>
        <v>8.21</v>
      </c>
      <c r="D248" s="1">
        <f>IFERROR(__xludf.DUMMYFUNCTION("""COMPUTED_VALUE"""),8.05)</f>
        <v>8.05</v>
      </c>
      <c r="E248" s="1">
        <f>IFERROR(__xludf.DUMMYFUNCTION("""COMPUTED_VALUE"""),8.09)</f>
        <v>8.09</v>
      </c>
      <c r="F248" s="1">
        <f>IFERROR(__xludf.DUMMYFUNCTION("""COMPUTED_VALUE"""),5967585.0)</f>
        <v>5967585</v>
      </c>
      <c r="G248" s="2" t="s">
        <v>10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IFERROR(__xludf.DUMMYFUNCTION("""COMPUTED_VALUE"""),8.09)</f>
        <v>8.09</v>
      </c>
      <c r="C249" s="1">
        <f>IFERROR(__xludf.DUMMYFUNCTION("""COMPUTED_VALUE"""),8.12)</f>
        <v>8.12</v>
      </c>
      <c r="D249" s="1">
        <f>IFERROR(__xludf.DUMMYFUNCTION("""COMPUTED_VALUE"""),7.96)</f>
        <v>7.96</v>
      </c>
      <c r="E249" s="1">
        <f>IFERROR(__xludf.DUMMYFUNCTION("""COMPUTED_VALUE"""),8.03)</f>
        <v>8.03</v>
      </c>
      <c r="F249" s="1">
        <f>IFERROR(__xludf.DUMMYFUNCTION("""COMPUTED_VALUE"""),1.0216231E7)</f>
        <v>10216231</v>
      </c>
      <c r="G249" s="2" t="s">
        <v>10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IFERROR(__xludf.DUMMYFUNCTION("""COMPUTED_VALUE"""),8.0)</f>
        <v>8</v>
      </c>
      <c r="C250" s="1">
        <f>IFERROR(__xludf.DUMMYFUNCTION("""COMPUTED_VALUE"""),8.14)</f>
        <v>8.14</v>
      </c>
      <c r="D250" s="1">
        <f>IFERROR(__xludf.DUMMYFUNCTION("""COMPUTED_VALUE"""),7.96)</f>
        <v>7.96</v>
      </c>
      <c r="E250" s="1">
        <f>IFERROR(__xludf.DUMMYFUNCTION("""COMPUTED_VALUE"""),8.06)</f>
        <v>8.06</v>
      </c>
      <c r="F250" s="1">
        <f>IFERROR(__xludf.DUMMYFUNCTION("""COMPUTED_VALUE"""),2994574.0)</f>
        <v>2994574</v>
      </c>
      <c r="G250" s="2" t="s">
        <v>10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IFERROR(__xludf.DUMMYFUNCTION("""COMPUTED_VALUE"""),8.0)</f>
        <v>8</v>
      </c>
      <c r="C251" s="1">
        <f>IFERROR(__xludf.DUMMYFUNCTION("""COMPUTED_VALUE"""),8.1)</f>
        <v>8.1</v>
      </c>
      <c r="D251" s="1">
        <f>IFERROR(__xludf.DUMMYFUNCTION("""COMPUTED_VALUE"""),7.97)</f>
        <v>7.97</v>
      </c>
      <c r="E251" s="1">
        <f>IFERROR(__xludf.DUMMYFUNCTION("""COMPUTED_VALUE"""),8.04)</f>
        <v>8.04</v>
      </c>
      <c r="F251" s="1">
        <f>IFERROR(__xludf.DUMMYFUNCTION("""COMPUTED_VALUE"""),3046405.0)</f>
        <v>3046405</v>
      </c>
      <c r="G251" s="2" t="s">
        <v>10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IFERROR(__xludf.DUMMYFUNCTION("""COMPUTED_VALUE"""),8.06)</f>
        <v>8.06</v>
      </c>
      <c r="C252" s="1">
        <f>IFERROR(__xludf.DUMMYFUNCTION("""COMPUTED_VALUE"""),8.16)</f>
        <v>8.16</v>
      </c>
      <c r="D252" s="1">
        <f>IFERROR(__xludf.DUMMYFUNCTION("""COMPUTED_VALUE"""),8.06)</f>
        <v>8.06</v>
      </c>
      <c r="E252" s="1">
        <f>IFERROR(__xludf.DUMMYFUNCTION("""COMPUTED_VALUE"""),8.12)</f>
        <v>8.12</v>
      </c>
      <c r="F252" s="1">
        <f>IFERROR(__xludf.DUMMYFUNCTION("""COMPUTED_VALUE"""),3817862.0)</f>
        <v>3817862</v>
      </c>
      <c r="G252" s="2" t="s">
        <v>10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IFERROR(__xludf.DUMMYFUNCTION("""COMPUTED_VALUE"""),8.13)</f>
        <v>8.13</v>
      </c>
      <c r="C253" s="1">
        <f>IFERROR(__xludf.DUMMYFUNCTION("""COMPUTED_VALUE"""),8.2)</f>
        <v>8.2</v>
      </c>
      <c r="D253" s="1">
        <f>IFERROR(__xludf.DUMMYFUNCTION("""COMPUTED_VALUE"""),8.07)</f>
        <v>8.07</v>
      </c>
      <c r="E253" s="1">
        <f>IFERROR(__xludf.DUMMYFUNCTION("""COMPUTED_VALUE"""),8.11)</f>
        <v>8.11</v>
      </c>
      <c r="F253" s="1">
        <f>IFERROR(__xludf.DUMMYFUNCTION("""COMPUTED_VALUE"""),2874991.0)</f>
        <v>2874991</v>
      </c>
      <c r="G253" s="2" t="s">
        <v>10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IFERROR(__xludf.DUMMYFUNCTION("""COMPUTED_VALUE"""),8.1)</f>
        <v>8.1</v>
      </c>
      <c r="C254" s="1">
        <f>IFERROR(__xludf.DUMMYFUNCTION("""COMPUTED_VALUE"""),8.12)</f>
        <v>8.12</v>
      </c>
      <c r="D254" s="1">
        <f>IFERROR(__xludf.DUMMYFUNCTION("""COMPUTED_VALUE"""),8.03)</f>
        <v>8.03</v>
      </c>
      <c r="E254" s="1">
        <f>IFERROR(__xludf.DUMMYFUNCTION("""COMPUTED_VALUE"""),8.1)</f>
        <v>8.1</v>
      </c>
      <c r="F254" s="1">
        <f>IFERROR(__xludf.DUMMYFUNCTION("""COMPUTED_VALUE"""),3872479.0)</f>
        <v>3872479</v>
      </c>
      <c r="G254" s="2" t="s">
        <v>10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IFERROR(__xludf.DUMMYFUNCTION("""COMPUTED_VALUE"""),8.15)</f>
        <v>8.15</v>
      </c>
      <c r="C255" s="1">
        <f>IFERROR(__xludf.DUMMYFUNCTION("""COMPUTED_VALUE"""),8.24)</f>
        <v>8.24</v>
      </c>
      <c r="D255" s="1">
        <f>IFERROR(__xludf.DUMMYFUNCTION("""COMPUTED_VALUE"""),8.15)</f>
        <v>8.15</v>
      </c>
      <c r="E255" s="1">
        <f>IFERROR(__xludf.DUMMYFUNCTION("""COMPUTED_VALUE"""),8.23)</f>
        <v>8.23</v>
      </c>
      <c r="F255" s="1">
        <f>IFERROR(__xludf.DUMMYFUNCTION("""COMPUTED_VALUE"""),2990673.0)</f>
        <v>2990673</v>
      </c>
      <c r="G255" s="2" t="s">
        <v>10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IFERROR(__xludf.DUMMYFUNCTION("""COMPUTED_VALUE"""),8.25)</f>
        <v>8.25</v>
      </c>
      <c r="C256" s="1">
        <f>IFERROR(__xludf.DUMMYFUNCTION("""COMPUTED_VALUE"""),8.25)</f>
        <v>8.25</v>
      </c>
      <c r="D256" s="1">
        <f>IFERROR(__xludf.DUMMYFUNCTION("""COMPUTED_VALUE"""),8.06)</f>
        <v>8.06</v>
      </c>
      <c r="E256" s="1">
        <f>IFERROR(__xludf.DUMMYFUNCTION("""COMPUTED_VALUE"""),8.12)</f>
        <v>8.12</v>
      </c>
      <c r="F256" s="1">
        <f>IFERROR(__xludf.DUMMYFUNCTION("""COMPUTED_VALUE"""),3138014.0)</f>
        <v>3138014</v>
      </c>
      <c r="G256" s="2" t="s">
        <v>10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IFERROR(__xludf.DUMMYFUNCTION("""COMPUTED_VALUE"""),8.08)</f>
        <v>8.08</v>
      </c>
      <c r="C257" s="1">
        <f>IFERROR(__xludf.DUMMYFUNCTION("""COMPUTED_VALUE"""),8.08)</f>
        <v>8.08</v>
      </c>
      <c r="D257" s="1">
        <f>IFERROR(__xludf.DUMMYFUNCTION("""COMPUTED_VALUE"""),7.67)</f>
        <v>7.67</v>
      </c>
      <c r="E257" s="1">
        <f>IFERROR(__xludf.DUMMYFUNCTION("""COMPUTED_VALUE"""),7.85)</f>
        <v>7.85</v>
      </c>
      <c r="F257" s="1">
        <f>IFERROR(__xludf.DUMMYFUNCTION("""COMPUTED_VALUE"""),9386180.0)</f>
        <v>9386180</v>
      </c>
      <c r="G257" s="2" t="s">
        <v>10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IFERROR(__xludf.DUMMYFUNCTION("""COMPUTED_VALUE"""),7.8)</f>
        <v>7.8</v>
      </c>
      <c r="C258" s="1">
        <f>IFERROR(__xludf.DUMMYFUNCTION("""COMPUTED_VALUE"""),7.83)</f>
        <v>7.83</v>
      </c>
      <c r="D258" s="1">
        <f>IFERROR(__xludf.DUMMYFUNCTION("""COMPUTED_VALUE"""),7.73)</f>
        <v>7.73</v>
      </c>
      <c r="E258" s="1">
        <f>IFERROR(__xludf.DUMMYFUNCTION("""COMPUTED_VALUE"""),7.77)</f>
        <v>7.77</v>
      </c>
      <c r="F258" s="1">
        <f>IFERROR(__xludf.DUMMYFUNCTION("""COMPUTED_VALUE"""),2030772.0)</f>
        <v>2030772</v>
      </c>
      <c r="G258" s="2" t="s">
        <v>10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IFERROR(__xludf.DUMMYFUNCTION("""COMPUTED_VALUE"""),7.8)</f>
        <v>7.8</v>
      </c>
      <c r="C259" s="1">
        <f>IFERROR(__xludf.DUMMYFUNCTION("""COMPUTED_VALUE"""),7.96)</f>
        <v>7.96</v>
      </c>
      <c r="D259" s="1">
        <f>IFERROR(__xludf.DUMMYFUNCTION("""COMPUTED_VALUE"""),7.77)</f>
        <v>7.77</v>
      </c>
      <c r="E259" s="1">
        <f>IFERROR(__xludf.DUMMYFUNCTION("""COMPUTED_VALUE"""),7.87)</f>
        <v>7.87</v>
      </c>
      <c r="F259" s="1">
        <f>IFERROR(__xludf.DUMMYFUNCTION("""COMPUTED_VALUE"""),3735448.0)</f>
        <v>3735448</v>
      </c>
      <c r="G259" s="2" t="s">
        <v>10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IFERROR(__xludf.DUMMYFUNCTION("""COMPUTED_VALUE"""),7.86)</f>
        <v>7.86</v>
      </c>
      <c r="C260" s="1">
        <f>IFERROR(__xludf.DUMMYFUNCTION("""COMPUTED_VALUE"""),8.03)</f>
        <v>8.03</v>
      </c>
      <c r="D260" s="1">
        <f>IFERROR(__xludf.DUMMYFUNCTION("""COMPUTED_VALUE"""),7.85)</f>
        <v>7.85</v>
      </c>
      <c r="E260" s="1">
        <f>IFERROR(__xludf.DUMMYFUNCTION("""COMPUTED_VALUE"""),7.95)</f>
        <v>7.95</v>
      </c>
      <c r="F260" s="1">
        <f>IFERROR(__xludf.DUMMYFUNCTION("""COMPUTED_VALUE"""),2951117.0)</f>
        <v>2951117</v>
      </c>
      <c r="G260" s="2" t="s">
        <v>10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IFERROR(__xludf.DUMMYFUNCTION("""COMPUTED_VALUE"""),8.03)</f>
        <v>8.03</v>
      </c>
      <c r="C261" s="1">
        <f>IFERROR(__xludf.DUMMYFUNCTION("""COMPUTED_VALUE"""),8.25)</f>
        <v>8.25</v>
      </c>
      <c r="D261" s="1">
        <f>IFERROR(__xludf.DUMMYFUNCTION("""COMPUTED_VALUE"""),7.97)</f>
        <v>7.97</v>
      </c>
      <c r="E261" s="1">
        <f>IFERROR(__xludf.DUMMYFUNCTION("""COMPUTED_VALUE"""),8.19)</f>
        <v>8.19</v>
      </c>
      <c r="F261" s="1">
        <f>IFERROR(__xludf.DUMMYFUNCTION("""COMPUTED_VALUE"""),4703298.0)</f>
        <v>4703298</v>
      </c>
      <c r="G261" s="2" t="s">
        <v>10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IFERROR(__xludf.DUMMYFUNCTION("""COMPUTED_VALUE"""),8.18)</f>
        <v>8.18</v>
      </c>
      <c r="C262" s="1">
        <f>IFERROR(__xludf.DUMMYFUNCTION("""COMPUTED_VALUE"""),8.35)</f>
        <v>8.35</v>
      </c>
      <c r="D262" s="1">
        <f>IFERROR(__xludf.DUMMYFUNCTION("""COMPUTED_VALUE"""),8.16)</f>
        <v>8.16</v>
      </c>
      <c r="E262" s="1">
        <f>IFERROR(__xludf.DUMMYFUNCTION("""COMPUTED_VALUE"""),8.34)</f>
        <v>8.34</v>
      </c>
      <c r="F262" s="1">
        <f>IFERROR(__xludf.DUMMYFUNCTION("""COMPUTED_VALUE"""),6331570.0)</f>
        <v>6331570</v>
      </c>
      <c r="G262" s="2" t="s">
        <v>10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IFERROR(__xludf.DUMMYFUNCTION("""COMPUTED_VALUE"""),8.3)</f>
        <v>8.3</v>
      </c>
      <c r="C263" s="1">
        <f>IFERROR(__xludf.DUMMYFUNCTION("""COMPUTED_VALUE"""),8.38)</f>
        <v>8.38</v>
      </c>
      <c r="D263" s="1">
        <f>IFERROR(__xludf.DUMMYFUNCTION("""COMPUTED_VALUE"""),8.29)</f>
        <v>8.29</v>
      </c>
      <c r="E263" s="1">
        <f>IFERROR(__xludf.DUMMYFUNCTION("""COMPUTED_VALUE"""),8.32)</f>
        <v>8.32</v>
      </c>
      <c r="F263" s="1">
        <f>IFERROR(__xludf.DUMMYFUNCTION("""COMPUTED_VALUE"""),2995290.0)</f>
        <v>2995290</v>
      </c>
      <c r="G263" s="2" t="s">
        <v>10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IFERROR(__xludf.DUMMYFUNCTION("""COMPUTED_VALUE"""),8.34)</f>
        <v>8.34</v>
      </c>
      <c r="C264" s="1">
        <f>IFERROR(__xludf.DUMMYFUNCTION("""COMPUTED_VALUE"""),8.5)</f>
        <v>8.5</v>
      </c>
      <c r="D264" s="1">
        <f>IFERROR(__xludf.DUMMYFUNCTION("""COMPUTED_VALUE"""),8.32)</f>
        <v>8.32</v>
      </c>
      <c r="E264" s="1">
        <f>IFERROR(__xludf.DUMMYFUNCTION("""COMPUTED_VALUE"""),8.42)</f>
        <v>8.42</v>
      </c>
      <c r="F264" s="1">
        <f>IFERROR(__xludf.DUMMYFUNCTION("""COMPUTED_VALUE"""),4655963.0)</f>
        <v>4655963</v>
      </c>
      <c r="G264" s="2" t="s">
        <v>10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IFERROR(__xludf.DUMMYFUNCTION("""COMPUTED_VALUE"""),8.33)</f>
        <v>8.33</v>
      </c>
      <c r="C265" s="1">
        <f>IFERROR(__xludf.DUMMYFUNCTION("""COMPUTED_VALUE"""),8.38)</f>
        <v>8.38</v>
      </c>
      <c r="D265" s="1">
        <f>IFERROR(__xludf.DUMMYFUNCTION("""COMPUTED_VALUE"""),8.23)</f>
        <v>8.23</v>
      </c>
      <c r="E265" s="1">
        <f>IFERROR(__xludf.DUMMYFUNCTION("""COMPUTED_VALUE"""),8.37)</f>
        <v>8.37</v>
      </c>
      <c r="F265" s="1">
        <f>IFERROR(__xludf.DUMMYFUNCTION("""COMPUTED_VALUE"""),4358325.0)</f>
        <v>4358325</v>
      </c>
      <c r="G265" s="2" t="s">
        <v>10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IFERROR(__xludf.DUMMYFUNCTION("""COMPUTED_VALUE"""),8.37)</f>
        <v>8.37</v>
      </c>
      <c r="C266" s="1">
        <f>IFERROR(__xludf.DUMMYFUNCTION("""COMPUTED_VALUE"""),8.49)</f>
        <v>8.49</v>
      </c>
      <c r="D266" s="1">
        <f>IFERROR(__xludf.DUMMYFUNCTION("""COMPUTED_VALUE"""),8.37)</f>
        <v>8.37</v>
      </c>
      <c r="E266" s="1">
        <f>IFERROR(__xludf.DUMMYFUNCTION("""COMPUTED_VALUE"""),8.41)</f>
        <v>8.41</v>
      </c>
      <c r="F266" s="1">
        <f>IFERROR(__xludf.DUMMYFUNCTION("""COMPUTED_VALUE"""),4511066.0)</f>
        <v>4511066</v>
      </c>
      <c r="G266" s="2" t="s">
        <v>10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IFERROR(__xludf.DUMMYFUNCTION("""COMPUTED_VALUE"""),8.42)</f>
        <v>8.42</v>
      </c>
      <c r="C267" s="1">
        <f>IFERROR(__xludf.DUMMYFUNCTION("""COMPUTED_VALUE"""),8.58)</f>
        <v>8.58</v>
      </c>
      <c r="D267" s="1">
        <f>IFERROR(__xludf.DUMMYFUNCTION("""COMPUTED_VALUE"""),8.36)</f>
        <v>8.36</v>
      </c>
      <c r="E267" s="1">
        <f>IFERROR(__xludf.DUMMYFUNCTION("""COMPUTED_VALUE"""),8.55)</f>
        <v>8.55</v>
      </c>
      <c r="F267" s="1">
        <f>IFERROR(__xludf.DUMMYFUNCTION("""COMPUTED_VALUE"""),6621375.0)</f>
        <v>6621375</v>
      </c>
      <c r="G267" s="2" t="s">
        <v>10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IFERROR(__xludf.DUMMYFUNCTION("""COMPUTED_VALUE"""),8.58)</f>
        <v>8.58</v>
      </c>
      <c r="C268" s="1">
        <f>IFERROR(__xludf.DUMMYFUNCTION("""COMPUTED_VALUE"""),8.83)</f>
        <v>8.83</v>
      </c>
      <c r="D268" s="1">
        <f>IFERROR(__xludf.DUMMYFUNCTION("""COMPUTED_VALUE"""),8.56)</f>
        <v>8.56</v>
      </c>
      <c r="E268" s="1">
        <f>IFERROR(__xludf.DUMMYFUNCTION("""COMPUTED_VALUE"""),8.76)</f>
        <v>8.76</v>
      </c>
      <c r="F268" s="1">
        <f>IFERROR(__xludf.DUMMYFUNCTION("""COMPUTED_VALUE"""),9076849.0)</f>
        <v>9076849</v>
      </c>
      <c r="G268" s="2" t="s">
        <v>10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IFERROR(__xludf.DUMMYFUNCTION("""COMPUTED_VALUE"""),8.82)</f>
        <v>8.82</v>
      </c>
      <c r="C269" s="1">
        <f>IFERROR(__xludf.DUMMYFUNCTION("""COMPUTED_VALUE"""),8.86)</f>
        <v>8.86</v>
      </c>
      <c r="D269" s="1">
        <f>IFERROR(__xludf.DUMMYFUNCTION("""COMPUTED_VALUE"""),8.74)</f>
        <v>8.74</v>
      </c>
      <c r="E269" s="1">
        <f>IFERROR(__xludf.DUMMYFUNCTION("""COMPUTED_VALUE"""),8.81)</f>
        <v>8.81</v>
      </c>
      <c r="F269" s="1">
        <f>IFERROR(__xludf.DUMMYFUNCTION("""COMPUTED_VALUE"""),3784806.0)</f>
        <v>3784806</v>
      </c>
      <c r="G269" s="2" t="s">
        <v>10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IFERROR(__xludf.DUMMYFUNCTION("""COMPUTED_VALUE"""),8.81)</f>
        <v>8.81</v>
      </c>
      <c r="C270" s="1">
        <f>IFERROR(__xludf.DUMMYFUNCTION("""COMPUTED_VALUE"""),8.86)</f>
        <v>8.86</v>
      </c>
      <c r="D270" s="1">
        <f>IFERROR(__xludf.DUMMYFUNCTION("""COMPUTED_VALUE"""),8.7)</f>
        <v>8.7</v>
      </c>
      <c r="E270" s="1">
        <f>IFERROR(__xludf.DUMMYFUNCTION("""COMPUTED_VALUE"""),8.8)</f>
        <v>8.8</v>
      </c>
      <c r="F270" s="1">
        <f>IFERROR(__xludf.DUMMYFUNCTION("""COMPUTED_VALUE"""),3466490.0)</f>
        <v>3466490</v>
      </c>
      <c r="G270" s="2" t="s">
        <v>10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IFERROR(__xludf.DUMMYFUNCTION("""COMPUTED_VALUE"""),8.82)</f>
        <v>8.82</v>
      </c>
      <c r="C271" s="1">
        <f>IFERROR(__xludf.DUMMYFUNCTION("""COMPUTED_VALUE"""),9.29)</f>
        <v>9.29</v>
      </c>
      <c r="D271" s="1">
        <f>IFERROR(__xludf.DUMMYFUNCTION("""COMPUTED_VALUE"""),8.81)</f>
        <v>8.81</v>
      </c>
      <c r="E271" s="1">
        <f>IFERROR(__xludf.DUMMYFUNCTION("""COMPUTED_VALUE"""),9.26)</f>
        <v>9.26</v>
      </c>
      <c r="F271" s="1">
        <f>IFERROR(__xludf.DUMMYFUNCTION("""COMPUTED_VALUE"""),1.0706281E7)</f>
        <v>10706281</v>
      </c>
      <c r="G271" s="2" t="s">
        <v>10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IFERROR(__xludf.DUMMYFUNCTION("""COMPUTED_VALUE"""),9.19)</f>
        <v>9.19</v>
      </c>
      <c r="C272" s="1">
        <f>IFERROR(__xludf.DUMMYFUNCTION("""COMPUTED_VALUE"""),9.4)</f>
        <v>9.4</v>
      </c>
      <c r="D272" s="1">
        <f>IFERROR(__xludf.DUMMYFUNCTION("""COMPUTED_VALUE"""),9.15)</f>
        <v>9.15</v>
      </c>
      <c r="E272" s="1">
        <f>IFERROR(__xludf.DUMMYFUNCTION("""COMPUTED_VALUE"""),9.35)</f>
        <v>9.35</v>
      </c>
      <c r="F272" s="1">
        <f>IFERROR(__xludf.DUMMYFUNCTION("""COMPUTED_VALUE"""),8516005.0)</f>
        <v>8516005</v>
      </c>
      <c r="G272" s="2" t="s">
        <v>10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IFERROR(__xludf.DUMMYFUNCTION("""COMPUTED_VALUE"""),9.49)</f>
        <v>9.49</v>
      </c>
      <c r="C273" s="1">
        <f>IFERROR(__xludf.DUMMYFUNCTION("""COMPUTED_VALUE"""),9.63)</f>
        <v>9.63</v>
      </c>
      <c r="D273" s="1">
        <f>IFERROR(__xludf.DUMMYFUNCTION("""COMPUTED_VALUE"""),9.45)</f>
        <v>9.45</v>
      </c>
      <c r="E273" s="1">
        <f>IFERROR(__xludf.DUMMYFUNCTION("""COMPUTED_VALUE"""),9.58)</f>
        <v>9.58</v>
      </c>
      <c r="F273" s="1">
        <f>IFERROR(__xludf.DUMMYFUNCTION("""COMPUTED_VALUE"""),8216685.0)</f>
        <v>8216685</v>
      </c>
      <c r="G273" s="2" t="s">
        <v>10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IFERROR(__xludf.DUMMYFUNCTION("""COMPUTED_VALUE"""),9.65)</f>
        <v>9.65</v>
      </c>
      <c r="C274" s="1">
        <f>IFERROR(__xludf.DUMMYFUNCTION("""COMPUTED_VALUE"""),9.72)</f>
        <v>9.72</v>
      </c>
      <c r="D274" s="1">
        <f>IFERROR(__xludf.DUMMYFUNCTION("""COMPUTED_VALUE"""),9.52)</f>
        <v>9.52</v>
      </c>
      <c r="E274" s="1">
        <f>IFERROR(__xludf.DUMMYFUNCTION("""COMPUTED_VALUE"""),9.6)</f>
        <v>9.6</v>
      </c>
      <c r="F274" s="1">
        <f>IFERROR(__xludf.DUMMYFUNCTION("""COMPUTED_VALUE"""),6491862.0)</f>
        <v>6491862</v>
      </c>
      <c r="G274" s="2" t="s">
        <v>10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IFERROR(__xludf.DUMMYFUNCTION("""COMPUTED_VALUE"""),9.68)</f>
        <v>9.68</v>
      </c>
      <c r="C275" s="1">
        <f>IFERROR(__xludf.DUMMYFUNCTION("""COMPUTED_VALUE"""),9.74)</f>
        <v>9.74</v>
      </c>
      <c r="D275" s="1">
        <f>IFERROR(__xludf.DUMMYFUNCTION("""COMPUTED_VALUE"""),9.58)</f>
        <v>9.58</v>
      </c>
      <c r="E275" s="1">
        <f>IFERROR(__xludf.DUMMYFUNCTION("""COMPUTED_VALUE"""),9.65)</f>
        <v>9.65</v>
      </c>
      <c r="F275" s="1">
        <f>IFERROR(__xludf.DUMMYFUNCTION("""COMPUTED_VALUE"""),5981572.0)</f>
        <v>5981572</v>
      </c>
      <c r="G275" s="2" t="s">
        <v>10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IFERROR(__xludf.DUMMYFUNCTION("""COMPUTED_VALUE"""),9.73)</f>
        <v>9.73</v>
      </c>
      <c r="C276" s="1">
        <f>IFERROR(__xludf.DUMMYFUNCTION("""COMPUTED_VALUE"""),9.89)</f>
        <v>9.89</v>
      </c>
      <c r="D276" s="1">
        <f>IFERROR(__xludf.DUMMYFUNCTION("""COMPUTED_VALUE"""),9.62)</f>
        <v>9.62</v>
      </c>
      <c r="E276" s="1">
        <f>IFERROR(__xludf.DUMMYFUNCTION("""COMPUTED_VALUE"""),9.63)</f>
        <v>9.63</v>
      </c>
      <c r="F276" s="1">
        <f>IFERROR(__xludf.DUMMYFUNCTION("""COMPUTED_VALUE"""),5460409.0)</f>
        <v>5460409</v>
      </c>
      <c r="G276" s="2" t="s">
        <v>10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IFERROR(__xludf.DUMMYFUNCTION("""COMPUTED_VALUE"""),9.66)</f>
        <v>9.66</v>
      </c>
      <c r="C277" s="1">
        <f>IFERROR(__xludf.DUMMYFUNCTION("""COMPUTED_VALUE"""),9.74)</f>
        <v>9.74</v>
      </c>
      <c r="D277" s="1">
        <f>IFERROR(__xludf.DUMMYFUNCTION("""COMPUTED_VALUE"""),9.32)</f>
        <v>9.32</v>
      </c>
      <c r="E277" s="1">
        <f>IFERROR(__xludf.DUMMYFUNCTION("""COMPUTED_VALUE"""),9.73)</f>
        <v>9.73</v>
      </c>
      <c r="F277" s="1">
        <f>IFERROR(__xludf.DUMMYFUNCTION("""COMPUTED_VALUE"""),7102727.0)</f>
        <v>7102727</v>
      </c>
      <c r="G277" s="2" t="s">
        <v>10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IFERROR(__xludf.DUMMYFUNCTION("""COMPUTED_VALUE"""),9.75)</f>
        <v>9.75</v>
      </c>
      <c r="C278" s="1">
        <f>IFERROR(__xludf.DUMMYFUNCTION("""COMPUTED_VALUE"""),9.79)</f>
        <v>9.79</v>
      </c>
      <c r="D278" s="1">
        <f>IFERROR(__xludf.DUMMYFUNCTION("""COMPUTED_VALUE"""),9.7)</f>
        <v>9.7</v>
      </c>
      <c r="E278" s="1">
        <f>IFERROR(__xludf.DUMMYFUNCTION("""COMPUTED_VALUE"""),9.76)</f>
        <v>9.76</v>
      </c>
      <c r="F278" s="1">
        <f>IFERROR(__xludf.DUMMYFUNCTION("""COMPUTED_VALUE"""),3626336.0)</f>
        <v>3626336</v>
      </c>
      <c r="G278" s="2" t="s">
        <v>10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IFERROR(__xludf.DUMMYFUNCTION("""COMPUTED_VALUE"""),9.7)</f>
        <v>9.7</v>
      </c>
      <c r="C279" s="1">
        <f>IFERROR(__xludf.DUMMYFUNCTION("""COMPUTED_VALUE"""),9.75)</f>
        <v>9.75</v>
      </c>
      <c r="D279" s="1">
        <f>IFERROR(__xludf.DUMMYFUNCTION("""COMPUTED_VALUE"""),9.61)</f>
        <v>9.61</v>
      </c>
      <c r="E279" s="1">
        <f>IFERROR(__xludf.DUMMYFUNCTION("""COMPUTED_VALUE"""),9.65)</f>
        <v>9.65</v>
      </c>
      <c r="F279" s="1">
        <f>IFERROR(__xludf.DUMMYFUNCTION("""COMPUTED_VALUE"""),3273460.0)</f>
        <v>3273460</v>
      </c>
      <c r="G279" s="2" t="s">
        <v>10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IFERROR(__xludf.DUMMYFUNCTION("""COMPUTED_VALUE"""),9.61)</f>
        <v>9.61</v>
      </c>
      <c r="C280" s="1">
        <f>IFERROR(__xludf.DUMMYFUNCTION("""COMPUTED_VALUE"""),9.71)</f>
        <v>9.71</v>
      </c>
      <c r="D280" s="1">
        <f>IFERROR(__xludf.DUMMYFUNCTION("""COMPUTED_VALUE"""),9.57)</f>
        <v>9.57</v>
      </c>
      <c r="E280" s="1">
        <f>IFERROR(__xludf.DUMMYFUNCTION("""COMPUTED_VALUE"""),9.71)</f>
        <v>9.71</v>
      </c>
      <c r="F280" s="1">
        <f>IFERROR(__xludf.DUMMYFUNCTION("""COMPUTED_VALUE"""),4985731.0)</f>
        <v>4985731</v>
      </c>
      <c r="G280" s="2" t="s">
        <v>10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IFERROR(__xludf.DUMMYFUNCTION("""COMPUTED_VALUE"""),9.69)</f>
        <v>9.69</v>
      </c>
      <c r="C281" s="1">
        <f>IFERROR(__xludf.DUMMYFUNCTION("""COMPUTED_VALUE"""),9.75)</f>
        <v>9.75</v>
      </c>
      <c r="D281" s="1">
        <f>IFERROR(__xludf.DUMMYFUNCTION("""COMPUTED_VALUE"""),9.62)</f>
        <v>9.62</v>
      </c>
      <c r="E281" s="1">
        <f>IFERROR(__xludf.DUMMYFUNCTION("""COMPUTED_VALUE"""),9.68)</f>
        <v>9.68</v>
      </c>
      <c r="F281" s="1">
        <f>IFERROR(__xludf.DUMMYFUNCTION("""COMPUTED_VALUE"""),3992608.0)</f>
        <v>3992608</v>
      </c>
      <c r="G281" s="2" t="s">
        <v>10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IFERROR(__xludf.DUMMYFUNCTION("""COMPUTED_VALUE"""),9.72)</f>
        <v>9.72</v>
      </c>
      <c r="C282" s="1">
        <f>IFERROR(__xludf.DUMMYFUNCTION("""COMPUTED_VALUE"""),9.89)</f>
        <v>9.89</v>
      </c>
      <c r="D282" s="1">
        <f>IFERROR(__xludf.DUMMYFUNCTION("""COMPUTED_VALUE"""),9.68)</f>
        <v>9.68</v>
      </c>
      <c r="E282" s="1">
        <f>IFERROR(__xludf.DUMMYFUNCTION("""COMPUTED_VALUE"""),9.89)</f>
        <v>9.89</v>
      </c>
      <c r="F282" s="1">
        <f>IFERROR(__xludf.DUMMYFUNCTION("""COMPUTED_VALUE"""),6771005.0)</f>
        <v>6771005</v>
      </c>
      <c r="G282" s="2" t="s">
        <v>10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IFERROR(__xludf.DUMMYFUNCTION("""COMPUTED_VALUE"""),9.88)</f>
        <v>9.88</v>
      </c>
      <c r="C283" s="1">
        <f>IFERROR(__xludf.DUMMYFUNCTION("""COMPUTED_VALUE"""),9.96)</f>
        <v>9.96</v>
      </c>
      <c r="D283" s="1">
        <f>IFERROR(__xludf.DUMMYFUNCTION("""COMPUTED_VALUE"""),9.83)</f>
        <v>9.83</v>
      </c>
      <c r="E283" s="1">
        <f>IFERROR(__xludf.DUMMYFUNCTION("""COMPUTED_VALUE"""),9.9)</f>
        <v>9.9</v>
      </c>
      <c r="F283" s="1">
        <f>IFERROR(__xludf.DUMMYFUNCTION("""COMPUTED_VALUE"""),4520075.0)</f>
        <v>4520075</v>
      </c>
      <c r="G283" s="2" t="s">
        <v>10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IFERROR(__xludf.DUMMYFUNCTION("""COMPUTED_VALUE"""),9.89)</f>
        <v>9.89</v>
      </c>
      <c r="C284" s="1">
        <f>IFERROR(__xludf.DUMMYFUNCTION("""COMPUTED_VALUE"""),9.89)</f>
        <v>9.89</v>
      </c>
      <c r="D284" s="1">
        <f>IFERROR(__xludf.DUMMYFUNCTION("""COMPUTED_VALUE"""),9.7)</f>
        <v>9.7</v>
      </c>
      <c r="E284" s="1">
        <f>IFERROR(__xludf.DUMMYFUNCTION("""COMPUTED_VALUE"""),9.8)</f>
        <v>9.8</v>
      </c>
      <c r="F284" s="1">
        <f>IFERROR(__xludf.DUMMYFUNCTION("""COMPUTED_VALUE"""),3971639.0)</f>
        <v>3971639</v>
      </c>
      <c r="G284" s="2" t="s">
        <v>10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IFERROR(__xludf.DUMMYFUNCTION("""COMPUTED_VALUE"""),9.79)</f>
        <v>9.79</v>
      </c>
      <c r="C285" s="1">
        <f>IFERROR(__xludf.DUMMYFUNCTION("""COMPUTED_VALUE"""),9.81)</f>
        <v>9.81</v>
      </c>
      <c r="D285" s="1">
        <f>IFERROR(__xludf.DUMMYFUNCTION("""COMPUTED_VALUE"""),9.6)</f>
        <v>9.6</v>
      </c>
      <c r="E285" s="1">
        <f>IFERROR(__xludf.DUMMYFUNCTION("""COMPUTED_VALUE"""),9.65)</f>
        <v>9.65</v>
      </c>
      <c r="F285" s="1">
        <f>IFERROR(__xludf.DUMMYFUNCTION("""COMPUTED_VALUE"""),4445523.0)</f>
        <v>4445523</v>
      </c>
      <c r="G285" s="2" t="s">
        <v>10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IFERROR(__xludf.DUMMYFUNCTION("""COMPUTED_VALUE"""),9.62)</f>
        <v>9.62</v>
      </c>
      <c r="C286" s="1">
        <f>IFERROR(__xludf.DUMMYFUNCTION("""COMPUTED_VALUE"""),9.74)</f>
        <v>9.74</v>
      </c>
      <c r="D286" s="1">
        <f>IFERROR(__xludf.DUMMYFUNCTION("""COMPUTED_VALUE"""),9.54)</f>
        <v>9.54</v>
      </c>
      <c r="E286" s="1">
        <f>IFERROR(__xludf.DUMMYFUNCTION("""COMPUTED_VALUE"""),9.68)</f>
        <v>9.68</v>
      </c>
      <c r="F286" s="1">
        <f>IFERROR(__xludf.DUMMYFUNCTION("""COMPUTED_VALUE"""),3942172.0)</f>
        <v>3942172</v>
      </c>
      <c r="G286" s="2" t="s">
        <v>10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IFERROR(__xludf.DUMMYFUNCTION("""COMPUTED_VALUE"""),9.73)</f>
        <v>9.73</v>
      </c>
      <c r="C287" s="1">
        <f>IFERROR(__xludf.DUMMYFUNCTION("""COMPUTED_VALUE"""),9.82)</f>
        <v>9.82</v>
      </c>
      <c r="D287" s="1">
        <f>IFERROR(__xludf.DUMMYFUNCTION("""COMPUTED_VALUE"""),9.66)</f>
        <v>9.66</v>
      </c>
      <c r="E287" s="1">
        <f>IFERROR(__xludf.DUMMYFUNCTION("""COMPUTED_VALUE"""),9.72)</f>
        <v>9.72</v>
      </c>
      <c r="F287" s="1">
        <f>IFERROR(__xludf.DUMMYFUNCTION("""COMPUTED_VALUE"""),3934472.0)</f>
        <v>3934472</v>
      </c>
      <c r="G287" s="2" t="s">
        <v>10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IFERROR(__xludf.DUMMYFUNCTION("""COMPUTED_VALUE"""),9.65)</f>
        <v>9.65</v>
      </c>
      <c r="C288" s="1">
        <f>IFERROR(__xludf.DUMMYFUNCTION("""COMPUTED_VALUE"""),9.68)</f>
        <v>9.68</v>
      </c>
      <c r="D288" s="1">
        <f>IFERROR(__xludf.DUMMYFUNCTION("""COMPUTED_VALUE"""),9.08)</f>
        <v>9.08</v>
      </c>
      <c r="E288" s="1">
        <f>IFERROR(__xludf.DUMMYFUNCTION("""COMPUTED_VALUE"""),9.4)</f>
        <v>9.4</v>
      </c>
      <c r="F288" s="1">
        <f>IFERROR(__xludf.DUMMYFUNCTION("""COMPUTED_VALUE"""),8379587.0)</f>
        <v>8379587</v>
      </c>
      <c r="G288" s="2" t="s">
        <v>10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IFERROR(__xludf.DUMMYFUNCTION("""COMPUTED_VALUE"""),9.43)</f>
        <v>9.43</v>
      </c>
      <c r="C289" s="1">
        <f>IFERROR(__xludf.DUMMYFUNCTION("""COMPUTED_VALUE"""),9.54)</f>
        <v>9.54</v>
      </c>
      <c r="D289" s="1">
        <f>IFERROR(__xludf.DUMMYFUNCTION("""COMPUTED_VALUE"""),9.38)</f>
        <v>9.38</v>
      </c>
      <c r="E289" s="1">
        <f>IFERROR(__xludf.DUMMYFUNCTION("""COMPUTED_VALUE"""),9.52)</f>
        <v>9.52</v>
      </c>
      <c r="F289" s="1">
        <f>IFERROR(__xludf.DUMMYFUNCTION("""COMPUTED_VALUE"""),3303600.0)</f>
        <v>3303600</v>
      </c>
      <c r="G289" s="2" t="s">
        <v>10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IFERROR(__xludf.DUMMYFUNCTION("""COMPUTED_VALUE"""),9.52)</f>
        <v>9.52</v>
      </c>
      <c r="C290" s="1">
        <f>IFERROR(__xludf.DUMMYFUNCTION("""COMPUTED_VALUE"""),9.67)</f>
        <v>9.67</v>
      </c>
      <c r="D290" s="1">
        <f>IFERROR(__xludf.DUMMYFUNCTION("""COMPUTED_VALUE"""),9.49)</f>
        <v>9.49</v>
      </c>
      <c r="E290" s="1">
        <f>IFERROR(__xludf.DUMMYFUNCTION("""COMPUTED_VALUE"""),9.64)</f>
        <v>9.64</v>
      </c>
      <c r="F290" s="1">
        <f>IFERROR(__xludf.DUMMYFUNCTION("""COMPUTED_VALUE"""),3834580.0)</f>
        <v>3834580</v>
      </c>
      <c r="G290" s="2" t="s">
        <v>10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IFERROR(__xludf.DUMMYFUNCTION("""COMPUTED_VALUE"""),9.62)</f>
        <v>9.62</v>
      </c>
      <c r="C291" s="1">
        <f>IFERROR(__xludf.DUMMYFUNCTION("""COMPUTED_VALUE"""),9.69)</f>
        <v>9.69</v>
      </c>
      <c r="D291" s="1">
        <f>IFERROR(__xludf.DUMMYFUNCTION("""COMPUTED_VALUE"""),9.4)</f>
        <v>9.4</v>
      </c>
      <c r="E291" s="1">
        <f>IFERROR(__xludf.DUMMYFUNCTION("""COMPUTED_VALUE"""),9.64)</f>
        <v>9.64</v>
      </c>
      <c r="F291" s="1">
        <f>IFERROR(__xludf.DUMMYFUNCTION("""COMPUTED_VALUE"""),6402638.0)</f>
        <v>6402638</v>
      </c>
      <c r="G291" s="2" t="s">
        <v>10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IFERROR(__xludf.DUMMYFUNCTION("""COMPUTED_VALUE"""),9.67)</f>
        <v>9.67</v>
      </c>
      <c r="C292" s="1">
        <f>IFERROR(__xludf.DUMMYFUNCTION("""COMPUTED_VALUE"""),9.72)</f>
        <v>9.72</v>
      </c>
      <c r="D292" s="1">
        <f>IFERROR(__xludf.DUMMYFUNCTION("""COMPUTED_VALUE"""),9.6)</f>
        <v>9.6</v>
      </c>
      <c r="E292" s="1">
        <f>IFERROR(__xludf.DUMMYFUNCTION("""COMPUTED_VALUE"""),9.65)</f>
        <v>9.65</v>
      </c>
      <c r="F292" s="1">
        <f>IFERROR(__xludf.DUMMYFUNCTION("""COMPUTED_VALUE"""),3484607.0)</f>
        <v>3484607</v>
      </c>
      <c r="G292" s="2" t="s">
        <v>10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IFERROR(__xludf.DUMMYFUNCTION("""COMPUTED_VALUE"""),9.61)</f>
        <v>9.61</v>
      </c>
      <c r="C293" s="1">
        <f>IFERROR(__xludf.DUMMYFUNCTION("""COMPUTED_VALUE"""),9.8)</f>
        <v>9.8</v>
      </c>
      <c r="D293" s="1">
        <f>IFERROR(__xludf.DUMMYFUNCTION("""COMPUTED_VALUE"""),9.58)</f>
        <v>9.58</v>
      </c>
      <c r="E293" s="1">
        <f>IFERROR(__xludf.DUMMYFUNCTION("""COMPUTED_VALUE"""),9.73)</f>
        <v>9.73</v>
      </c>
      <c r="F293" s="1">
        <f>IFERROR(__xludf.DUMMYFUNCTION("""COMPUTED_VALUE"""),3537194.0)</f>
        <v>3537194</v>
      </c>
      <c r="G293" s="2" t="s">
        <v>10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IFERROR(__xludf.DUMMYFUNCTION("""COMPUTED_VALUE"""),9.72)</f>
        <v>9.72</v>
      </c>
      <c r="C294" s="1">
        <f>IFERROR(__xludf.DUMMYFUNCTION("""COMPUTED_VALUE"""),9.72)</f>
        <v>9.72</v>
      </c>
      <c r="D294" s="1">
        <f>IFERROR(__xludf.DUMMYFUNCTION("""COMPUTED_VALUE"""),9.5)</f>
        <v>9.5</v>
      </c>
      <c r="E294" s="1">
        <f>IFERROR(__xludf.DUMMYFUNCTION("""COMPUTED_VALUE"""),9.54)</f>
        <v>9.54</v>
      </c>
      <c r="F294" s="1">
        <f>IFERROR(__xludf.DUMMYFUNCTION("""COMPUTED_VALUE"""),2685966.0)</f>
        <v>2685966</v>
      </c>
      <c r="G294" s="2" t="s">
        <v>10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IFERROR(__xludf.DUMMYFUNCTION("""COMPUTED_VALUE"""),9.68)</f>
        <v>9.68</v>
      </c>
      <c r="C295" s="1">
        <f>IFERROR(__xludf.DUMMYFUNCTION("""COMPUTED_VALUE"""),9.77)</f>
        <v>9.77</v>
      </c>
      <c r="D295" s="1">
        <f>IFERROR(__xludf.DUMMYFUNCTION("""COMPUTED_VALUE"""),9.6)</f>
        <v>9.6</v>
      </c>
      <c r="E295" s="1">
        <f>IFERROR(__xludf.DUMMYFUNCTION("""COMPUTED_VALUE"""),9.67)</f>
        <v>9.67</v>
      </c>
      <c r="F295" s="1">
        <f>IFERROR(__xludf.DUMMYFUNCTION("""COMPUTED_VALUE"""),3604576.0)</f>
        <v>3604576</v>
      </c>
      <c r="G295" s="2" t="s">
        <v>10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IFERROR(__xludf.DUMMYFUNCTION("""COMPUTED_VALUE"""),9.61)</f>
        <v>9.61</v>
      </c>
      <c r="C296" s="1">
        <f>IFERROR(__xludf.DUMMYFUNCTION("""COMPUTED_VALUE"""),9.65)</f>
        <v>9.65</v>
      </c>
      <c r="D296" s="1">
        <f>IFERROR(__xludf.DUMMYFUNCTION("""COMPUTED_VALUE"""),9.43)</f>
        <v>9.43</v>
      </c>
      <c r="E296" s="1">
        <f>IFERROR(__xludf.DUMMYFUNCTION("""COMPUTED_VALUE"""),9.52)</f>
        <v>9.52</v>
      </c>
      <c r="F296" s="1">
        <f>IFERROR(__xludf.DUMMYFUNCTION("""COMPUTED_VALUE"""),3353857.0)</f>
        <v>3353857</v>
      </c>
      <c r="G296" s="2" t="s">
        <v>10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IFERROR(__xludf.DUMMYFUNCTION("""COMPUTED_VALUE"""),9.55)</f>
        <v>9.55</v>
      </c>
      <c r="C297" s="1">
        <f>IFERROR(__xludf.DUMMYFUNCTION("""COMPUTED_VALUE"""),9.71)</f>
        <v>9.71</v>
      </c>
      <c r="D297" s="1">
        <f>IFERROR(__xludf.DUMMYFUNCTION("""COMPUTED_VALUE"""),9.53)</f>
        <v>9.53</v>
      </c>
      <c r="E297" s="1">
        <f>IFERROR(__xludf.DUMMYFUNCTION("""COMPUTED_VALUE"""),9.7)</f>
        <v>9.7</v>
      </c>
      <c r="F297" s="1">
        <f>IFERROR(__xludf.DUMMYFUNCTION("""COMPUTED_VALUE"""),3788205.0)</f>
        <v>3788205</v>
      </c>
      <c r="G297" s="2" t="s">
        <v>10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IFERROR(__xludf.DUMMYFUNCTION("""COMPUTED_VALUE"""),9.68)</f>
        <v>9.68</v>
      </c>
      <c r="C298" s="1">
        <f>IFERROR(__xludf.DUMMYFUNCTION("""COMPUTED_VALUE"""),9.83)</f>
        <v>9.83</v>
      </c>
      <c r="D298" s="1">
        <f>IFERROR(__xludf.DUMMYFUNCTION("""COMPUTED_VALUE"""),9.57)</f>
        <v>9.57</v>
      </c>
      <c r="E298" s="1">
        <f>IFERROR(__xludf.DUMMYFUNCTION("""COMPUTED_VALUE"""),9.66)</f>
        <v>9.66</v>
      </c>
      <c r="F298" s="1">
        <f>IFERROR(__xludf.DUMMYFUNCTION("""COMPUTED_VALUE"""),5680325.0)</f>
        <v>5680325</v>
      </c>
      <c r="G298" s="2" t="s">
        <v>10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IFERROR(__xludf.DUMMYFUNCTION("""COMPUTED_VALUE"""),9.71)</f>
        <v>9.71</v>
      </c>
      <c r="C299" s="1">
        <f>IFERROR(__xludf.DUMMYFUNCTION("""COMPUTED_VALUE"""),9.86)</f>
        <v>9.86</v>
      </c>
      <c r="D299" s="1">
        <f>IFERROR(__xludf.DUMMYFUNCTION("""COMPUTED_VALUE"""),9.66)</f>
        <v>9.66</v>
      </c>
      <c r="E299" s="1">
        <f>IFERROR(__xludf.DUMMYFUNCTION("""COMPUTED_VALUE"""),9.78)</f>
        <v>9.78</v>
      </c>
      <c r="F299" s="1">
        <f>IFERROR(__xludf.DUMMYFUNCTION("""COMPUTED_VALUE"""),3610906.0)</f>
        <v>3610906</v>
      </c>
      <c r="G299" s="2" t="s">
        <v>10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IFERROR(__xludf.DUMMYFUNCTION("""COMPUTED_VALUE"""),9.76)</f>
        <v>9.76</v>
      </c>
      <c r="C300" s="1">
        <f>IFERROR(__xludf.DUMMYFUNCTION("""COMPUTED_VALUE"""),9.84)</f>
        <v>9.84</v>
      </c>
      <c r="D300" s="1">
        <f>IFERROR(__xludf.DUMMYFUNCTION("""COMPUTED_VALUE"""),9.73)</f>
        <v>9.73</v>
      </c>
      <c r="E300" s="1">
        <f>IFERROR(__xludf.DUMMYFUNCTION("""COMPUTED_VALUE"""),9.82)</f>
        <v>9.82</v>
      </c>
      <c r="F300" s="1">
        <f>IFERROR(__xludf.DUMMYFUNCTION("""COMPUTED_VALUE"""),4925665.0)</f>
        <v>4925665</v>
      </c>
      <c r="G300" s="2" t="s">
        <v>10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IFERROR(__xludf.DUMMYFUNCTION("""COMPUTED_VALUE"""),9.82)</f>
        <v>9.82</v>
      </c>
      <c r="C301" s="1">
        <f>IFERROR(__xludf.DUMMYFUNCTION("""COMPUTED_VALUE"""),9.95)</f>
        <v>9.95</v>
      </c>
      <c r="D301" s="1">
        <f>IFERROR(__xludf.DUMMYFUNCTION("""COMPUTED_VALUE"""),9.76)</f>
        <v>9.76</v>
      </c>
      <c r="E301" s="1">
        <f>IFERROR(__xludf.DUMMYFUNCTION("""COMPUTED_VALUE"""),9.91)</f>
        <v>9.91</v>
      </c>
      <c r="F301" s="1">
        <f>IFERROR(__xludf.DUMMYFUNCTION("""COMPUTED_VALUE"""),4755739.0)</f>
        <v>4755739</v>
      </c>
      <c r="G301" s="2" t="s">
        <v>10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IFERROR(__xludf.DUMMYFUNCTION("""COMPUTED_VALUE"""),9.86)</f>
        <v>9.86</v>
      </c>
      <c r="C302" s="1">
        <f>IFERROR(__xludf.DUMMYFUNCTION("""COMPUTED_VALUE"""),9.9)</f>
        <v>9.9</v>
      </c>
      <c r="D302" s="1">
        <f>IFERROR(__xludf.DUMMYFUNCTION("""COMPUTED_VALUE"""),9.76)</f>
        <v>9.76</v>
      </c>
      <c r="E302" s="1">
        <f>IFERROR(__xludf.DUMMYFUNCTION("""COMPUTED_VALUE"""),9.86)</f>
        <v>9.86</v>
      </c>
      <c r="F302" s="1">
        <f>IFERROR(__xludf.DUMMYFUNCTION("""COMPUTED_VALUE"""),4059936.0)</f>
        <v>4059936</v>
      </c>
      <c r="G302" s="2" t="s">
        <v>10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IFERROR(__xludf.DUMMYFUNCTION("""COMPUTED_VALUE"""),10.0)</f>
        <v>10</v>
      </c>
      <c r="C303" s="1">
        <f>IFERROR(__xludf.DUMMYFUNCTION("""COMPUTED_VALUE"""),10.52)</f>
        <v>10.52</v>
      </c>
      <c r="D303" s="1">
        <f>IFERROR(__xludf.DUMMYFUNCTION("""COMPUTED_VALUE"""),9.95)</f>
        <v>9.95</v>
      </c>
      <c r="E303" s="1">
        <f>IFERROR(__xludf.DUMMYFUNCTION("""COMPUTED_VALUE"""),10.36)</f>
        <v>10.36</v>
      </c>
      <c r="F303" s="1">
        <f>IFERROR(__xludf.DUMMYFUNCTION("""COMPUTED_VALUE"""),1.6634546E7)</f>
        <v>16634546</v>
      </c>
      <c r="G303" s="2" t="s">
        <v>10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IFERROR(__xludf.DUMMYFUNCTION("""COMPUTED_VALUE"""),10.57)</f>
        <v>10.57</v>
      </c>
      <c r="C304" s="1">
        <f>IFERROR(__xludf.DUMMYFUNCTION("""COMPUTED_VALUE"""),10.99)</f>
        <v>10.99</v>
      </c>
      <c r="D304" s="1">
        <f>IFERROR(__xludf.DUMMYFUNCTION("""COMPUTED_VALUE"""),10.49)</f>
        <v>10.49</v>
      </c>
      <c r="E304" s="1">
        <f>IFERROR(__xludf.DUMMYFUNCTION("""COMPUTED_VALUE"""),10.95)</f>
        <v>10.95</v>
      </c>
      <c r="F304" s="1">
        <f>IFERROR(__xludf.DUMMYFUNCTION("""COMPUTED_VALUE"""),1.1835147E7)</f>
        <v>11835147</v>
      </c>
      <c r="G304" s="2" t="s">
        <v>10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IFERROR(__xludf.DUMMYFUNCTION("""COMPUTED_VALUE"""),11.0)</f>
        <v>11</v>
      </c>
      <c r="C305" s="1">
        <f>IFERROR(__xludf.DUMMYFUNCTION("""COMPUTED_VALUE"""),11.16)</f>
        <v>11.16</v>
      </c>
      <c r="D305" s="1">
        <f>IFERROR(__xludf.DUMMYFUNCTION("""COMPUTED_VALUE"""),10.74)</f>
        <v>10.74</v>
      </c>
      <c r="E305" s="1">
        <f>IFERROR(__xludf.DUMMYFUNCTION("""COMPUTED_VALUE"""),10.86)</f>
        <v>10.86</v>
      </c>
      <c r="F305" s="1">
        <f>IFERROR(__xludf.DUMMYFUNCTION("""COMPUTED_VALUE"""),7343288.0)</f>
        <v>7343288</v>
      </c>
      <c r="G305" s="2" t="s">
        <v>10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IFERROR(__xludf.DUMMYFUNCTION("""COMPUTED_VALUE"""),10.86)</f>
        <v>10.86</v>
      </c>
      <c r="C306" s="1">
        <f>IFERROR(__xludf.DUMMYFUNCTION("""COMPUTED_VALUE"""),11.11)</f>
        <v>11.11</v>
      </c>
      <c r="D306" s="1">
        <f>IFERROR(__xludf.DUMMYFUNCTION("""COMPUTED_VALUE"""),10.78)</f>
        <v>10.78</v>
      </c>
      <c r="E306" s="1">
        <f>IFERROR(__xludf.DUMMYFUNCTION("""COMPUTED_VALUE"""),10.93)</f>
        <v>10.93</v>
      </c>
      <c r="F306" s="1">
        <f>IFERROR(__xludf.DUMMYFUNCTION("""COMPUTED_VALUE"""),5844321.0)</f>
        <v>5844321</v>
      </c>
      <c r="G306" s="2" t="s">
        <v>10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IFERROR(__xludf.DUMMYFUNCTION("""COMPUTED_VALUE"""),10.95)</f>
        <v>10.95</v>
      </c>
      <c r="C307" s="1">
        <f>IFERROR(__xludf.DUMMYFUNCTION("""COMPUTED_VALUE"""),10.96)</f>
        <v>10.96</v>
      </c>
      <c r="D307" s="1">
        <f>IFERROR(__xludf.DUMMYFUNCTION("""COMPUTED_VALUE"""),10.64)</f>
        <v>10.64</v>
      </c>
      <c r="E307" s="1">
        <f>IFERROR(__xludf.DUMMYFUNCTION("""COMPUTED_VALUE"""),10.73)</f>
        <v>10.73</v>
      </c>
      <c r="F307" s="1">
        <f>IFERROR(__xludf.DUMMYFUNCTION("""COMPUTED_VALUE"""),4489898.0)</f>
        <v>4489898</v>
      </c>
      <c r="G307" s="2" t="s">
        <v>10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IFERROR(__xludf.DUMMYFUNCTION("""COMPUTED_VALUE"""),10.5)</f>
        <v>10.5</v>
      </c>
      <c r="C308" s="1">
        <f>IFERROR(__xludf.DUMMYFUNCTION("""COMPUTED_VALUE"""),10.63)</f>
        <v>10.63</v>
      </c>
      <c r="D308" s="1">
        <f>IFERROR(__xludf.DUMMYFUNCTION("""COMPUTED_VALUE"""),10.35)</f>
        <v>10.35</v>
      </c>
      <c r="E308" s="1">
        <f>IFERROR(__xludf.DUMMYFUNCTION("""COMPUTED_VALUE"""),10.57)</f>
        <v>10.57</v>
      </c>
      <c r="F308" s="1">
        <f>IFERROR(__xludf.DUMMYFUNCTION("""COMPUTED_VALUE"""),4637680.0)</f>
        <v>4637680</v>
      </c>
      <c r="G308" s="2" t="s">
        <v>10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IFERROR(__xludf.DUMMYFUNCTION("""COMPUTED_VALUE"""),10.55)</f>
        <v>10.55</v>
      </c>
      <c r="C309" s="1">
        <f>IFERROR(__xludf.DUMMYFUNCTION("""COMPUTED_VALUE"""),10.6)</f>
        <v>10.6</v>
      </c>
      <c r="D309" s="1">
        <f>IFERROR(__xludf.DUMMYFUNCTION("""COMPUTED_VALUE"""),9.76)</f>
        <v>9.76</v>
      </c>
      <c r="E309" s="1">
        <f>IFERROR(__xludf.DUMMYFUNCTION("""COMPUTED_VALUE"""),9.97)</f>
        <v>9.97</v>
      </c>
      <c r="F309" s="1">
        <f>IFERROR(__xludf.DUMMYFUNCTION("""COMPUTED_VALUE"""),1.1545753E7)</f>
        <v>11545753</v>
      </c>
      <c r="G309" s="2" t="s">
        <v>10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IFERROR(__xludf.DUMMYFUNCTION("""COMPUTED_VALUE"""),10.02)</f>
        <v>10.02</v>
      </c>
      <c r="C310" s="1">
        <f>IFERROR(__xludf.DUMMYFUNCTION("""COMPUTED_VALUE"""),10.29)</f>
        <v>10.29</v>
      </c>
      <c r="D310" s="1">
        <f>IFERROR(__xludf.DUMMYFUNCTION("""COMPUTED_VALUE"""),9.78)</f>
        <v>9.78</v>
      </c>
      <c r="E310" s="1">
        <f>IFERROR(__xludf.DUMMYFUNCTION("""COMPUTED_VALUE"""),10.2)</f>
        <v>10.2</v>
      </c>
      <c r="F310" s="1">
        <f>IFERROR(__xludf.DUMMYFUNCTION("""COMPUTED_VALUE"""),6423556.0)</f>
        <v>6423556</v>
      </c>
      <c r="G310" s="2" t="s">
        <v>10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IFERROR(__xludf.DUMMYFUNCTION("""COMPUTED_VALUE"""),10.38)</f>
        <v>10.38</v>
      </c>
      <c r="C311" s="1">
        <f>IFERROR(__xludf.DUMMYFUNCTION("""COMPUTED_VALUE"""),10.42)</f>
        <v>10.42</v>
      </c>
      <c r="D311" s="1">
        <f>IFERROR(__xludf.DUMMYFUNCTION("""COMPUTED_VALUE"""),9.81)</f>
        <v>9.81</v>
      </c>
      <c r="E311" s="1">
        <f>IFERROR(__xludf.DUMMYFUNCTION("""COMPUTED_VALUE"""),9.89)</f>
        <v>9.89</v>
      </c>
      <c r="F311" s="1">
        <f>IFERROR(__xludf.DUMMYFUNCTION("""COMPUTED_VALUE"""),9217332.0)</f>
        <v>9217332</v>
      </c>
      <c r="G311" s="2" t="s">
        <v>10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IFERROR(__xludf.DUMMYFUNCTION("""COMPUTED_VALUE"""),10.13)</f>
        <v>10.13</v>
      </c>
      <c r="C312" s="1">
        <f>IFERROR(__xludf.DUMMYFUNCTION("""COMPUTED_VALUE"""),10.24)</f>
        <v>10.24</v>
      </c>
      <c r="D312" s="1">
        <f>IFERROR(__xludf.DUMMYFUNCTION("""COMPUTED_VALUE"""),9.8)</f>
        <v>9.8</v>
      </c>
      <c r="E312" s="1">
        <f>IFERROR(__xludf.DUMMYFUNCTION("""COMPUTED_VALUE"""),9.96)</f>
        <v>9.96</v>
      </c>
      <c r="F312" s="1">
        <f>IFERROR(__xludf.DUMMYFUNCTION("""COMPUTED_VALUE"""),6959015.0)</f>
        <v>6959015</v>
      </c>
      <c r="G312" s="2" t="s">
        <v>10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IFERROR(__xludf.DUMMYFUNCTION("""COMPUTED_VALUE"""),9.98)</f>
        <v>9.98</v>
      </c>
      <c r="C313" s="1">
        <f>IFERROR(__xludf.DUMMYFUNCTION("""COMPUTED_VALUE"""),10.02)</f>
        <v>10.02</v>
      </c>
      <c r="D313" s="1">
        <f>IFERROR(__xludf.DUMMYFUNCTION("""COMPUTED_VALUE"""),9.32)</f>
        <v>9.32</v>
      </c>
      <c r="E313" s="1">
        <f>IFERROR(__xludf.DUMMYFUNCTION("""COMPUTED_VALUE"""),9.51)</f>
        <v>9.51</v>
      </c>
      <c r="F313" s="1">
        <f>IFERROR(__xludf.DUMMYFUNCTION("""COMPUTED_VALUE"""),1.0879696E7)</f>
        <v>10879696</v>
      </c>
      <c r="G313" s="2" t="s">
        <v>10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IFERROR(__xludf.DUMMYFUNCTION("""COMPUTED_VALUE"""),9.42)</f>
        <v>9.42</v>
      </c>
      <c r="C314" s="1">
        <f>IFERROR(__xludf.DUMMYFUNCTION("""COMPUTED_VALUE"""),9.81)</f>
        <v>9.81</v>
      </c>
      <c r="D314" s="1">
        <f>IFERROR(__xludf.DUMMYFUNCTION("""COMPUTED_VALUE"""),9.1)</f>
        <v>9.1</v>
      </c>
      <c r="E314" s="1">
        <f>IFERROR(__xludf.DUMMYFUNCTION("""COMPUTED_VALUE"""),9.73)</f>
        <v>9.73</v>
      </c>
      <c r="F314" s="1">
        <f>IFERROR(__xludf.DUMMYFUNCTION("""COMPUTED_VALUE"""),6293958.0)</f>
        <v>6293958</v>
      </c>
      <c r="G314" s="2" t="s">
        <v>10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IFERROR(__xludf.DUMMYFUNCTION("""COMPUTED_VALUE"""),9.81)</f>
        <v>9.81</v>
      </c>
      <c r="C315" s="1">
        <f>IFERROR(__xludf.DUMMYFUNCTION("""COMPUTED_VALUE"""),10.04)</f>
        <v>10.04</v>
      </c>
      <c r="D315" s="1">
        <f>IFERROR(__xludf.DUMMYFUNCTION("""COMPUTED_VALUE"""),9.79)</f>
        <v>9.79</v>
      </c>
      <c r="E315" s="1">
        <f>IFERROR(__xludf.DUMMYFUNCTION("""COMPUTED_VALUE"""),9.93)</f>
        <v>9.93</v>
      </c>
      <c r="F315" s="1">
        <f>IFERROR(__xludf.DUMMYFUNCTION("""COMPUTED_VALUE"""),5269109.0)</f>
        <v>5269109</v>
      </c>
      <c r="G315" s="2" t="s">
        <v>10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IFERROR(__xludf.DUMMYFUNCTION("""COMPUTED_VALUE"""),9.93)</f>
        <v>9.93</v>
      </c>
      <c r="C316" s="1">
        <f>IFERROR(__xludf.DUMMYFUNCTION("""COMPUTED_VALUE"""),9.99)</f>
        <v>9.99</v>
      </c>
      <c r="D316" s="1">
        <f>IFERROR(__xludf.DUMMYFUNCTION("""COMPUTED_VALUE"""),9.82)</f>
        <v>9.82</v>
      </c>
      <c r="E316" s="1">
        <f>IFERROR(__xludf.DUMMYFUNCTION("""COMPUTED_VALUE"""),9.88)</f>
        <v>9.88</v>
      </c>
      <c r="F316" s="1">
        <f>IFERROR(__xludf.DUMMYFUNCTION("""COMPUTED_VALUE"""),2731711.0)</f>
        <v>2731711</v>
      </c>
      <c r="G316" s="2" t="s">
        <v>10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IFERROR(__xludf.DUMMYFUNCTION("""COMPUTED_VALUE"""),9.86)</f>
        <v>9.86</v>
      </c>
      <c r="C317" s="1">
        <f>IFERROR(__xludf.DUMMYFUNCTION("""COMPUTED_VALUE"""),9.94)</f>
        <v>9.94</v>
      </c>
      <c r="D317" s="1">
        <f>IFERROR(__xludf.DUMMYFUNCTION("""COMPUTED_VALUE"""),9.74)</f>
        <v>9.74</v>
      </c>
      <c r="E317" s="1">
        <f>IFERROR(__xludf.DUMMYFUNCTION("""COMPUTED_VALUE"""),9.84)</f>
        <v>9.84</v>
      </c>
      <c r="F317" s="1">
        <f>IFERROR(__xludf.DUMMYFUNCTION("""COMPUTED_VALUE"""),4018573.0)</f>
        <v>4018573</v>
      </c>
      <c r="G317" s="2" t="s">
        <v>10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IFERROR(__xludf.DUMMYFUNCTION("""COMPUTED_VALUE"""),9.79)</f>
        <v>9.79</v>
      </c>
      <c r="C318" s="1">
        <f>IFERROR(__xludf.DUMMYFUNCTION("""COMPUTED_VALUE"""),9.79)</f>
        <v>9.79</v>
      </c>
      <c r="D318" s="1">
        <f>IFERROR(__xludf.DUMMYFUNCTION("""COMPUTED_VALUE"""),9.3)</f>
        <v>9.3</v>
      </c>
      <c r="E318" s="1">
        <f>IFERROR(__xludf.DUMMYFUNCTION("""COMPUTED_VALUE"""),9.37)</f>
        <v>9.37</v>
      </c>
      <c r="F318" s="1">
        <f>IFERROR(__xludf.DUMMYFUNCTION("""COMPUTED_VALUE"""),7098932.0)</f>
        <v>7098932</v>
      </c>
      <c r="G318" s="2" t="s">
        <v>10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IFERROR(__xludf.DUMMYFUNCTION("""COMPUTED_VALUE"""),9.48)</f>
        <v>9.48</v>
      </c>
      <c r="C319" s="1">
        <f>IFERROR(__xludf.DUMMYFUNCTION("""COMPUTED_VALUE"""),9.55)</f>
        <v>9.55</v>
      </c>
      <c r="D319" s="1">
        <f>IFERROR(__xludf.DUMMYFUNCTION("""COMPUTED_VALUE"""),9.37)</f>
        <v>9.37</v>
      </c>
      <c r="E319" s="1">
        <f>IFERROR(__xludf.DUMMYFUNCTION("""COMPUTED_VALUE"""),9.49)</f>
        <v>9.49</v>
      </c>
      <c r="F319" s="1">
        <f>IFERROR(__xludf.DUMMYFUNCTION("""COMPUTED_VALUE"""),3600319.0)</f>
        <v>3600319</v>
      </c>
      <c r="G319" s="2" t="s">
        <v>10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IFERROR(__xludf.DUMMYFUNCTION("""COMPUTED_VALUE"""),9.65)</f>
        <v>9.65</v>
      </c>
      <c r="C320" s="1">
        <f>IFERROR(__xludf.DUMMYFUNCTION("""COMPUTED_VALUE"""),9.65)</f>
        <v>9.65</v>
      </c>
      <c r="D320" s="1">
        <f>IFERROR(__xludf.DUMMYFUNCTION("""COMPUTED_VALUE"""),9.42)</f>
        <v>9.42</v>
      </c>
      <c r="E320" s="1">
        <f>IFERROR(__xludf.DUMMYFUNCTION("""COMPUTED_VALUE"""),9.44)</f>
        <v>9.44</v>
      </c>
      <c r="F320" s="1">
        <f>IFERROR(__xludf.DUMMYFUNCTION("""COMPUTED_VALUE"""),3483285.0)</f>
        <v>3483285</v>
      </c>
      <c r="G320" s="2" t="s">
        <v>10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IFERROR(__xludf.DUMMYFUNCTION("""COMPUTED_VALUE"""),9.53)</f>
        <v>9.53</v>
      </c>
      <c r="C321" s="1">
        <f>IFERROR(__xludf.DUMMYFUNCTION("""COMPUTED_VALUE"""),9.65)</f>
        <v>9.65</v>
      </c>
      <c r="D321" s="1">
        <f>IFERROR(__xludf.DUMMYFUNCTION("""COMPUTED_VALUE"""),9.47)</f>
        <v>9.47</v>
      </c>
      <c r="E321" s="1">
        <f>IFERROR(__xludf.DUMMYFUNCTION("""COMPUTED_VALUE"""),9.65)</f>
        <v>9.65</v>
      </c>
      <c r="F321" s="1">
        <f>IFERROR(__xludf.DUMMYFUNCTION("""COMPUTED_VALUE"""),2671390.0)</f>
        <v>2671390</v>
      </c>
      <c r="G321" s="2" t="s">
        <v>10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IFERROR(__xludf.DUMMYFUNCTION("""COMPUTED_VALUE"""),9.78)</f>
        <v>9.78</v>
      </c>
      <c r="C322" s="1">
        <f>IFERROR(__xludf.DUMMYFUNCTION("""COMPUTED_VALUE"""),9.98)</f>
        <v>9.98</v>
      </c>
      <c r="D322" s="1">
        <f>IFERROR(__xludf.DUMMYFUNCTION("""COMPUTED_VALUE"""),9.77)</f>
        <v>9.77</v>
      </c>
      <c r="E322" s="1">
        <f>IFERROR(__xludf.DUMMYFUNCTION("""COMPUTED_VALUE"""),9.95)</f>
        <v>9.95</v>
      </c>
      <c r="F322" s="1">
        <f>IFERROR(__xludf.DUMMYFUNCTION("""COMPUTED_VALUE"""),5461479.0)</f>
        <v>5461479</v>
      </c>
      <c r="G322" s="2" t="s">
        <v>10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IFERROR(__xludf.DUMMYFUNCTION("""COMPUTED_VALUE"""),10.19)</f>
        <v>10.19</v>
      </c>
      <c r="C323" s="1">
        <f>IFERROR(__xludf.DUMMYFUNCTION("""COMPUTED_VALUE"""),10.33)</f>
        <v>10.33</v>
      </c>
      <c r="D323" s="1">
        <f>IFERROR(__xludf.DUMMYFUNCTION("""COMPUTED_VALUE"""),10.11)</f>
        <v>10.11</v>
      </c>
      <c r="E323" s="1">
        <f>IFERROR(__xludf.DUMMYFUNCTION("""COMPUTED_VALUE"""),10.26)</f>
        <v>10.26</v>
      </c>
      <c r="F323" s="1">
        <f>IFERROR(__xludf.DUMMYFUNCTION("""COMPUTED_VALUE"""),5983254.0)</f>
        <v>5983254</v>
      </c>
      <c r="G323" s="2" t="s">
        <v>10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IFERROR(__xludf.DUMMYFUNCTION("""COMPUTED_VALUE"""),10.22)</f>
        <v>10.22</v>
      </c>
      <c r="C324" s="1">
        <f>IFERROR(__xludf.DUMMYFUNCTION("""COMPUTED_VALUE"""),10.31)</f>
        <v>10.31</v>
      </c>
      <c r="D324" s="1">
        <f>IFERROR(__xludf.DUMMYFUNCTION("""COMPUTED_VALUE"""),10.13)</f>
        <v>10.13</v>
      </c>
      <c r="E324" s="1">
        <f>IFERROR(__xludf.DUMMYFUNCTION("""COMPUTED_VALUE"""),10.2)</f>
        <v>10.2</v>
      </c>
      <c r="F324" s="1">
        <f>IFERROR(__xludf.DUMMYFUNCTION("""COMPUTED_VALUE"""),3244781.0)</f>
        <v>3244781</v>
      </c>
      <c r="G324" s="2" t="s">
        <v>10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IFERROR(__xludf.DUMMYFUNCTION("""COMPUTED_VALUE"""),10.24)</f>
        <v>10.24</v>
      </c>
      <c r="C325" s="1">
        <f>IFERROR(__xludf.DUMMYFUNCTION("""COMPUTED_VALUE"""),10.49)</f>
        <v>10.49</v>
      </c>
      <c r="D325" s="1">
        <f>IFERROR(__xludf.DUMMYFUNCTION("""COMPUTED_VALUE"""),10.18)</f>
        <v>10.18</v>
      </c>
      <c r="E325" s="1">
        <f>IFERROR(__xludf.DUMMYFUNCTION("""COMPUTED_VALUE"""),10.32)</f>
        <v>10.32</v>
      </c>
      <c r="F325" s="1">
        <f>IFERROR(__xludf.DUMMYFUNCTION("""COMPUTED_VALUE"""),3874874.0)</f>
        <v>3874874</v>
      </c>
      <c r="G325" s="2" t="s">
        <v>10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IFERROR(__xludf.DUMMYFUNCTION("""COMPUTED_VALUE"""),10.3)</f>
        <v>10.3</v>
      </c>
      <c r="C326" s="1">
        <f>IFERROR(__xludf.DUMMYFUNCTION("""COMPUTED_VALUE"""),10.41)</f>
        <v>10.41</v>
      </c>
      <c r="D326" s="1">
        <f>IFERROR(__xludf.DUMMYFUNCTION("""COMPUTED_VALUE"""),10.1)</f>
        <v>10.1</v>
      </c>
      <c r="E326" s="1">
        <f>IFERROR(__xludf.DUMMYFUNCTION("""COMPUTED_VALUE"""),10.16)</f>
        <v>10.16</v>
      </c>
      <c r="F326" s="1">
        <f>IFERROR(__xludf.DUMMYFUNCTION("""COMPUTED_VALUE"""),3454800.0)</f>
        <v>3454800</v>
      </c>
      <c r="G326" s="2" t="s">
        <v>10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IFERROR(__xludf.DUMMYFUNCTION("""COMPUTED_VALUE"""),10.21)</f>
        <v>10.21</v>
      </c>
      <c r="C327" s="1">
        <f>IFERROR(__xludf.DUMMYFUNCTION("""COMPUTED_VALUE"""),10.3)</f>
        <v>10.3</v>
      </c>
      <c r="D327" s="1">
        <f>IFERROR(__xludf.DUMMYFUNCTION("""COMPUTED_VALUE"""),10.14)</f>
        <v>10.14</v>
      </c>
      <c r="E327" s="1">
        <f>IFERROR(__xludf.DUMMYFUNCTION("""COMPUTED_VALUE"""),10.27)</f>
        <v>10.27</v>
      </c>
      <c r="F327" s="1">
        <f>IFERROR(__xludf.DUMMYFUNCTION("""COMPUTED_VALUE"""),2778977.0)</f>
        <v>2778977</v>
      </c>
      <c r="G327" s="2" t="s">
        <v>10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IFERROR(__xludf.DUMMYFUNCTION("""COMPUTED_VALUE"""),10.33)</f>
        <v>10.33</v>
      </c>
      <c r="C328" s="1">
        <f>IFERROR(__xludf.DUMMYFUNCTION("""COMPUTED_VALUE"""),10.4)</f>
        <v>10.4</v>
      </c>
      <c r="D328" s="1">
        <f>IFERROR(__xludf.DUMMYFUNCTION("""COMPUTED_VALUE"""),10.04)</f>
        <v>10.04</v>
      </c>
      <c r="E328" s="1">
        <f>IFERROR(__xludf.DUMMYFUNCTION("""COMPUTED_VALUE"""),10.09)</f>
        <v>10.09</v>
      </c>
      <c r="F328" s="1">
        <f>IFERROR(__xludf.DUMMYFUNCTION("""COMPUTED_VALUE"""),3532842.0)</f>
        <v>3532842</v>
      </c>
      <c r="G328" s="2" t="s">
        <v>10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IFERROR(__xludf.DUMMYFUNCTION("""COMPUTED_VALUE"""),10.09)</f>
        <v>10.09</v>
      </c>
      <c r="C329" s="1">
        <f>IFERROR(__xludf.DUMMYFUNCTION("""COMPUTED_VALUE"""),10.09)</f>
        <v>10.09</v>
      </c>
      <c r="D329" s="1">
        <f>IFERROR(__xludf.DUMMYFUNCTION("""COMPUTED_VALUE"""),9.51)</f>
        <v>9.51</v>
      </c>
      <c r="E329" s="1">
        <f>IFERROR(__xludf.DUMMYFUNCTION("""COMPUTED_VALUE"""),9.57)</f>
        <v>9.57</v>
      </c>
      <c r="F329" s="1">
        <f>IFERROR(__xludf.DUMMYFUNCTION("""COMPUTED_VALUE"""),7751938.0)</f>
        <v>7751938</v>
      </c>
      <c r="G329" s="2" t="s">
        <v>10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IFERROR(__xludf.DUMMYFUNCTION("""COMPUTED_VALUE"""),9.58)</f>
        <v>9.58</v>
      </c>
      <c r="C330" s="1">
        <f>IFERROR(__xludf.DUMMYFUNCTION("""COMPUTED_VALUE"""),9.82)</f>
        <v>9.82</v>
      </c>
      <c r="D330" s="1">
        <f>IFERROR(__xludf.DUMMYFUNCTION("""COMPUTED_VALUE"""),9.45)</f>
        <v>9.45</v>
      </c>
      <c r="E330" s="1">
        <f>IFERROR(__xludf.DUMMYFUNCTION("""COMPUTED_VALUE"""),9.55)</f>
        <v>9.55</v>
      </c>
      <c r="F330" s="1">
        <f>IFERROR(__xludf.DUMMYFUNCTION("""COMPUTED_VALUE"""),4869941.0)</f>
        <v>4869941</v>
      </c>
      <c r="G330" s="2" t="s">
        <v>10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IFERROR(__xludf.DUMMYFUNCTION("""COMPUTED_VALUE"""),9.56)</f>
        <v>9.56</v>
      </c>
      <c r="C331" s="1">
        <f>IFERROR(__xludf.DUMMYFUNCTION("""COMPUTED_VALUE"""),9.59)</f>
        <v>9.59</v>
      </c>
      <c r="D331" s="1">
        <f>IFERROR(__xludf.DUMMYFUNCTION("""COMPUTED_VALUE"""),9.33)</f>
        <v>9.33</v>
      </c>
      <c r="E331" s="1">
        <f>IFERROR(__xludf.DUMMYFUNCTION("""COMPUTED_VALUE"""),9.51)</f>
        <v>9.51</v>
      </c>
      <c r="F331" s="1">
        <f>IFERROR(__xludf.DUMMYFUNCTION("""COMPUTED_VALUE"""),4359773.0)</f>
        <v>4359773</v>
      </c>
      <c r="G331" s="2" t="s">
        <v>10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IFERROR(__xludf.DUMMYFUNCTION("""COMPUTED_VALUE"""),9.56)</f>
        <v>9.56</v>
      </c>
      <c r="C332" s="1">
        <f>IFERROR(__xludf.DUMMYFUNCTION("""COMPUTED_VALUE"""),9.66)</f>
        <v>9.66</v>
      </c>
      <c r="D332" s="1">
        <f>IFERROR(__xludf.DUMMYFUNCTION("""COMPUTED_VALUE"""),9.53)</f>
        <v>9.53</v>
      </c>
      <c r="E332" s="1">
        <f>IFERROR(__xludf.DUMMYFUNCTION("""COMPUTED_VALUE"""),9.64)</f>
        <v>9.64</v>
      </c>
      <c r="F332" s="1">
        <f>IFERROR(__xludf.DUMMYFUNCTION("""COMPUTED_VALUE"""),2819240.0)</f>
        <v>2819240</v>
      </c>
      <c r="G332" s="2" t="s">
        <v>10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IFERROR(__xludf.DUMMYFUNCTION("""COMPUTED_VALUE"""),9.7)</f>
        <v>9.7</v>
      </c>
      <c r="C333" s="1">
        <f>IFERROR(__xludf.DUMMYFUNCTION("""COMPUTED_VALUE"""),9.79)</f>
        <v>9.79</v>
      </c>
      <c r="D333" s="1">
        <f>IFERROR(__xludf.DUMMYFUNCTION("""COMPUTED_VALUE"""),9.68)</f>
        <v>9.68</v>
      </c>
      <c r="E333" s="1">
        <f>IFERROR(__xludf.DUMMYFUNCTION("""COMPUTED_VALUE"""),9.72)</f>
        <v>9.72</v>
      </c>
      <c r="F333" s="1">
        <f>IFERROR(__xludf.DUMMYFUNCTION("""COMPUTED_VALUE"""),3259174.0)</f>
        <v>3259174</v>
      </c>
      <c r="G333" s="2" t="s">
        <v>10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IFERROR(__xludf.DUMMYFUNCTION("""COMPUTED_VALUE"""),9.93)</f>
        <v>9.93</v>
      </c>
      <c r="C334" s="1">
        <f>IFERROR(__xludf.DUMMYFUNCTION("""COMPUTED_VALUE"""),9.98)</f>
        <v>9.98</v>
      </c>
      <c r="D334" s="1">
        <f>IFERROR(__xludf.DUMMYFUNCTION("""COMPUTED_VALUE"""),9.71)</f>
        <v>9.71</v>
      </c>
      <c r="E334" s="1">
        <f>IFERROR(__xludf.DUMMYFUNCTION("""COMPUTED_VALUE"""),9.81)</f>
        <v>9.81</v>
      </c>
      <c r="F334" s="1">
        <f>IFERROR(__xludf.DUMMYFUNCTION("""COMPUTED_VALUE"""),4060961.0)</f>
        <v>4060961</v>
      </c>
      <c r="G334" s="2" t="s">
        <v>10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IFERROR(__xludf.DUMMYFUNCTION("""COMPUTED_VALUE"""),9.85)</f>
        <v>9.85</v>
      </c>
      <c r="C335" s="1">
        <f>IFERROR(__xludf.DUMMYFUNCTION("""COMPUTED_VALUE"""),9.91)</f>
        <v>9.91</v>
      </c>
      <c r="D335" s="1">
        <f>IFERROR(__xludf.DUMMYFUNCTION("""COMPUTED_VALUE"""),9.79)</f>
        <v>9.79</v>
      </c>
      <c r="E335" s="1">
        <f>IFERROR(__xludf.DUMMYFUNCTION("""COMPUTED_VALUE"""),9.84)</f>
        <v>9.84</v>
      </c>
      <c r="F335" s="1">
        <f>IFERROR(__xludf.DUMMYFUNCTION("""COMPUTED_VALUE"""),3196824.0)</f>
        <v>3196824</v>
      </c>
      <c r="G335" s="2" t="s">
        <v>10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IFERROR(__xludf.DUMMYFUNCTION("""COMPUTED_VALUE"""),9.81)</f>
        <v>9.81</v>
      </c>
      <c r="C336" s="1">
        <f>IFERROR(__xludf.DUMMYFUNCTION("""COMPUTED_VALUE"""),9.82)</f>
        <v>9.82</v>
      </c>
      <c r="D336" s="1">
        <f>IFERROR(__xludf.DUMMYFUNCTION("""COMPUTED_VALUE"""),9.6)</f>
        <v>9.6</v>
      </c>
      <c r="E336" s="1">
        <f>IFERROR(__xludf.DUMMYFUNCTION("""COMPUTED_VALUE"""),9.74)</f>
        <v>9.74</v>
      </c>
      <c r="F336" s="1">
        <f>IFERROR(__xludf.DUMMYFUNCTION("""COMPUTED_VALUE"""),2707175.0)</f>
        <v>2707175</v>
      </c>
      <c r="G336" s="2" t="s">
        <v>10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IFERROR(__xludf.DUMMYFUNCTION("""COMPUTED_VALUE"""),9.8)</f>
        <v>9.8</v>
      </c>
      <c r="C337" s="1">
        <f>IFERROR(__xludf.DUMMYFUNCTION("""COMPUTED_VALUE"""),9.88)</f>
        <v>9.88</v>
      </c>
      <c r="D337" s="1">
        <f>IFERROR(__xludf.DUMMYFUNCTION("""COMPUTED_VALUE"""),9.75)</f>
        <v>9.75</v>
      </c>
      <c r="E337" s="1">
        <f>IFERROR(__xludf.DUMMYFUNCTION("""COMPUTED_VALUE"""),9.79)</f>
        <v>9.79</v>
      </c>
      <c r="F337" s="1">
        <f>IFERROR(__xludf.DUMMYFUNCTION("""COMPUTED_VALUE"""),2784133.0)</f>
        <v>2784133</v>
      </c>
      <c r="G337" s="2" t="s">
        <v>10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IFERROR(__xludf.DUMMYFUNCTION("""COMPUTED_VALUE"""),9.74)</f>
        <v>9.74</v>
      </c>
      <c r="C338" s="1">
        <f>IFERROR(__xludf.DUMMYFUNCTION("""COMPUTED_VALUE"""),9.75)</f>
        <v>9.75</v>
      </c>
      <c r="D338" s="1">
        <f>IFERROR(__xludf.DUMMYFUNCTION("""COMPUTED_VALUE"""),9.56)</f>
        <v>9.56</v>
      </c>
      <c r="E338" s="1">
        <f>IFERROR(__xludf.DUMMYFUNCTION("""COMPUTED_VALUE"""),9.69)</f>
        <v>9.69</v>
      </c>
      <c r="F338" s="1">
        <f>IFERROR(__xludf.DUMMYFUNCTION("""COMPUTED_VALUE"""),2960763.0)</f>
        <v>2960763</v>
      </c>
      <c r="G338" s="2" t="s">
        <v>10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IFERROR(__xludf.DUMMYFUNCTION("""COMPUTED_VALUE"""),9.66)</f>
        <v>9.66</v>
      </c>
      <c r="C339" s="1">
        <f>IFERROR(__xludf.DUMMYFUNCTION("""COMPUTED_VALUE"""),9.66)</f>
        <v>9.66</v>
      </c>
      <c r="D339" s="1">
        <f>IFERROR(__xludf.DUMMYFUNCTION("""COMPUTED_VALUE"""),9.36)</f>
        <v>9.36</v>
      </c>
      <c r="E339" s="1">
        <f>IFERROR(__xludf.DUMMYFUNCTION("""COMPUTED_VALUE"""),9.49)</f>
        <v>9.49</v>
      </c>
      <c r="F339" s="1">
        <f>IFERROR(__xludf.DUMMYFUNCTION("""COMPUTED_VALUE"""),3388440.0)</f>
        <v>3388440</v>
      </c>
      <c r="G339" s="2" t="s">
        <v>10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IFERROR(__xludf.DUMMYFUNCTION("""COMPUTED_VALUE"""),9.48)</f>
        <v>9.48</v>
      </c>
      <c r="C340" s="1">
        <f>IFERROR(__xludf.DUMMYFUNCTION("""COMPUTED_VALUE"""),9.78)</f>
        <v>9.78</v>
      </c>
      <c r="D340" s="1">
        <f>IFERROR(__xludf.DUMMYFUNCTION("""COMPUTED_VALUE"""),9.43)</f>
        <v>9.43</v>
      </c>
      <c r="E340" s="1">
        <f>IFERROR(__xludf.DUMMYFUNCTION("""COMPUTED_VALUE"""),9.57)</f>
        <v>9.57</v>
      </c>
      <c r="F340" s="1">
        <f>IFERROR(__xludf.DUMMYFUNCTION("""COMPUTED_VALUE"""),3868505.0)</f>
        <v>3868505</v>
      </c>
      <c r="G340" s="2" t="s">
        <v>10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IFERROR(__xludf.DUMMYFUNCTION("""COMPUTED_VALUE"""),9.58)</f>
        <v>9.58</v>
      </c>
      <c r="C341" s="1">
        <f>IFERROR(__xludf.DUMMYFUNCTION("""COMPUTED_VALUE"""),9.74)</f>
        <v>9.74</v>
      </c>
      <c r="D341" s="1">
        <f>IFERROR(__xludf.DUMMYFUNCTION("""COMPUTED_VALUE"""),9.49)</f>
        <v>9.49</v>
      </c>
      <c r="E341" s="1">
        <f>IFERROR(__xludf.DUMMYFUNCTION("""COMPUTED_VALUE"""),9.73)</f>
        <v>9.73</v>
      </c>
      <c r="F341" s="1">
        <f>IFERROR(__xludf.DUMMYFUNCTION("""COMPUTED_VALUE"""),3542205.0)</f>
        <v>3542205</v>
      </c>
      <c r="G341" s="2" t="s">
        <v>10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IFERROR(__xludf.DUMMYFUNCTION("""COMPUTED_VALUE"""),9.73)</f>
        <v>9.73</v>
      </c>
      <c r="C342" s="1">
        <f>IFERROR(__xludf.DUMMYFUNCTION("""COMPUTED_VALUE"""),9.89)</f>
        <v>9.89</v>
      </c>
      <c r="D342" s="1">
        <f>IFERROR(__xludf.DUMMYFUNCTION("""COMPUTED_VALUE"""),9.59)</f>
        <v>9.59</v>
      </c>
      <c r="E342" s="1">
        <f>IFERROR(__xludf.DUMMYFUNCTION("""COMPUTED_VALUE"""),9.65)</f>
        <v>9.65</v>
      </c>
      <c r="F342" s="1">
        <f>IFERROR(__xludf.DUMMYFUNCTION("""COMPUTED_VALUE"""),4874307.0)</f>
        <v>4874307</v>
      </c>
      <c r="G342" s="2" t="s">
        <v>10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IFERROR(__xludf.DUMMYFUNCTION("""COMPUTED_VALUE"""),9.5)</f>
        <v>9.5</v>
      </c>
      <c r="C343" s="1">
        <f>IFERROR(__xludf.DUMMYFUNCTION("""COMPUTED_VALUE"""),9.57)</f>
        <v>9.57</v>
      </c>
      <c r="D343" s="1">
        <f>IFERROR(__xludf.DUMMYFUNCTION("""COMPUTED_VALUE"""),9.03)</f>
        <v>9.03</v>
      </c>
      <c r="E343" s="1">
        <f>IFERROR(__xludf.DUMMYFUNCTION("""COMPUTED_VALUE"""),9.53)</f>
        <v>9.53</v>
      </c>
      <c r="F343" s="1">
        <f>IFERROR(__xludf.DUMMYFUNCTION("""COMPUTED_VALUE"""),8363222.0)</f>
        <v>8363222</v>
      </c>
      <c r="G343" s="2" t="s">
        <v>10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IFERROR(__xludf.DUMMYFUNCTION("""COMPUTED_VALUE"""),9.56)</f>
        <v>9.56</v>
      </c>
      <c r="C344" s="1">
        <f>IFERROR(__xludf.DUMMYFUNCTION("""COMPUTED_VALUE"""),9.56)</f>
        <v>9.56</v>
      </c>
      <c r="D344" s="1">
        <f>IFERROR(__xludf.DUMMYFUNCTION("""COMPUTED_VALUE"""),9.15)</f>
        <v>9.15</v>
      </c>
      <c r="E344" s="1">
        <f>IFERROR(__xludf.DUMMYFUNCTION("""COMPUTED_VALUE"""),9.2)</f>
        <v>9.2</v>
      </c>
      <c r="F344" s="1">
        <f>IFERROR(__xludf.DUMMYFUNCTION("""COMPUTED_VALUE"""),5790719.0)</f>
        <v>5790719</v>
      </c>
      <c r="G344" s="2" t="s">
        <v>10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IFERROR(__xludf.DUMMYFUNCTION("""COMPUTED_VALUE"""),9.23)</f>
        <v>9.23</v>
      </c>
      <c r="C345" s="1">
        <f>IFERROR(__xludf.DUMMYFUNCTION("""COMPUTED_VALUE"""),9.36)</f>
        <v>9.36</v>
      </c>
      <c r="D345" s="1">
        <f>IFERROR(__xludf.DUMMYFUNCTION("""COMPUTED_VALUE"""),9.09)</f>
        <v>9.09</v>
      </c>
      <c r="E345" s="1">
        <f>IFERROR(__xludf.DUMMYFUNCTION("""COMPUTED_VALUE"""),9.2)</f>
        <v>9.2</v>
      </c>
      <c r="F345" s="1">
        <f>IFERROR(__xludf.DUMMYFUNCTION("""COMPUTED_VALUE"""),5794731.0)</f>
        <v>5794731</v>
      </c>
      <c r="G345" s="2" t="s">
        <v>10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IFERROR(__xludf.DUMMYFUNCTION("""COMPUTED_VALUE"""),9.28)</f>
        <v>9.28</v>
      </c>
      <c r="C346" s="1">
        <f>IFERROR(__xludf.DUMMYFUNCTION("""COMPUTED_VALUE"""),9.32)</f>
        <v>9.32</v>
      </c>
      <c r="D346" s="1">
        <f>IFERROR(__xludf.DUMMYFUNCTION("""COMPUTED_VALUE"""),9.16)</f>
        <v>9.16</v>
      </c>
      <c r="E346" s="1">
        <f>IFERROR(__xludf.DUMMYFUNCTION("""COMPUTED_VALUE"""),9.18)</f>
        <v>9.18</v>
      </c>
      <c r="F346" s="1">
        <f>IFERROR(__xludf.DUMMYFUNCTION("""COMPUTED_VALUE"""),2786850.0)</f>
        <v>2786850</v>
      </c>
      <c r="G346" s="2" t="s">
        <v>10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IFERROR(__xludf.DUMMYFUNCTION("""COMPUTED_VALUE"""),9.2)</f>
        <v>9.2</v>
      </c>
      <c r="C347" s="1">
        <f>IFERROR(__xludf.DUMMYFUNCTION("""COMPUTED_VALUE"""),9.31)</f>
        <v>9.31</v>
      </c>
      <c r="D347" s="1">
        <f>IFERROR(__xludf.DUMMYFUNCTION("""COMPUTED_VALUE"""),9.15)</f>
        <v>9.15</v>
      </c>
      <c r="E347" s="1">
        <f>IFERROR(__xludf.DUMMYFUNCTION("""COMPUTED_VALUE"""),9.3)</f>
        <v>9.3</v>
      </c>
      <c r="F347" s="1">
        <f>IFERROR(__xludf.DUMMYFUNCTION("""COMPUTED_VALUE"""),3248018.0)</f>
        <v>3248018</v>
      </c>
      <c r="G347" s="2" t="s">
        <v>10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IFERROR(__xludf.DUMMYFUNCTION("""COMPUTED_VALUE"""),9.32)</f>
        <v>9.32</v>
      </c>
      <c r="C348" s="1">
        <f>IFERROR(__xludf.DUMMYFUNCTION("""COMPUTED_VALUE"""),9.36)</f>
        <v>9.36</v>
      </c>
      <c r="D348" s="1">
        <f>IFERROR(__xludf.DUMMYFUNCTION("""COMPUTED_VALUE"""),9.2)</f>
        <v>9.2</v>
      </c>
      <c r="E348" s="1">
        <f>IFERROR(__xludf.DUMMYFUNCTION("""COMPUTED_VALUE"""),9.2)</f>
        <v>9.2</v>
      </c>
      <c r="F348" s="1">
        <f>IFERROR(__xludf.DUMMYFUNCTION("""COMPUTED_VALUE"""),3931562.0)</f>
        <v>3931562</v>
      </c>
      <c r="G348" s="2" t="s">
        <v>10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IFERROR(__xludf.DUMMYFUNCTION("""COMPUTED_VALUE"""),9.3)</f>
        <v>9.3</v>
      </c>
      <c r="C349" s="1">
        <f>IFERROR(__xludf.DUMMYFUNCTION("""COMPUTED_VALUE"""),9.32)</f>
        <v>9.32</v>
      </c>
      <c r="D349" s="1">
        <f>IFERROR(__xludf.DUMMYFUNCTION("""COMPUTED_VALUE"""),9.08)</f>
        <v>9.08</v>
      </c>
      <c r="E349" s="1">
        <f>IFERROR(__xludf.DUMMYFUNCTION("""COMPUTED_VALUE"""),9.14)</f>
        <v>9.14</v>
      </c>
      <c r="F349" s="1">
        <f>IFERROR(__xludf.DUMMYFUNCTION("""COMPUTED_VALUE"""),2659363.0)</f>
        <v>2659363</v>
      </c>
      <c r="G349" s="2" t="s">
        <v>10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IFERROR(__xludf.DUMMYFUNCTION("""COMPUTED_VALUE"""),9.16)</f>
        <v>9.16</v>
      </c>
      <c r="C350" s="1">
        <f>IFERROR(__xludf.DUMMYFUNCTION("""COMPUTED_VALUE"""),9.23)</f>
        <v>9.23</v>
      </c>
      <c r="D350" s="1">
        <f>IFERROR(__xludf.DUMMYFUNCTION("""COMPUTED_VALUE"""),9.12)</f>
        <v>9.12</v>
      </c>
      <c r="E350" s="1">
        <f>IFERROR(__xludf.DUMMYFUNCTION("""COMPUTED_VALUE"""),9.16)</f>
        <v>9.16</v>
      </c>
      <c r="F350" s="1">
        <f>IFERROR(__xludf.DUMMYFUNCTION("""COMPUTED_VALUE"""),1323738.0)</f>
        <v>1323738</v>
      </c>
      <c r="G350" s="2" t="s">
        <v>10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IFERROR(__xludf.DUMMYFUNCTION("""COMPUTED_VALUE"""),9.21)</f>
        <v>9.21</v>
      </c>
      <c r="C351" s="1">
        <f>IFERROR(__xludf.DUMMYFUNCTION("""COMPUTED_VALUE"""),9.23)</f>
        <v>9.23</v>
      </c>
      <c r="D351" s="1">
        <f>IFERROR(__xludf.DUMMYFUNCTION("""COMPUTED_VALUE"""),9.1)</f>
        <v>9.1</v>
      </c>
      <c r="E351" s="1">
        <f>IFERROR(__xludf.DUMMYFUNCTION("""COMPUTED_VALUE"""),9.17)</f>
        <v>9.17</v>
      </c>
      <c r="F351" s="1">
        <f>IFERROR(__xludf.DUMMYFUNCTION("""COMPUTED_VALUE"""),1717775.0)</f>
        <v>1717775</v>
      </c>
      <c r="G351" s="2" t="s">
        <v>10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IFERROR(__xludf.DUMMYFUNCTION("""COMPUTED_VALUE"""),9.16)</f>
        <v>9.16</v>
      </c>
      <c r="C352" s="1">
        <f>IFERROR(__xludf.DUMMYFUNCTION("""COMPUTED_VALUE"""),9.32)</f>
        <v>9.32</v>
      </c>
      <c r="D352" s="1">
        <f>IFERROR(__xludf.DUMMYFUNCTION("""COMPUTED_VALUE"""),9.15)</f>
        <v>9.15</v>
      </c>
      <c r="E352" s="1">
        <f>IFERROR(__xludf.DUMMYFUNCTION("""COMPUTED_VALUE"""),9.32)</f>
        <v>9.32</v>
      </c>
      <c r="F352" s="1">
        <f>IFERROR(__xludf.DUMMYFUNCTION("""COMPUTED_VALUE"""),3211928.0)</f>
        <v>3211928</v>
      </c>
      <c r="G352" s="2" t="s">
        <v>10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IFERROR(__xludf.DUMMYFUNCTION("""COMPUTED_VALUE"""),9.27)</f>
        <v>9.27</v>
      </c>
      <c r="C353" s="1">
        <f>IFERROR(__xludf.DUMMYFUNCTION("""COMPUTED_VALUE"""),9.64)</f>
        <v>9.64</v>
      </c>
      <c r="D353" s="1">
        <f>IFERROR(__xludf.DUMMYFUNCTION("""COMPUTED_VALUE"""),9.24)</f>
        <v>9.24</v>
      </c>
      <c r="E353" s="1">
        <f>IFERROR(__xludf.DUMMYFUNCTION("""COMPUTED_VALUE"""),9.6)</f>
        <v>9.6</v>
      </c>
      <c r="F353" s="1">
        <f>IFERROR(__xludf.DUMMYFUNCTION("""COMPUTED_VALUE"""),4473587.0)</f>
        <v>4473587</v>
      </c>
      <c r="G353" s="2" t="s">
        <v>10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IFERROR(__xludf.DUMMYFUNCTION("""COMPUTED_VALUE"""),9.68)</f>
        <v>9.68</v>
      </c>
      <c r="C354" s="1">
        <f>IFERROR(__xludf.DUMMYFUNCTION("""COMPUTED_VALUE"""),9.87)</f>
        <v>9.87</v>
      </c>
      <c r="D354" s="1">
        <f>IFERROR(__xludf.DUMMYFUNCTION("""COMPUTED_VALUE"""),9.65)</f>
        <v>9.65</v>
      </c>
      <c r="E354" s="1">
        <f>IFERROR(__xludf.DUMMYFUNCTION("""COMPUTED_VALUE"""),9.76)</f>
        <v>9.76</v>
      </c>
      <c r="F354" s="1">
        <f>IFERROR(__xludf.DUMMYFUNCTION("""COMPUTED_VALUE"""),3368892.0)</f>
        <v>3368892</v>
      </c>
      <c r="G354" s="2" t="s">
        <v>10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IFERROR(__xludf.DUMMYFUNCTION("""COMPUTED_VALUE"""),9.79)</f>
        <v>9.79</v>
      </c>
      <c r="C355" s="1">
        <f>IFERROR(__xludf.DUMMYFUNCTION("""COMPUTED_VALUE"""),9.93)</f>
        <v>9.93</v>
      </c>
      <c r="D355" s="1">
        <f>IFERROR(__xludf.DUMMYFUNCTION("""COMPUTED_VALUE"""),9.59)</f>
        <v>9.59</v>
      </c>
      <c r="E355" s="1">
        <f>IFERROR(__xludf.DUMMYFUNCTION("""COMPUTED_VALUE"""),9.59)</f>
        <v>9.59</v>
      </c>
      <c r="F355" s="1">
        <f>IFERROR(__xludf.DUMMYFUNCTION("""COMPUTED_VALUE"""),4966025.0)</f>
        <v>4966025</v>
      </c>
      <c r="G355" s="2" t="s">
        <v>10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IFERROR(__xludf.DUMMYFUNCTION("""COMPUTED_VALUE"""),9.62)</f>
        <v>9.62</v>
      </c>
      <c r="C356" s="1">
        <f>IFERROR(__xludf.DUMMYFUNCTION("""COMPUTED_VALUE"""),9.77)</f>
        <v>9.77</v>
      </c>
      <c r="D356" s="1">
        <f>IFERROR(__xludf.DUMMYFUNCTION("""COMPUTED_VALUE"""),9.62)</f>
        <v>9.62</v>
      </c>
      <c r="E356" s="1">
        <f>IFERROR(__xludf.DUMMYFUNCTION("""COMPUTED_VALUE"""),9.71)</f>
        <v>9.71</v>
      </c>
      <c r="F356" s="1">
        <f>IFERROR(__xludf.DUMMYFUNCTION("""COMPUTED_VALUE"""),2698584.0)</f>
        <v>2698584</v>
      </c>
      <c r="G356" s="2" t="s">
        <v>10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IFERROR(__xludf.DUMMYFUNCTION("""COMPUTED_VALUE"""),9.65)</f>
        <v>9.65</v>
      </c>
      <c r="C357" s="1">
        <f>IFERROR(__xludf.DUMMYFUNCTION("""COMPUTED_VALUE"""),9.69)</f>
        <v>9.69</v>
      </c>
      <c r="D357" s="1">
        <f>IFERROR(__xludf.DUMMYFUNCTION("""COMPUTED_VALUE"""),9.37)</f>
        <v>9.37</v>
      </c>
      <c r="E357" s="1">
        <f>IFERROR(__xludf.DUMMYFUNCTION("""COMPUTED_VALUE"""),9.49)</f>
        <v>9.49</v>
      </c>
      <c r="F357" s="1">
        <f>IFERROR(__xludf.DUMMYFUNCTION("""COMPUTED_VALUE"""),4290719.0)</f>
        <v>4290719</v>
      </c>
      <c r="G357" s="2" t="s">
        <v>10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IFERROR(__xludf.DUMMYFUNCTION("""COMPUTED_VALUE"""),9.4)</f>
        <v>9.4</v>
      </c>
      <c r="C358" s="1">
        <f>IFERROR(__xludf.DUMMYFUNCTION("""COMPUTED_VALUE"""),9.4)</f>
        <v>9.4</v>
      </c>
      <c r="D358" s="1">
        <f>IFERROR(__xludf.DUMMYFUNCTION("""COMPUTED_VALUE"""),9.15)</f>
        <v>9.15</v>
      </c>
      <c r="E358" s="1">
        <f>IFERROR(__xludf.DUMMYFUNCTION("""COMPUTED_VALUE"""),9.22)</f>
        <v>9.22</v>
      </c>
      <c r="F358" s="1">
        <f>IFERROR(__xludf.DUMMYFUNCTION("""COMPUTED_VALUE"""),5301933.0)</f>
        <v>5301933</v>
      </c>
      <c r="G358" s="2" t="s">
        <v>10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IFERROR(__xludf.DUMMYFUNCTION("""COMPUTED_VALUE"""),9.2)</f>
        <v>9.2</v>
      </c>
      <c r="C359" s="1">
        <f>IFERROR(__xludf.DUMMYFUNCTION("""COMPUTED_VALUE"""),9.35)</f>
        <v>9.35</v>
      </c>
      <c r="D359" s="1">
        <f>IFERROR(__xludf.DUMMYFUNCTION("""COMPUTED_VALUE"""),9.1)</f>
        <v>9.1</v>
      </c>
      <c r="E359" s="1">
        <f>IFERROR(__xludf.DUMMYFUNCTION("""COMPUTED_VALUE"""),9.24)</f>
        <v>9.24</v>
      </c>
      <c r="F359" s="1">
        <f>IFERROR(__xludf.DUMMYFUNCTION("""COMPUTED_VALUE"""),3845331.0)</f>
        <v>3845331</v>
      </c>
      <c r="G359" s="2" t="s">
        <v>10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IFERROR(__xludf.DUMMYFUNCTION("""COMPUTED_VALUE"""),9.32)</f>
        <v>9.32</v>
      </c>
      <c r="C360" s="1">
        <f>IFERROR(__xludf.DUMMYFUNCTION("""COMPUTED_VALUE"""),9.33)</f>
        <v>9.33</v>
      </c>
      <c r="D360" s="1">
        <f>IFERROR(__xludf.DUMMYFUNCTION("""COMPUTED_VALUE"""),9.17)</f>
        <v>9.17</v>
      </c>
      <c r="E360" s="1">
        <f>IFERROR(__xludf.DUMMYFUNCTION("""COMPUTED_VALUE"""),9.22)</f>
        <v>9.22</v>
      </c>
      <c r="F360" s="1">
        <f>IFERROR(__xludf.DUMMYFUNCTION("""COMPUTED_VALUE"""),2737329.0)</f>
        <v>2737329</v>
      </c>
      <c r="G360" s="2" t="s">
        <v>10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IFERROR(__xludf.DUMMYFUNCTION("""COMPUTED_VALUE"""),9.26)</f>
        <v>9.26</v>
      </c>
      <c r="C361" s="1">
        <f>IFERROR(__xludf.DUMMYFUNCTION("""COMPUTED_VALUE"""),9.3)</f>
        <v>9.3</v>
      </c>
      <c r="D361" s="1">
        <f>IFERROR(__xludf.DUMMYFUNCTION("""COMPUTED_VALUE"""),9.16)</f>
        <v>9.16</v>
      </c>
      <c r="E361" s="1">
        <f>IFERROR(__xludf.DUMMYFUNCTION("""COMPUTED_VALUE"""),9.2)</f>
        <v>9.2</v>
      </c>
      <c r="F361" s="1">
        <f>IFERROR(__xludf.DUMMYFUNCTION("""COMPUTED_VALUE"""),1181963.0)</f>
        <v>1181963</v>
      </c>
      <c r="G361" s="2" t="s">
        <v>10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IFERROR(__xludf.DUMMYFUNCTION("""COMPUTED_VALUE"""),9.2)</f>
        <v>9.2</v>
      </c>
      <c r="C362" s="1">
        <f>IFERROR(__xludf.DUMMYFUNCTION("""COMPUTED_VALUE"""),9.32)</f>
        <v>9.32</v>
      </c>
      <c r="D362" s="1">
        <f>IFERROR(__xludf.DUMMYFUNCTION("""COMPUTED_VALUE"""),9.11)</f>
        <v>9.11</v>
      </c>
      <c r="E362" s="1">
        <f>IFERROR(__xludf.DUMMYFUNCTION("""COMPUTED_VALUE"""),9.22)</f>
        <v>9.22</v>
      </c>
      <c r="F362" s="1">
        <f>IFERROR(__xludf.DUMMYFUNCTION("""COMPUTED_VALUE"""),2523960.0)</f>
        <v>2523960</v>
      </c>
      <c r="G362" s="2" t="s">
        <v>10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IFERROR(__xludf.DUMMYFUNCTION("""COMPUTED_VALUE"""),9.18)</f>
        <v>9.18</v>
      </c>
      <c r="C363" s="1">
        <f>IFERROR(__xludf.DUMMYFUNCTION("""COMPUTED_VALUE"""),9.3)</f>
        <v>9.3</v>
      </c>
      <c r="D363" s="1">
        <f>IFERROR(__xludf.DUMMYFUNCTION("""COMPUTED_VALUE"""),9.05)</f>
        <v>9.05</v>
      </c>
      <c r="E363" s="1">
        <f>IFERROR(__xludf.DUMMYFUNCTION("""COMPUTED_VALUE"""),9.16)</f>
        <v>9.16</v>
      </c>
      <c r="F363" s="1">
        <f>IFERROR(__xludf.DUMMYFUNCTION("""COMPUTED_VALUE"""),8818781.0)</f>
        <v>8818781</v>
      </c>
      <c r="G363" s="2" t="s">
        <v>10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IFERROR(__xludf.DUMMYFUNCTION("""COMPUTED_VALUE"""),9.21)</f>
        <v>9.21</v>
      </c>
      <c r="C364" s="1">
        <f>IFERROR(__xludf.DUMMYFUNCTION("""COMPUTED_VALUE"""),9.29)</f>
        <v>9.29</v>
      </c>
      <c r="D364" s="1">
        <f>IFERROR(__xludf.DUMMYFUNCTION("""COMPUTED_VALUE"""),9.07)</f>
        <v>9.07</v>
      </c>
      <c r="E364" s="1">
        <f>IFERROR(__xludf.DUMMYFUNCTION("""COMPUTED_VALUE"""),9.16)</f>
        <v>9.16</v>
      </c>
      <c r="F364" s="1">
        <f>IFERROR(__xludf.DUMMYFUNCTION("""COMPUTED_VALUE"""),3653814.0)</f>
        <v>3653814</v>
      </c>
      <c r="G364" s="2" t="s">
        <v>10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IFERROR(__xludf.DUMMYFUNCTION("""COMPUTED_VALUE"""),9.21)</f>
        <v>9.21</v>
      </c>
      <c r="C365" s="1">
        <f>IFERROR(__xludf.DUMMYFUNCTION("""COMPUTED_VALUE"""),9.32)</f>
        <v>9.32</v>
      </c>
      <c r="D365" s="1">
        <f>IFERROR(__xludf.DUMMYFUNCTION("""COMPUTED_VALUE"""),9.19)</f>
        <v>9.19</v>
      </c>
      <c r="E365" s="1">
        <f>IFERROR(__xludf.DUMMYFUNCTION("""COMPUTED_VALUE"""),9.3)</f>
        <v>9.3</v>
      </c>
      <c r="F365" s="1">
        <f>IFERROR(__xludf.DUMMYFUNCTION("""COMPUTED_VALUE"""),3536450.0)</f>
        <v>3536450</v>
      </c>
      <c r="G365" s="2" t="s">
        <v>10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IFERROR(__xludf.DUMMYFUNCTION("""COMPUTED_VALUE"""),9.34)</f>
        <v>9.34</v>
      </c>
      <c r="C366" s="1">
        <f>IFERROR(__xludf.DUMMYFUNCTION("""COMPUTED_VALUE"""),9.34)</f>
        <v>9.34</v>
      </c>
      <c r="D366" s="1">
        <f>IFERROR(__xludf.DUMMYFUNCTION("""COMPUTED_VALUE"""),9.06)</f>
        <v>9.06</v>
      </c>
      <c r="E366" s="1">
        <f>IFERROR(__xludf.DUMMYFUNCTION("""COMPUTED_VALUE"""),9.11)</f>
        <v>9.11</v>
      </c>
      <c r="F366" s="1">
        <f>IFERROR(__xludf.DUMMYFUNCTION("""COMPUTED_VALUE"""),4153189.0)</f>
        <v>4153189</v>
      </c>
      <c r="G366" s="2" t="s">
        <v>10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IFERROR(__xludf.DUMMYFUNCTION("""COMPUTED_VALUE"""),9.11)</f>
        <v>9.11</v>
      </c>
      <c r="C367" s="1">
        <f>IFERROR(__xludf.DUMMYFUNCTION("""COMPUTED_VALUE"""),9.17)</f>
        <v>9.17</v>
      </c>
      <c r="D367" s="1">
        <f>IFERROR(__xludf.DUMMYFUNCTION("""COMPUTED_VALUE"""),9.02)</f>
        <v>9.02</v>
      </c>
      <c r="E367" s="1">
        <f>IFERROR(__xludf.DUMMYFUNCTION("""COMPUTED_VALUE"""),9.14)</f>
        <v>9.14</v>
      </c>
      <c r="F367" s="1">
        <f>IFERROR(__xludf.DUMMYFUNCTION("""COMPUTED_VALUE"""),2382771.0)</f>
        <v>2382771</v>
      </c>
      <c r="G367" s="2" t="s">
        <v>10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IFERROR(__xludf.DUMMYFUNCTION("""COMPUTED_VALUE"""),9.18)</f>
        <v>9.18</v>
      </c>
      <c r="C368" s="1">
        <f>IFERROR(__xludf.DUMMYFUNCTION("""COMPUTED_VALUE"""),9.2)</f>
        <v>9.2</v>
      </c>
      <c r="D368" s="1">
        <f>IFERROR(__xludf.DUMMYFUNCTION("""COMPUTED_VALUE"""),9.07)</f>
        <v>9.07</v>
      </c>
      <c r="E368" s="1">
        <f>IFERROR(__xludf.DUMMYFUNCTION("""COMPUTED_VALUE"""),9.13)</f>
        <v>9.13</v>
      </c>
      <c r="F368" s="1">
        <f>IFERROR(__xludf.DUMMYFUNCTION("""COMPUTED_VALUE"""),2842236.0)</f>
        <v>2842236</v>
      </c>
      <c r="G368" s="2" t="s">
        <v>10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IFERROR(__xludf.DUMMYFUNCTION("""COMPUTED_VALUE"""),9.1)</f>
        <v>9.1</v>
      </c>
      <c r="C369" s="1">
        <f>IFERROR(__xludf.DUMMYFUNCTION("""COMPUTED_VALUE"""),9.19)</f>
        <v>9.19</v>
      </c>
      <c r="D369" s="1">
        <f>IFERROR(__xludf.DUMMYFUNCTION("""COMPUTED_VALUE"""),9.08)</f>
        <v>9.08</v>
      </c>
      <c r="E369" s="1">
        <f>IFERROR(__xludf.DUMMYFUNCTION("""COMPUTED_VALUE"""),9.14)</f>
        <v>9.14</v>
      </c>
      <c r="F369" s="1">
        <f>IFERROR(__xludf.DUMMYFUNCTION("""COMPUTED_VALUE"""),2920089.0)</f>
        <v>2920089</v>
      </c>
      <c r="G369" s="2" t="s">
        <v>10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IFERROR(__xludf.DUMMYFUNCTION("""COMPUTED_VALUE"""),9.08)</f>
        <v>9.08</v>
      </c>
      <c r="C370" s="1">
        <f>IFERROR(__xludf.DUMMYFUNCTION("""COMPUTED_VALUE"""),9.23)</f>
        <v>9.23</v>
      </c>
      <c r="D370" s="1">
        <f>IFERROR(__xludf.DUMMYFUNCTION("""COMPUTED_VALUE"""),9.08)</f>
        <v>9.08</v>
      </c>
      <c r="E370" s="1">
        <f>IFERROR(__xludf.DUMMYFUNCTION("""COMPUTED_VALUE"""),9.18)</f>
        <v>9.18</v>
      </c>
      <c r="F370" s="1">
        <f>IFERROR(__xludf.DUMMYFUNCTION("""COMPUTED_VALUE"""),3168336.0)</f>
        <v>3168336</v>
      </c>
      <c r="G370" s="2" t="s">
        <v>10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IFERROR(__xludf.DUMMYFUNCTION("""COMPUTED_VALUE"""),9.22)</f>
        <v>9.22</v>
      </c>
      <c r="C371" s="1">
        <f>IFERROR(__xludf.DUMMYFUNCTION("""COMPUTED_VALUE"""),9.35)</f>
        <v>9.35</v>
      </c>
      <c r="D371" s="1">
        <f>IFERROR(__xludf.DUMMYFUNCTION("""COMPUTED_VALUE"""),9.21)</f>
        <v>9.21</v>
      </c>
      <c r="E371" s="1">
        <f>IFERROR(__xludf.DUMMYFUNCTION("""COMPUTED_VALUE"""),9.33)</f>
        <v>9.33</v>
      </c>
      <c r="F371" s="1">
        <f>IFERROR(__xludf.DUMMYFUNCTION("""COMPUTED_VALUE"""),2558476.0)</f>
        <v>2558476</v>
      </c>
      <c r="G371" s="2" t="s">
        <v>10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IFERROR(__xludf.DUMMYFUNCTION("""COMPUTED_VALUE"""),9.37)</f>
        <v>9.37</v>
      </c>
      <c r="C372" s="1">
        <f>IFERROR(__xludf.DUMMYFUNCTION("""COMPUTED_VALUE"""),9.57)</f>
        <v>9.57</v>
      </c>
      <c r="D372" s="1">
        <f>IFERROR(__xludf.DUMMYFUNCTION("""COMPUTED_VALUE"""),9.34)</f>
        <v>9.34</v>
      </c>
      <c r="E372" s="1">
        <f>IFERROR(__xludf.DUMMYFUNCTION("""COMPUTED_VALUE"""),9.53)</f>
        <v>9.53</v>
      </c>
      <c r="F372" s="1">
        <f>IFERROR(__xludf.DUMMYFUNCTION("""COMPUTED_VALUE"""),4636453.0)</f>
        <v>4636453</v>
      </c>
      <c r="G372" s="2" t="s">
        <v>10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IFERROR(__xludf.DUMMYFUNCTION("""COMPUTED_VALUE"""),9.54)</f>
        <v>9.54</v>
      </c>
      <c r="C373" s="1">
        <f>IFERROR(__xludf.DUMMYFUNCTION("""COMPUTED_VALUE"""),9.65)</f>
        <v>9.65</v>
      </c>
      <c r="D373" s="1">
        <f>IFERROR(__xludf.DUMMYFUNCTION("""COMPUTED_VALUE"""),9.45)</f>
        <v>9.45</v>
      </c>
      <c r="E373" s="1">
        <f>IFERROR(__xludf.DUMMYFUNCTION("""COMPUTED_VALUE"""),9.48)</f>
        <v>9.48</v>
      </c>
      <c r="F373" s="1">
        <f>IFERROR(__xludf.DUMMYFUNCTION("""COMPUTED_VALUE"""),3897344.0)</f>
        <v>3897344</v>
      </c>
      <c r="G373" s="2" t="s">
        <v>10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IFERROR(__xludf.DUMMYFUNCTION("""COMPUTED_VALUE"""),9.5)</f>
        <v>9.5</v>
      </c>
      <c r="C374" s="1">
        <f>IFERROR(__xludf.DUMMYFUNCTION("""COMPUTED_VALUE"""),9.51)</f>
        <v>9.51</v>
      </c>
      <c r="D374" s="1">
        <f>IFERROR(__xludf.DUMMYFUNCTION("""COMPUTED_VALUE"""),9.25)</f>
        <v>9.25</v>
      </c>
      <c r="E374" s="1">
        <f>IFERROR(__xludf.DUMMYFUNCTION("""COMPUTED_VALUE"""),9.35)</f>
        <v>9.35</v>
      </c>
      <c r="F374" s="1">
        <f>IFERROR(__xludf.DUMMYFUNCTION("""COMPUTED_VALUE"""),3400129.0)</f>
        <v>3400129</v>
      </c>
      <c r="G374" s="2" t="s">
        <v>10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IFERROR(__xludf.DUMMYFUNCTION("""COMPUTED_VALUE"""),9.38)</f>
        <v>9.38</v>
      </c>
      <c r="C375" s="1">
        <f>IFERROR(__xludf.DUMMYFUNCTION("""COMPUTED_VALUE"""),9.44)</f>
        <v>9.44</v>
      </c>
      <c r="D375" s="1">
        <f>IFERROR(__xludf.DUMMYFUNCTION("""COMPUTED_VALUE"""),9.32)</f>
        <v>9.32</v>
      </c>
      <c r="E375" s="1">
        <f>IFERROR(__xludf.DUMMYFUNCTION("""COMPUTED_VALUE"""),9.41)</f>
        <v>9.41</v>
      </c>
      <c r="F375" s="1">
        <f>IFERROR(__xludf.DUMMYFUNCTION("""COMPUTED_VALUE"""),6599564.0)</f>
        <v>6599564</v>
      </c>
      <c r="G375" s="2" t="s">
        <v>10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IFERROR(__xludf.DUMMYFUNCTION("""COMPUTED_VALUE"""),9.43)</f>
        <v>9.43</v>
      </c>
      <c r="C376" s="1">
        <f>IFERROR(__xludf.DUMMYFUNCTION("""COMPUTED_VALUE"""),9.46)</f>
        <v>9.46</v>
      </c>
      <c r="D376" s="1">
        <f>IFERROR(__xludf.DUMMYFUNCTION("""COMPUTED_VALUE"""),9.28)</f>
        <v>9.28</v>
      </c>
      <c r="E376" s="1">
        <f>IFERROR(__xludf.DUMMYFUNCTION("""COMPUTED_VALUE"""),9.33)</f>
        <v>9.33</v>
      </c>
      <c r="F376" s="1">
        <f>IFERROR(__xludf.DUMMYFUNCTION("""COMPUTED_VALUE"""),2735012.0)</f>
        <v>2735012</v>
      </c>
      <c r="G376" s="2" t="s">
        <v>10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IFERROR(__xludf.DUMMYFUNCTION("""COMPUTED_VALUE"""),9.31)</f>
        <v>9.31</v>
      </c>
      <c r="C377" s="1">
        <f>IFERROR(__xludf.DUMMYFUNCTION("""COMPUTED_VALUE"""),9.34)</f>
        <v>9.34</v>
      </c>
      <c r="D377" s="1">
        <f>IFERROR(__xludf.DUMMYFUNCTION("""COMPUTED_VALUE"""),9.19)</f>
        <v>9.19</v>
      </c>
      <c r="E377" s="1">
        <f>IFERROR(__xludf.DUMMYFUNCTION("""COMPUTED_VALUE"""),9.26)</f>
        <v>9.26</v>
      </c>
      <c r="F377" s="1">
        <f>IFERROR(__xludf.DUMMYFUNCTION("""COMPUTED_VALUE"""),3221397.0)</f>
        <v>3221397</v>
      </c>
      <c r="G377" s="2" t="s">
        <v>10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IFERROR(__xludf.DUMMYFUNCTION("""COMPUTED_VALUE"""),9.31)</f>
        <v>9.31</v>
      </c>
      <c r="C378" s="1">
        <f>IFERROR(__xludf.DUMMYFUNCTION("""COMPUTED_VALUE"""),9.46)</f>
        <v>9.46</v>
      </c>
      <c r="D378" s="1">
        <f>IFERROR(__xludf.DUMMYFUNCTION("""COMPUTED_VALUE"""),9.25)</f>
        <v>9.25</v>
      </c>
      <c r="E378" s="1">
        <f>IFERROR(__xludf.DUMMYFUNCTION("""COMPUTED_VALUE"""),9.33)</f>
        <v>9.33</v>
      </c>
      <c r="F378" s="1">
        <f>IFERROR(__xludf.DUMMYFUNCTION("""COMPUTED_VALUE"""),3226180.0)</f>
        <v>3226180</v>
      </c>
      <c r="G378" s="2" t="s">
        <v>10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IFERROR(__xludf.DUMMYFUNCTION("""COMPUTED_VALUE"""),9.25)</f>
        <v>9.25</v>
      </c>
      <c r="C379" s="1">
        <f>IFERROR(__xludf.DUMMYFUNCTION("""COMPUTED_VALUE"""),9.47)</f>
        <v>9.47</v>
      </c>
      <c r="D379" s="1">
        <f>IFERROR(__xludf.DUMMYFUNCTION("""COMPUTED_VALUE"""),9.21)</f>
        <v>9.21</v>
      </c>
      <c r="E379" s="1">
        <f>IFERROR(__xludf.DUMMYFUNCTION("""COMPUTED_VALUE"""),9.47)</f>
        <v>9.47</v>
      </c>
      <c r="F379" s="1">
        <f>IFERROR(__xludf.DUMMYFUNCTION("""COMPUTED_VALUE"""),3315362.0)</f>
        <v>3315362</v>
      </c>
      <c r="G379" s="2" t="s">
        <v>10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IFERROR(__xludf.DUMMYFUNCTION("""COMPUTED_VALUE"""),9.43)</f>
        <v>9.43</v>
      </c>
      <c r="C380" s="1">
        <f>IFERROR(__xludf.DUMMYFUNCTION("""COMPUTED_VALUE"""),9.44)</f>
        <v>9.44</v>
      </c>
      <c r="D380" s="1">
        <f>IFERROR(__xludf.DUMMYFUNCTION("""COMPUTED_VALUE"""),9.11)</f>
        <v>9.11</v>
      </c>
      <c r="E380" s="1">
        <f>IFERROR(__xludf.DUMMYFUNCTION("""COMPUTED_VALUE"""),9.21)</f>
        <v>9.21</v>
      </c>
      <c r="F380" s="1">
        <f>IFERROR(__xludf.DUMMYFUNCTION("""COMPUTED_VALUE"""),4077819.0)</f>
        <v>4077819</v>
      </c>
      <c r="G380" s="2" t="s">
        <v>10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IFERROR(__xludf.DUMMYFUNCTION("""COMPUTED_VALUE"""),9.22)</f>
        <v>9.22</v>
      </c>
      <c r="C381" s="1">
        <f>IFERROR(__xludf.DUMMYFUNCTION("""COMPUTED_VALUE"""),9.24)</f>
        <v>9.24</v>
      </c>
      <c r="D381" s="1">
        <f>IFERROR(__xludf.DUMMYFUNCTION("""COMPUTED_VALUE"""),9.05)</f>
        <v>9.05</v>
      </c>
      <c r="E381" s="1">
        <f>IFERROR(__xludf.DUMMYFUNCTION("""COMPUTED_VALUE"""),9.18)</f>
        <v>9.18</v>
      </c>
      <c r="F381" s="1">
        <f>IFERROR(__xludf.DUMMYFUNCTION("""COMPUTED_VALUE"""),2455306.0)</f>
        <v>2455306</v>
      </c>
      <c r="G381" s="2" t="s">
        <v>10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IFERROR(__xludf.DUMMYFUNCTION("""COMPUTED_VALUE"""),9.2)</f>
        <v>9.2</v>
      </c>
      <c r="C382" s="1">
        <f>IFERROR(__xludf.DUMMYFUNCTION("""COMPUTED_VALUE"""),9.45)</f>
        <v>9.45</v>
      </c>
      <c r="D382" s="1">
        <f>IFERROR(__xludf.DUMMYFUNCTION("""COMPUTED_VALUE"""),9.19)</f>
        <v>9.19</v>
      </c>
      <c r="E382" s="1">
        <f>IFERROR(__xludf.DUMMYFUNCTION("""COMPUTED_VALUE"""),9.45)</f>
        <v>9.45</v>
      </c>
      <c r="F382" s="1">
        <f>IFERROR(__xludf.DUMMYFUNCTION("""COMPUTED_VALUE"""),3103704.0)</f>
        <v>3103704</v>
      </c>
      <c r="G382" s="2" t="s">
        <v>10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IFERROR(__xludf.DUMMYFUNCTION("""COMPUTED_VALUE"""),9.49)</f>
        <v>9.49</v>
      </c>
      <c r="C383" s="1">
        <f>IFERROR(__xludf.DUMMYFUNCTION("""COMPUTED_VALUE"""),9.56)</f>
        <v>9.56</v>
      </c>
      <c r="D383" s="1">
        <f>IFERROR(__xludf.DUMMYFUNCTION("""COMPUTED_VALUE"""),9.44)</f>
        <v>9.44</v>
      </c>
      <c r="E383" s="1">
        <f>IFERROR(__xludf.DUMMYFUNCTION("""COMPUTED_VALUE"""),9.49)</f>
        <v>9.49</v>
      </c>
      <c r="F383" s="1">
        <f>IFERROR(__xludf.DUMMYFUNCTION("""COMPUTED_VALUE"""),3166587.0)</f>
        <v>3166587</v>
      </c>
      <c r="G383" s="2" t="s">
        <v>10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IFERROR(__xludf.DUMMYFUNCTION("""COMPUTED_VALUE"""),9.5)</f>
        <v>9.5</v>
      </c>
      <c r="C384" s="1">
        <f>IFERROR(__xludf.DUMMYFUNCTION("""COMPUTED_VALUE"""),9.51)</f>
        <v>9.51</v>
      </c>
      <c r="D384" s="1">
        <f>IFERROR(__xludf.DUMMYFUNCTION("""COMPUTED_VALUE"""),9.35)</f>
        <v>9.35</v>
      </c>
      <c r="E384" s="1">
        <f>IFERROR(__xludf.DUMMYFUNCTION("""COMPUTED_VALUE"""),9.45)</f>
        <v>9.45</v>
      </c>
      <c r="F384" s="1">
        <f>IFERROR(__xludf.DUMMYFUNCTION("""COMPUTED_VALUE"""),2254403.0)</f>
        <v>2254403</v>
      </c>
      <c r="G384" s="2" t="s">
        <v>10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IFERROR(__xludf.DUMMYFUNCTION("""COMPUTED_VALUE"""),9.45)</f>
        <v>9.45</v>
      </c>
      <c r="C385" s="1">
        <f>IFERROR(__xludf.DUMMYFUNCTION("""COMPUTED_VALUE"""),9.47)</f>
        <v>9.47</v>
      </c>
      <c r="D385" s="1">
        <f>IFERROR(__xludf.DUMMYFUNCTION("""COMPUTED_VALUE"""),9.38)</f>
        <v>9.38</v>
      </c>
      <c r="E385" s="1">
        <f>IFERROR(__xludf.DUMMYFUNCTION("""COMPUTED_VALUE"""),9.38)</f>
        <v>9.38</v>
      </c>
      <c r="F385" s="1">
        <f>IFERROR(__xludf.DUMMYFUNCTION("""COMPUTED_VALUE"""),2813590.0)</f>
        <v>2813590</v>
      </c>
      <c r="G385" s="2" t="s">
        <v>10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IFERROR(__xludf.DUMMYFUNCTION("""COMPUTED_VALUE"""),9.44)</f>
        <v>9.44</v>
      </c>
      <c r="C386" s="1">
        <f>IFERROR(__xludf.DUMMYFUNCTION("""COMPUTED_VALUE"""),9.58)</f>
        <v>9.58</v>
      </c>
      <c r="D386" s="1">
        <f>IFERROR(__xludf.DUMMYFUNCTION("""COMPUTED_VALUE"""),9.43)</f>
        <v>9.43</v>
      </c>
      <c r="E386" s="1">
        <f>IFERROR(__xludf.DUMMYFUNCTION("""COMPUTED_VALUE"""),9.46)</f>
        <v>9.46</v>
      </c>
      <c r="F386" s="1">
        <f>IFERROR(__xludf.DUMMYFUNCTION("""COMPUTED_VALUE"""),2607576.0)</f>
        <v>2607576</v>
      </c>
      <c r="G386" s="2" t="s">
        <v>10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IFERROR(__xludf.DUMMYFUNCTION("""COMPUTED_VALUE"""),9.46)</f>
        <v>9.46</v>
      </c>
      <c r="C387" s="1">
        <f>IFERROR(__xludf.DUMMYFUNCTION("""COMPUTED_VALUE"""),9.49)</f>
        <v>9.49</v>
      </c>
      <c r="D387" s="1">
        <f>IFERROR(__xludf.DUMMYFUNCTION("""COMPUTED_VALUE"""),9.38)</f>
        <v>9.38</v>
      </c>
      <c r="E387" s="1">
        <f>IFERROR(__xludf.DUMMYFUNCTION("""COMPUTED_VALUE"""),9.46)</f>
        <v>9.46</v>
      </c>
      <c r="F387" s="1">
        <f>IFERROR(__xludf.DUMMYFUNCTION("""COMPUTED_VALUE"""),2242842.0)</f>
        <v>2242842</v>
      </c>
      <c r="G387" s="2" t="s">
        <v>10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IFERROR(__xludf.DUMMYFUNCTION("""COMPUTED_VALUE"""),9.43)</f>
        <v>9.43</v>
      </c>
      <c r="C388" s="1">
        <f>IFERROR(__xludf.DUMMYFUNCTION("""COMPUTED_VALUE"""),9.49)</f>
        <v>9.49</v>
      </c>
      <c r="D388" s="1">
        <f>IFERROR(__xludf.DUMMYFUNCTION("""COMPUTED_VALUE"""),9.38)</f>
        <v>9.38</v>
      </c>
      <c r="E388" s="1">
        <f>IFERROR(__xludf.DUMMYFUNCTION("""COMPUTED_VALUE"""),9.43)</f>
        <v>9.43</v>
      </c>
      <c r="F388" s="1">
        <f>IFERROR(__xludf.DUMMYFUNCTION("""COMPUTED_VALUE"""),2023545.0)</f>
        <v>2023545</v>
      </c>
      <c r="G388" s="2" t="s">
        <v>10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IFERROR(__xludf.DUMMYFUNCTION("""COMPUTED_VALUE"""),9.39)</f>
        <v>9.39</v>
      </c>
      <c r="C389" s="1">
        <f>IFERROR(__xludf.DUMMYFUNCTION("""COMPUTED_VALUE"""),9.39)</f>
        <v>9.39</v>
      </c>
      <c r="D389" s="1">
        <f>IFERROR(__xludf.DUMMYFUNCTION("""COMPUTED_VALUE"""),8.94)</f>
        <v>8.94</v>
      </c>
      <c r="E389" s="1">
        <f>IFERROR(__xludf.DUMMYFUNCTION("""COMPUTED_VALUE"""),9.01)</f>
        <v>9.01</v>
      </c>
      <c r="F389" s="1">
        <f>IFERROR(__xludf.DUMMYFUNCTION("""COMPUTED_VALUE"""),7374142.0)</f>
        <v>7374142</v>
      </c>
      <c r="G389" s="2" t="s">
        <v>10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IFERROR(__xludf.DUMMYFUNCTION("""COMPUTED_VALUE"""),9.01)</f>
        <v>9.01</v>
      </c>
      <c r="C390" s="1">
        <f>IFERROR(__xludf.DUMMYFUNCTION("""COMPUTED_VALUE"""),9.09)</f>
        <v>9.09</v>
      </c>
      <c r="D390" s="1">
        <f>IFERROR(__xludf.DUMMYFUNCTION("""COMPUTED_VALUE"""),8.88)</f>
        <v>8.88</v>
      </c>
      <c r="E390" s="1">
        <f>IFERROR(__xludf.DUMMYFUNCTION("""COMPUTED_VALUE"""),9.02)</f>
        <v>9.02</v>
      </c>
      <c r="F390" s="1">
        <f>IFERROR(__xludf.DUMMYFUNCTION("""COMPUTED_VALUE"""),3539591.0)</f>
        <v>3539591</v>
      </c>
      <c r="G390" s="2" t="s">
        <v>10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IFERROR(__xludf.DUMMYFUNCTION("""COMPUTED_VALUE"""),8.99)</f>
        <v>8.99</v>
      </c>
      <c r="C391" s="1">
        <f>IFERROR(__xludf.DUMMYFUNCTION("""COMPUTED_VALUE"""),9.13)</f>
        <v>9.13</v>
      </c>
      <c r="D391" s="1">
        <f>IFERROR(__xludf.DUMMYFUNCTION("""COMPUTED_VALUE"""),8.96)</f>
        <v>8.96</v>
      </c>
      <c r="E391" s="1">
        <f>IFERROR(__xludf.DUMMYFUNCTION("""COMPUTED_VALUE"""),9.1)</f>
        <v>9.1</v>
      </c>
      <c r="F391" s="1">
        <f>IFERROR(__xludf.DUMMYFUNCTION("""COMPUTED_VALUE"""),2263536.0)</f>
        <v>2263536</v>
      </c>
      <c r="G391" s="2" t="s">
        <v>10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IFERROR(__xludf.DUMMYFUNCTION("""COMPUTED_VALUE"""),9.14)</f>
        <v>9.14</v>
      </c>
      <c r="C392" s="1">
        <f>IFERROR(__xludf.DUMMYFUNCTION("""COMPUTED_VALUE"""),9.19)</f>
        <v>9.19</v>
      </c>
      <c r="D392" s="1">
        <f>IFERROR(__xludf.DUMMYFUNCTION("""COMPUTED_VALUE"""),8.98)</f>
        <v>8.98</v>
      </c>
      <c r="E392" s="1">
        <f>IFERROR(__xludf.DUMMYFUNCTION("""COMPUTED_VALUE"""),9.03)</f>
        <v>9.03</v>
      </c>
      <c r="F392" s="1">
        <f>IFERROR(__xludf.DUMMYFUNCTION("""COMPUTED_VALUE"""),2873636.0)</f>
        <v>2873636</v>
      </c>
      <c r="G392" s="2" t="s">
        <v>10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IFERROR(__xludf.DUMMYFUNCTION("""COMPUTED_VALUE"""),9.04)</f>
        <v>9.04</v>
      </c>
      <c r="C393" s="1">
        <f>IFERROR(__xludf.DUMMYFUNCTION("""COMPUTED_VALUE"""),9.05)</f>
        <v>9.05</v>
      </c>
      <c r="D393" s="1">
        <f>IFERROR(__xludf.DUMMYFUNCTION("""COMPUTED_VALUE"""),8.72)</f>
        <v>8.72</v>
      </c>
      <c r="E393" s="1">
        <f>IFERROR(__xludf.DUMMYFUNCTION("""COMPUTED_VALUE"""),8.99)</f>
        <v>8.99</v>
      </c>
      <c r="F393" s="1">
        <f>IFERROR(__xludf.DUMMYFUNCTION("""COMPUTED_VALUE"""),6304043.0)</f>
        <v>6304043</v>
      </c>
      <c r="G393" s="2" t="s">
        <v>10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IFERROR(__xludf.DUMMYFUNCTION("""COMPUTED_VALUE"""),8.99)</f>
        <v>8.99</v>
      </c>
      <c r="C394" s="1">
        <f>IFERROR(__xludf.DUMMYFUNCTION("""COMPUTED_VALUE"""),9.14)</f>
        <v>9.14</v>
      </c>
      <c r="D394" s="1">
        <f>IFERROR(__xludf.DUMMYFUNCTION("""COMPUTED_VALUE"""),8.88)</f>
        <v>8.88</v>
      </c>
      <c r="E394" s="1">
        <f>IFERROR(__xludf.DUMMYFUNCTION("""COMPUTED_VALUE"""),8.94)</f>
        <v>8.94</v>
      </c>
      <c r="F394" s="1">
        <f>IFERROR(__xludf.DUMMYFUNCTION("""COMPUTED_VALUE"""),5172985.0)</f>
        <v>5172985</v>
      </c>
      <c r="G394" s="2" t="s">
        <v>10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IFERROR(__xludf.DUMMYFUNCTION("""COMPUTED_VALUE"""),8.9)</f>
        <v>8.9</v>
      </c>
      <c r="C395" s="1">
        <f>IFERROR(__xludf.DUMMYFUNCTION("""COMPUTED_VALUE"""),8.97)</f>
        <v>8.97</v>
      </c>
      <c r="D395" s="1">
        <f>IFERROR(__xludf.DUMMYFUNCTION("""COMPUTED_VALUE"""),8.79)</f>
        <v>8.79</v>
      </c>
      <c r="E395" s="1">
        <f>IFERROR(__xludf.DUMMYFUNCTION("""COMPUTED_VALUE"""),8.79)</f>
        <v>8.79</v>
      </c>
      <c r="F395" s="1">
        <f>IFERROR(__xludf.DUMMYFUNCTION("""COMPUTED_VALUE"""),4510649.0)</f>
        <v>4510649</v>
      </c>
      <c r="G395" s="2" t="s">
        <v>10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IFERROR(__xludf.DUMMYFUNCTION("""COMPUTED_VALUE"""),8.75)</f>
        <v>8.75</v>
      </c>
      <c r="C396" s="1">
        <f>IFERROR(__xludf.DUMMYFUNCTION("""COMPUTED_VALUE"""),8.92)</f>
        <v>8.92</v>
      </c>
      <c r="D396" s="1">
        <f>IFERROR(__xludf.DUMMYFUNCTION("""COMPUTED_VALUE"""),8.69)</f>
        <v>8.69</v>
      </c>
      <c r="E396" s="1">
        <f>IFERROR(__xludf.DUMMYFUNCTION("""COMPUTED_VALUE"""),8.73)</f>
        <v>8.73</v>
      </c>
      <c r="F396" s="1">
        <f>IFERROR(__xludf.DUMMYFUNCTION("""COMPUTED_VALUE"""),3680430.0)</f>
        <v>3680430</v>
      </c>
      <c r="G396" s="2" t="s">
        <v>10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IFERROR(__xludf.DUMMYFUNCTION("""COMPUTED_VALUE"""),8.67)</f>
        <v>8.67</v>
      </c>
      <c r="C397" s="1">
        <f>IFERROR(__xludf.DUMMYFUNCTION("""COMPUTED_VALUE"""),8.75)</f>
        <v>8.75</v>
      </c>
      <c r="D397" s="1">
        <f>IFERROR(__xludf.DUMMYFUNCTION("""COMPUTED_VALUE"""),8.61)</f>
        <v>8.61</v>
      </c>
      <c r="E397" s="1">
        <f>IFERROR(__xludf.DUMMYFUNCTION("""COMPUTED_VALUE"""),8.72)</f>
        <v>8.72</v>
      </c>
      <c r="F397" s="1">
        <f>IFERROR(__xludf.DUMMYFUNCTION("""COMPUTED_VALUE"""),2659652.0)</f>
        <v>2659652</v>
      </c>
      <c r="G397" s="2" t="s">
        <v>10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IFERROR(__xludf.DUMMYFUNCTION("""COMPUTED_VALUE"""),8.76)</f>
        <v>8.76</v>
      </c>
      <c r="C398" s="1">
        <f>IFERROR(__xludf.DUMMYFUNCTION("""COMPUTED_VALUE"""),8.87)</f>
        <v>8.87</v>
      </c>
      <c r="D398" s="1">
        <f>IFERROR(__xludf.DUMMYFUNCTION("""COMPUTED_VALUE"""),8.75)</f>
        <v>8.75</v>
      </c>
      <c r="E398" s="1">
        <f>IFERROR(__xludf.DUMMYFUNCTION("""COMPUTED_VALUE"""),8.8)</f>
        <v>8.8</v>
      </c>
      <c r="F398" s="1">
        <f>IFERROR(__xludf.DUMMYFUNCTION("""COMPUTED_VALUE"""),2875359.0)</f>
        <v>2875359</v>
      </c>
      <c r="G398" s="2" t="s">
        <v>10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IFERROR(__xludf.DUMMYFUNCTION("""COMPUTED_VALUE"""),8.83)</f>
        <v>8.83</v>
      </c>
      <c r="C399" s="1">
        <f>IFERROR(__xludf.DUMMYFUNCTION("""COMPUTED_VALUE"""),8.92)</f>
        <v>8.92</v>
      </c>
      <c r="D399" s="1">
        <f>IFERROR(__xludf.DUMMYFUNCTION("""COMPUTED_VALUE"""),8.77)</f>
        <v>8.77</v>
      </c>
      <c r="E399" s="1">
        <f>IFERROR(__xludf.DUMMYFUNCTION("""COMPUTED_VALUE"""),8.84)</f>
        <v>8.84</v>
      </c>
      <c r="F399" s="1">
        <f>IFERROR(__xludf.DUMMYFUNCTION("""COMPUTED_VALUE"""),3056626.0)</f>
        <v>3056626</v>
      </c>
      <c r="G399" s="2" t="s">
        <v>10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IFERROR(__xludf.DUMMYFUNCTION("""COMPUTED_VALUE"""),8.81)</f>
        <v>8.81</v>
      </c>
      <c r="C400" s="1">
        <f>IFERROR(__xludf.DUMMYFUNCTION("""COMPUTED_VALUE"""),8.93)</f>
        <v>8.93</v>
      </c>
      <c r="D400" s="1">
        <f>IFERROR(__xludf.DUMMYFUNCTION("""COMPUTED_VALUE"""),8.79)</f>
        <v>8.79</v>
      </c>
      <c r="E400" s="1">
        <f>IFERROR(__xludf.DUMMYFUNCTION("""COMPUTED_VALUE"""),8.85)</f>
        <v>8.85</v>
      </c>
      <c r="F400" s="1">
        <f>IFERROR(__xludf.DUMMYFUNCTION("""COMPUTED_VALUE"""),3905284.0)</f>
        <v>3905284</v>
      </c>
      <c r="G400" s="2" t="s">
        <v>10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IFERROR(__xludf.DUMMYFUNCTION("""COMPUTED_VALUE"""),8.73)</f>
        <v>8.73</v>
      </c>
      <c r="C401" s="1">
        <f>IFERROR(__xludf.DUMMYFUNCTION("""COMPUTED_VALUE"""),8.83)</f>
        <v>8.83</v>
      </c>
      <c r="D401" s="1">
        <f>IFERROR(__xludf.DUMMYFUNCTION("""COMPUTED_VALUE"""),8.66)</f>
        <v>8.66</v>
      </c>
      <c r="E401" s="1">
        <f>IFERROR(__xludf.DUMMYFUNCTION("""COMPUTED_VALUE"""),8.82)</f>
        <v>8.82</v>
      </c>
      <c r="F401" s="1">
        <f>IFERROR(__xludf.DUMMYFUNCTION("""COMPUTED_VALUE"""),2888735.0)</f>
        <v>2888735</v>
      </c>
      <c r="G401" s="2" t="s">
        <v>10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IFERROR(__xludf.DUMMYFUNCTION("""COMPUTED_VALUE"""),8.84)</f>
        <v>8.84</v>
      </c>
      <c r="C402" s="1">
        <f>IFERROR(__xludf.DUMMYFUNCTION("""COMPUTED_VALUE"""),8.86)</f>
        <v>8.86</v>
      </c>
      <c r="D402" s="1">
        <f>IFERROR(__xludf.DUMMYFUNCTION("""COMPUTED_VALUE"""),8.69)</f>
        <v>8.69</v>
      </c>
      <c r="E402" s="1">
        <f>IFERROR(__xludf.DUMMYFUNCTION("""COMPUTED_VALUE"""),8.69)</f>
        <v>8.69</v>
      </c>
      <c r="F402" s="1">
        <f>IFERROR(__xludf.DUMMYFUNCTION("""COMPUTED_VALUE"""),3067049.0)</f>
        <v>3067049</v>
      </c>
      <c r="G402" s="2" t="s">
        <v>10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IFERROR(__xludf.DUMMYFUNCTION("""COMPUTED_VALUE"""),8.65)</f>
        <v>8.65</v>
      </c>
      <c r="C403" s="1">
        <f>IFERROR(__xludf.DUMMYFUNCTION("""COMPUTED_VALUE"""),8.84)</f>
        <v>8.84</v>
      </c>
      <c r="D403" s="1">
        <f>IFERROR(__xludf.DUMMYFUNCTION("""COMPUTED_VALUE"""),8.65)</f>
        <v>8.65</v>
      </c>
      <c r="E403" s="1">
        <f>IFERROR(__xludf.DUMMYFUNCTION("""COMPUTED_VALUE"""),8.8)</f>
        <v>8.8</v>
      </c>
      <c r="F403" s="1">
        <f>IFERROR(__xludf.DUMMYFUNCTION("""COMPUTED_VALUE"""),3832888.0)</f>
        <v>3832888</v>
      </c>
      <c r="G403" s="2" t="s">
        <v>10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IFERROR(__xludf.DUMMYFUNCTION("""COMPUTED_VALUE"""),8.74)</f>
        <v>8.74</v>
      </c>
      <c r="C404" s="1">
        <f>IFERROR(__xludf.DUMMYFUNCTION("""COMPUTED_VALUE"""),8.9)</f>
        <v>8.9</v>
      </c>
      <c r="D404" s="1">
        <f>IFERROR(__xludf.DUMMYFUNCTION("""COMPUTED_VALUE"""),8.74)</f>
        <v>8.74</v>
      </c>
      <c r="E404" s="1">
        <f>IFERROR(__xludf.DUMMYFUNCTION("""COMPUTED_VALUE"""),8.9)</f>
        <v>8.9</v>
      </c>
      <c r="F404" s="1">
        <f>IFERROR(__xludf.DUMMYFUNCTION("""COMPUTED_VALUE"""),3237055.0)</f>
        <v>3237055</v>
      </c>
      <c r="G404" s="2" t="s">
        <v>10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IFERROR(__xludf.DUMMYFUNCTION("""COMPUTED_VALUE"""),8.91)</f>
        <v>8.91</v>
      </c>
      <c r="C405" s="1">
        <f>IFERROR(__xludf.DUMMYFUNCTION("""COMPUTED_VALUE"""),9.11)</f>
        <v>9.11</v>
      </c>
      <c r="D405" s="1">
        <f>IFERROR(__xludf.DUMMYFUNCTION("""COMPUTED_VALUE"""),8.82)</f>
        <v>8.82</v>
      </c>
      <c r="E405" s="1">
        <f>IFERROR(__xludf.DUMMYFUNCTION("""COMPUTED_VALUE"""),9.03)</f>
        <v>9.03</v>
      </c>
      <c r="F405" s="1">
        <f>IFERROR(__xludf.DUMMYFUNCTION("""COMPUTED_VALUE"""),5402722.0)</f>
        <v>5402722</v>
      </c>
      <c r="G405" s="2" t="s">
        <v>10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IFERROR(__xludf.DUMMYFUNCTION("GOOGLEFINANCE(""SAP"",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IFERROR(__xludf.DUMMYFUNCTION("""COMPUTED_VALUE"""),44564.66666666667)</f>
        <v>44564.66667</v>
      </c>
      <c r="B2" s="1">
        <f>IFERROR(__xludf.DUMMYFUNCTION("""COMPUTED_VALUE"""),140.32)</f>
        <v>140.32</v>
      </c>
      <c r="C2" s="1">
        <f>IFERROR(__xludf.DUMMYFUNCTION("""COMPUTED_VALUE"""),141.57)</f>
        <v>141.57</v>
      </c>
      <c r="D2" s="1">
        <f>IFERROR(__xludf.DUMMYFUNCTION("""COMPUTED_VALUE"""),139.16)</f>
        <v>139.16</v>
      </c>
      <c r="E2" s="1">
        <f>IFERROR(__xludf.DUMMYFUNCTION("""COMPUTED_VALUE"""),141.4)</f>
        <v>141.4</v>
      </c>
      <c r="F2" s="1">
        <f>IFERROR(__xludf.DUMMYFUNCTION("""COMPUTED_VALUE"""),811164.0)</f>
        <v>811164</v>
      </c>
      <c r="G2" s="2" t="s">
        <v>11</v>
      </c>
    </row>
    <row r="3">
      <c r="A3" s="3">
        <f>IFERROR(__xludf.DUMMYFUNCTION("""COMPUTED_VALUE"""),44565.66666666667)</f>
        <v>44565.66667</v>
      </c>
      <c r="B3" s="1">
        <f>IFERROR(__xludf.DUMMYFUNCTION("""COMPUTED_VALUE"""),141.11)</f>
        <v>141.11</v>
      </c>
      <c r="C3" s="1">
        <f>IFERROR(__xludf.DUMMYFUNCTION("""COMPUTED_VALUE"""),141.32)</f>
        <v>141.32</v>
      </c>
      <c r="D3" s="1">
        <f>IFERROR(__xludf.DUMMYFUNCTION("""COMPUTED_VALUE"""),139.94)</f>
        <v>139.94</v>
      </c>
      <c r="E3" s="1">
        <f>IFERROR(__xludf.DUMMYFUNCTION("""COMPUTED_VALUE"""),140.27)</f>
        <v>140.27</v>
      </c>
      <c r="F3" s="1">
        <f>IFERROR(__xludf.DUMMYFUNCTION("""COMPUTED_VALUE"""),749357.0)</f>
        <v>749357</v>
      </c>
      <c r="G3" s="2" t="s">
        <v>11</v>
      </c>
    </row>
    <row r="4">
      <c r="A4" s="3">
        <f>IFERROR(__xludf.DUMMYFUNCTION("""COMPUTED_VALUE"""),44566.66666666667)</f>
        <v>44566.66667</v>
      </c>
      <c r="B4" s="1">
        <f>IFERROR(__xludf.DUMMYFUNCTION("""COMPUTED_VALUE"""),141.64)</f>
        <v>141.64</v>
      </c>
      <c r="C4" s="1">
        <f>IFERROR(__xludf.DUMMYFUNCTION("""COMPUTED_VALUE"""),141.69)</f>
        <v>141.69</v>
      </c>
      <c r="D4" s="1">
        <f>IFERROR(__xludf.DUMMYFUNCTION("""COMPUTED_VALUE"""),139.39)</f>
        <v>139.39</v>
      </c>
      <c r="E4" s="1">
        <f>IFERROR(__xludf.DUMMYFUNCTION("""COMPUTED_VALUE"""),139.58)</f>
        <v>139.58</v>
      </c>
      <c r="F4" s="1">
        <f>IFERROR(__xludf.DUMMYFUNCTION("""COMPUTED_VALUE"""),902859.0)</f>
        <v>902859</v>
      </c>
      <c r="G4" s="2" t="s">
        <v>11</v>
      </c>
    </row>
    <row r="5">
      <c r="A5" s="3">
        <f>IFERROR(__xludf.DUMMYFUNCTION("""COMPUTED_VALUE"""),44567.66666666667)</f>
        <v>44567.66667</v>
      </c>
      <c r="B5" s="1">
        <f>IFERROR(__xludf.DUMMYFUNCTION("""COMPUTED_VALUE"""),137.26)</f>
        <v>137.26</v>
      </c>
      <c r="C5" s="1">
        <f>IFERROR(__xludf.DUMMYFUNCTION("""COMPUTED_VALUE"""),138.65)</f>
        <v>138.65</v>
      </c>
      <c r="D5" s="1">
        <f>IFERROR(__xludf.DUMMYFUNCTION("""COMPUTED_VALUE"""),136.8)</f>
        <v>136.8</v>
      </c>
      <c r="E5" s="1">
        <f>IFERROR(__xludf.DUMMYFUNCTION("""COMPUTED_VALUE"""),136.99)</f>
        <v>136.99</v>
      </c>
      <c r="F5" s="1">
        <f>IFERROR(__xludf.DUMMYFUNCTION("""COMPUTED_VALUE"""),837291.0)</f>
        <v>837291</v>
      </c>
      <c r="G5" s="2" t="s">
        <v>11</v>
      </c>
    </row>
    <row r="6">
      <c r="A6" s="3">
        <f>IFERROR(__xludf.DUMMYFUNCTION("""COMPUTED_VALUE"""),44568.66666666667)</f>
        <v>44568.66667</v>
      </c>
      <c r="B6" s="1">
        <f>IFERROR(__xludf.DUMMYFUNCTION("""COMPUTED_VALUE"""),137.07)</f>
        <v>137.07</v>
      </c>
      <c r="C6" s="1">
        <f>IFERROR(__xludf.DUMMYFUNCTION("""COMPUTED_VALUE"""),138.43)</f>
        <v>138.43</v>
      </c>
      <c r="D6" s="1">
        <f>IFERROR(__xludf.DUMMYFUNCTION("""COMPUTED_VALUE"""),136.62)</f>
        <v>136.62</v>
      </c>
      <c r="E6" s="1">
        <f>IFERROR(__xludf.DUMMYFUNCTION("""COMPUTED_VALUE"""),138.26)</f>
        <v>138.26</v>
      </c>
      <c r="F6" s="1">
        <f>IFERROR(__xludf.DUMMYFUNCTION("""COMPUTED_VALUE"""),632293.0)</f>
        <v>632293</v>
      </c>
      <c r="G6" s="2" t="s">
        <v>11</v>
      </c>
    </row>
    <row r="7">
      <c r="A7" s="3">
        <f>IFERROR(__xludf.DUMMYFUNCTION("""COMPUTED_VALUE"""),44571.66666666667)</f>
        <v>44571.66667</v>
      </c>
      <c r="B7" s="1">
        <f>IFERROR(__xludf.DUMMYFUNCTION("""COMPUTED_VALUE"""),137.11)</f>
        <v>137.11</v>
      </c>
      <c r="C7" s="1">
        <f>IFERROR(__xludf.DUMMYFUNCTION("""COMPUTED_VALUE"""),138.65)</f>
        <v>138.65</v>
      </c>
      <c r="D7" s="1">
        <f>IFERROR(__xludf.DUMMYFUNCTION("""COMPUTED_VALUE"""),136.48)</f>
        <v>136.48</v>
      </c>
      <c r="E7" s="1">
        <f>IFERROR(__xludf.DUMMYFUNCTION("""COMPUTED_VALUE"""),138.61)</f>
        <v>138.61</v>
      </c>
      <c r="F7" s="1">
        <f>IFERROR(__xludf.DUMMYFUNCTION("""COMPUTED_VALUE"""),803451.0)</f>
        <v>803451</v>
      </c>
      <c r="G7" s="2" t="s">
        <v>11</v>
      </c>
    </row>
    <row r="8">
      <c r="A8" s="3">
        <f>IFERROR(__xludf.DUMMYFUNCTION("""COMPUTED_VALUE"""),44572.66666666667)</f>
        <v>44572.66667</v>
      </c>
      <c r="B8" s="1">
        <f>IFERROR(__xludf.DUMMYFUNCTION("""COMPUTED_VALUE"""),137.74)</f>
        <v>137.74</v>
      </c>
      <c r="C8" s="1">
        <f>IFERROR(__xludf.DUMMYFUNCTION("""COMPUTED_VALUE"""),138.97)</f>
        <v>138.97</v>
      </c>
      <c r="D8" s="1">
        <f>IFERROR(__xludf.DUMMYFUNCTION("""COMPUTED_VALUE"""),137.46)</f>
        <v>137.46</v>
      </c>
      <c r="E8" s="1">
        <f>IFERROR(__xludf.DUMMYFUNCTION("""COMPUTED_VALUE"""),138.79)</f>
        <v>138.79</v>
      </c>
      <c r="F8" s="1">
        <f>IFERROR(__xludf.DUMMYFUNCTION("""COMPUTED_VALUE"""),720373.0)</f>
        <v>720373</v>
      </c>
      <c r="G8" s="2" t="s">
        <v>11</v>
      </c>
    </row>
    <row r="9">
      <c r="A9" s="3">
        <f>IFERROR(__xludf.DUMMYFUNCTION("""COMPUTED_VALUE"""),44573.66666666667)</f>
        <v>44573.66667</v>
      </c>
      <c r="B9" s="1">
        <f>IFERROR(__xludf.DUMMYFUNCTION("""COMPUTED_VALUE"""),139.87)</f>
        <v>139.87</v>
      </c>
      <c r="C9" s="1">
        <f>IFERROR(__xludf.DUMMYFUNCTION("""COMPUTED_VALUE"""),140.41)</f>
        <v>140.41</v>
      </c>
      <c r="D9" s="1">
        <f>IFERROR(__xludf.DUMMYFUNCTION("""COMPUTED_VALUE"""),139.0)</f>
        <v>139</v>
      </c>
      <c r="E9" s="1">
        <f>IFERROR(__xludf.DUMMYFUNCTION("""COMPUTED_VALUE"""),140.15)</f>
        <v>140.15</v>
      </c>
      <c r="F9" s="1">
        <f>IFERROR(__xludf.DUMMYFUNCTION("""COMPUTED_VALUE"""),591487.0)</f>
        <v>591487</v>
      </c>
      <c r="G9" s="2" t="s">
        <v>11</v>
      </c>
    </row>
    <row r="10">
      <c r="A10" s="3">
        <f>IFERROR(__xludf.DUMMYFUNCTION("""COMPUTED_VALUE"""),44574.66666666667)</f>
        <v>44574.66667</v>
      </c>
      <c r="B10" s="1">
        <f>IFERROR(__xludf.DUMMYFUNCTION("""COMPUTED_VALUE"""),139.03)</f>
        <v>139.03</v>
      </c>
      <c r="C10" s="1">
        <f>IFERROR(__xludf.DUMMYFUNCTION("""COMPUTED_VALUE"""),139.4)</f>
        <v>139.4</v>
      </c>
      <c r="D10" s="1">
        <f>IFERROR(__xludf.DUMMYFUNCTION("""COMPUTED_VALUE"""),135.79)</f>
        <v>135.79</v>
      </c>
      <c r="E10" s="1">
        <f>IFERROR(__xludf.DUMMYFUNCTION("""COMPUTED_VALUE"""),135.91)</f>
        <v>135.91</v>
      </c>
      <c r="F10" s="1">
        <f>IFERROR(__xludf.DUMMYFUNCTION("""COMPUTED_VALUE"""),657294.0)</f>
        <v>657294</v>
      </c>
      <c r="G10" s="2" t="s">
        <v>11</v>
      </c>
    </row>
    <row r="11">
      <c r="A11" s="3">
        <f>IFERROR(__xludf.DUMMYFUNCTION("""COMPUTED_VALUE"""),44575.66666666667)</f>
        <v>44575.66667</v>
      </c>
      <c r="B11" s="1">
        <f>IFERROR(__xludf.DUMMYFUNCTION("""COMPUTED_VALUE"""),136.56)</f>
        <v>136.56</v>
      </c>
      <c r="C11" s="1">
        <f>IFERROR(__xludf.DUMMYFUNCTION("""COMPUTED_VALUE"""),139.04)</f>
        <v>139.04</v>
      </c>
      <c r="D11" s="1">
        <f>IFERROR(__xludf.DUMMYFUNCTION("""COMPUTED_VALUE"""),136.53)</f>
        <v>136.53</v>
      </c>
      <c r="E11" s="1">
        <f>IFERROR(__xludf.DUMMYFUNCTION("""COMPUTED_VALUE"""),138.9)</f>
        <v>138.9</v>
      </c>
      <c r="F11" s="1">
        <f>IFERROR(__xludf.DUMMYFUNCTION("""COMPUTED_VALUE"""),1388825.0)</f>
        <v>1388825</v>
      </c>
      <c r="G11" s="2" t="s">
        <v>11</v>
      </c>
    </row>
    <row r="12">
      <c r="A12" s="3">
        <f>IFERROR(__xludf.DUMMYFUNCTION("""COMPUTED_VALUE"""),44579.66666666667)</f>
        <v>44579.66667</v>
      </c>
      <c r="B12" s="1">
        <f>IFERROR(__xludf.DUMMYFUNCTION("""COMPUTED_VALUE"""),136.43)</f>
        <v>136.43</v>
      </c>
      <c r="C12" s="1">
        <f>IFERROR(__xludf.DUMMYFUNCTION("""COMPUTED_VALUE"""),137.81)</f>
        <v>137.81</v>
      </c>
      <c r="D12" s="1">
        <f>IFERROR(__xludf.DUMMYFUNCTION("""COMPUTED_VALUE"""),135.71)</f>
        <v>135.71</v>
      </c>
      <c r="E12" s="1">
        <f>IFERROR(__xludf.DUMMYFUNCTION("""COMPUTED_VALUE"""),136.1)</f>
        <v>136.1</v>
      </c>
      <c r="F12" s="1">
        <f>IFERROR(__xludf.DUMMYFUNCTION("""COMPUTED_VALUE"""),988177.0)</f>
        <v>988177</v>
      </c>
      <c r="G12" s="2" t="s">
        <v>11</v>
      </c>
    </row>
    <row r="13">
      <c r="A13" s="3">
        <f>IFERROR(__xludf.DUMMYFUNCTION("""COMPUTED_VALUE"""),44580.66666666667)</f>
        <v>44580.66667</v>
      </c>
      <c r="B13" s="1">
        <f>IFERROR(__xludf.DUMMYFUNCTION("""COMPUTED_VALUE"""),137.22)</f>
        <v>137.22</v>
      </c>
      <c r="C13" s="1">
        <f>IFERROR(__xludf.DUMMYFUNCTION("""COMPUTED_VALUE"""),138.62)</f>
        <v>138.62</v>
      </c>
      <c r="D13" s="1">
        <f>IFERROR(__xludf.DUMMYFUNCTION("""COMPUTED_VALUE"""),136.69)</f>
        <v>136.69</v>
      </c>
      <c r="E13" s="1">
        <f>IFERROR(__xludf.DUMMYFUNCTION("""COMPUTED_VALUE"""),136.79)</f>
        <v>136.79</v>
      </c>
      <c r="F13" s="1">
        <f>IFERROR(__xludf.DUMMYFUNCTION("""COMPUTED_VALUE"""),681305.0)</f>
        <v>681305</v>
      </c>
      <c r="G13" s="2" t="s">
        <v>11</v>
      </c>
    </row>
    <row r="14">
      <c r="A14" s="3">
        <f>IFERROR(__xludf.DUMMYFUNCTION("""COMPUTED_VALUE"""),44581.66666666667)</f>
        <v>44581.66667</v>
      </c>
      <c r="B14" s="1">
        <f>IFERROR(__xludf.DUMMYFUNCTION("""COMPUTED_VALUE"""),139.28)</f>
        <v>139.28</v>
      </c>
      <c r="C14" s="1">
        <f>IFERROR(__xludf.DUMMYFUNCTION("""COMPUTED_VALUE"""),139.82)</f>
        <v>139.82</v>
      </c>
      <c r="D14" s="1">
        <f>IFERROR(__xludf.DUMMYFUNCTION("""COMPUTED_VALUE"""),136.89)</f>
        <v>136.89</v>
      </c>
      <c r="E14" s="1">
        <f>IFERROR(__xludf.DUMMYFUNCTION("""COMPUTED_VALUE"""),137.01)</f>
        <v>137.01</v>
      </c>
      <c r="F14" s="1">
        <f>IFERROR(__xludf.DUMMYFUNCTION("""COMPUTED_VALUE"""),1018144.0)</f>
        <v>1018144</v>
      </c>
      <c r="G14" s="2" t="s">
        <v>11</v>
      </c>
    </row>
    <row r="15">
      <c r="A15" s="3">
        <f>IFERROR(__xludf.DUMMYFUNCTION("""COMPUTED_VALUE"""),44582.66666666667)</f>
        <v>44582.66667</v>
      </c>
      <c r="B15" s="1">
        <f>IFERROR(__xludf.DUMMYFUNCTION("""COMPUTED_VALUE"""),137.37)</f>
        <v>137.37</v>
      </c>
      <c r="C15" s="1">
        <f>IFERROR(__xludf.DUMMYFUNCTION("""COMPUTED_VALUE"""),137.84)</f>
        <v>137.84</v>
      </c>
      <c r="D15" s="1">
        <f>IFERROR(__xludf.DUMMYFUNCTION("""COMPUTED_VALUE"""),135.74)</f>
        <v>135.74</v>
      </c>
      <c r="E15" s="1">
        <f>IFERROR(__xludf.DUMMYFUNCTION("""COMPUTED_VALUE"""),135.8)</f>
        <v>135.8</v>
      </c>
      <c r="F15" s="1">
        <f>IFERROR(__xludf.DUMMYFUNCTION("""COMPUTED_VALUE"""),1414849.0)</f>
        <v>1414849</v>
      </c>
      <c r="G15" s="2" t="s">
        <v>11</v>
      </c>
    </row>
    <row r="16">
      <c r="A16" s="3">
        <f>IFERROR(__xludf.DUMMYFUNCTION("""COMPUTED_VALUE"""),44585.66666666667)</f>
        <v>44585.66667</v>
      </c>
      <c r="B16" s="1">
        <f>IFERROR(__xludf.DUMMYFUNCTION("""COMPUTED_VALUE"""),132.16)</f>
        <v>132.16</v>
      </c>
      <c r="C16" s="1">
        <f>IFERROR(__xludf.DUMMYFUNCTION("""COMPUTED_VALUE"""),133.93)</f>
        <v>133.93</v>
      </c>
      <c r="D16" s="1">
        <f>IFERROR(__xludf.DUMMYFUNCTION("""COMPUTED_VALUE"""),129.67)</f>
        <v>129.67</v>
      </c>
      <c r="E16" s="1">
        <f>IFERROR(__xludf.DUMMYFUNCTION("""COMPUTED_VALUE"""),133.72)</f>
        <v>133.72</v>
      </c>
      <c r="F16" s="1">
        <f>IFERROR(__xludf.DUMMYFUNCTION("""COMPUTED_VALUE"""),1768062.0)</f>
        <v>1768062</v>
      </c>
      <c r="G16" s="2" t="s">
        <v>11</v>
      </c>
    </row>
    <row r="17">
      <c r="A17" s="3">
        <f>IFERROR(__xludf.DUMMYFUNCTION("""COMPUTED_VALUE"""),44586.66666666667)</f>
        <v>44586.66667</v>
      </c>
      <c r="B17" s="1">
        <f>IFERROR(__xludf.DUMMYFUNCTION("""COMPUTED_VALUE"""),130.8)</f>
        <v>130.8</v>
      </c>
      <c r="C17" s="1">
        <f>IFERROR(__xludf.DUMMYFUNCTION("""COMPUTED_VALUE"""),133.91)</f>
        <v>133.91</v>
      </c>
      <c r="D17" s="1">
        <f>IFERROR(__xludf.DUMMYFUNCTION("""COMPUTED_VALUE"""),129.9)</f>
        <v>129.9</v>
      </c>
      <c r="E17" s="1">
        <f>IFERROR(__xludf.DUMMYFUNCTION("""COMPUTED_VALUE"""),132.32)</f>
        <v>132.32</v>
      </c>
      <c r="F17" s="1">
        <f>IFERROR(__xludf.DUMMYFUNCTION("""COMPUTED_VALUE"""),1474638.0)</f>
        <v>1474638</v>
      </c>
      <c r="G17" s="2" t="s">
        <v>11</v>
      </c>
    </row>
    <row r="18">
      <c r="A18" s="3">
        <f>IFERROR(__xludf.DUMMYFUNCTION("""COMPUTED_VALUE"""),44587.66666666667)</f>
        <v>44587.66667</v>
      </c>
      <c r="B18" s="1">
        <f>IFERROR(__xludf.DUMMYFUNCTION("""COMPUTED_VALUE"""),133.32)</f>
        <v>133.32</v>
      </c>
      <c r="C18" s="1">
        <f>IFERROR(__xludf.DUMMYFUNCTION("""COMPUTED_VALUE"""),134.35)</f>
        <v>134.35</v>
      </c>
      <c r="D18" s="1">
        <f>IFERROR(__xludf.DUMMYFUNCTION("""COMPUTED_VALUE"""),131.33)</f>
        <v>131.33</v>
      </c>
      <c r="E18" s="1">
        <f>IFERROR(__xludf.DUMMYFUNCTION("""COMPUTED_VALUE"""),132.28)</f>
        <v>132.28</v>
      </c>
      <c r="F18" s="1">
        <f>IFERROR(__xludf.DUMMYFUNCTION("""COMPUTED_VALUE"""),1572876.0)</f>
        <v>1572876</v>
      </c>
      <c r="G18" s="2" t="s">
        <v>11</v>
      </c>
    </row>
    <row r="19">
      <c r="A19" s="3">
        <f>IFERROR(__xludf.DUMMYFUNCTION("""COMPUTED_VALUE"""),44588.66666666667)</f>
        <v>44588.66667</v>
      </c>
      <c r="B19" s="1">
        <f>IFERROR(__xludf.DUMMYFUNCTION("""COMPUTED_VALUE"""),123.92)</f>
        <v>123.92</v>
      </c>
      <c r="C19" s="1">
        <f>IFERROR(__xludf.DUMMYFUNCTION("""COMPUTED_VALUE"""),125.2)</f>
        <v>125.2</v>
      </c>
      <c r="D19" s="1">
        <f>IFERROR(__xludf.DUMMYFUNCTION("""COMPUTED_VALUE"""),122.08)</f>
        <v>122.08</v>
      </c>
      <c r="E19" s="1">
        <f>IFERROR(__xludf.DUMMYFUNCTION("""COMPUTED_VALUE"""),122.38)</f>
        <v>122.38</v>
      </c>
      <c r="F19" s="1">
        <f>IFERROR(__xludf.DUMMYFUNCTION("""COMPUTED_VALUE"""),2149087.0)</f>
        <v>2149087</v>
      </c>
      <c r="G19" s="2" t="s">
        <v>11</v>
      </c>
    </row>
    <row r="20">
      <c r="A20" s="3">
        <f>IFERROR(__xludf.DUMMYFUNCTION("""COMPUTED_VALUE"""),44589.66666666667)</f>
        <v>44589.66667</v>
      </c>
      <c r="B20" s="1">
        <f>IFERROR(__xludf.DUMMYFUNCTION("""COMPUTED_VALUE"""),119.7)</f>
        <v>119.7</v>
      </c>
      <c r="C20" s="1">
        <f>IFERROR(__xludf.DUMMYFUNCTION("""COMPUTED_VALUE"""),122.03)</f>
        <v>122.03</v>
      </c>
      <c r="D20" s="1">
        <f>IFERROR(__xludf.DUMMYFUNCTION("""COMPUTED_VALUE"""),119.04)</f>
        <v>119.04</v>
      </c>
      <c r="E20" s="1">
        <f>IFERROR(__xludf.DUMMYFUNCTION("""COMPUTED_VALUE"""),121.97)</f>
        <v>121.97</v>
      </c>
      <c r="F20" s="1">
        <f>IFERROR(__xludf.DUMMYFUNCTION("""COMPUTED_VALUE"""),1479663.0)</f>
        <v>1479663</v>
      </c>
      <c r="G20" s="2" t="s">
        <v>11</v>
      </c>
    </row>
    <row r="21">
      <c r="A21" s="3">
        <f>IFERROR(__xludf.DUMMYFUNCTION("""COMPUTED_VALUE"""),44592.66666666667)</f>
        <v>44592.66667</v>
      </c>
      <c r="B21" s="1">
        <f>IFERROR(__xludf.DUMMYFUNCTION("""COMPUTED_VALUE"""),121.82)</f>
        <v>121.82</v>
      </c>
      <c r="C21" s="1">
        <f>IFERROR(__xludf.DUMMYFUNCTION("""COMPUTED_VALUE"""),125.23)</f>
        <v>125.23</v>
      </c>
      <c r="D21" s="1">
        <f>IFERROR(__xludf.DUMMYFUNCTION("""COMPUTED_VALUE"""),121.82)</f>
        <v>121.82</v>
      </c>
      <c r="E21" s="1">
        <f>IFERROR(__xludf.DUMMYFUNCTION("""COMPUTED_VALUE"""),125.21)</f>
        <v>125.21</v>
      </c>
      <c r="F21" s="1">
        <f>IFERROR(__xludf.DUMMYFUNCTION("""COMPUTED_VALUE"""),1143016.0)</f>
        <v>1143016</v>
      </c>
      <c r="G21" s="2" t="s">
        <v>11</v>
      </c>
    </row>
    <row r="22">
      <c r="A22" s="3">
        <f>IFERROR(__xludf.DUMMYFUNCTION("""COMPUTED_VALUE"""),44593.66666666667)</f>
        <v>44593.66667</v>
      </c>
      <c r="B22" s="1">
        <f>IFERROR(__xludf.DUMMYFUNCTION("""COMPUTED_VALUE"""),126.55)</f>
        <v>126.55</v>
      </c>
      <c r="C22" s="1">
        <f>IFERROR(__xludf.DUMMYFUNCTION("""COMPUTED_VALUE"""),127.84)</f>
        <v>127.84</v>
      </c>
      <c r="D22" s="1">
        <f>IFERROR(__xludf.DUMMYFUNCTION("""COMPUTED_VALUE"""),125.33)</f>
        <v>125.33</v>
      </c>
      <c r="E22" s="1">
        <f>IFERROR(__xludf.DUMMYFUNCTION("""COMPUTED_VALUE"""),127.68)</f>
        <v>127.68</v>
      </c>
      <c r="F22" s="1">
        <f>IFERROR(__xludf.DUMMYFUNCTION("""COMPUTED_VALUE"""),1289516.0)</f>
        <v>1289516</v>
      </c>
      <c r="G22" s="2" t="s">
        <v>11</v>
      </c>
    </row>
    <row r="23">
      <c r="A23" s="3">
        <f>IFERROR(__xludf.DUMMYFUNCTION("""COMPUTED_VALUE"""),44594.66666666667)</f>
        <v>44594.66667</v>
      </c>
      <c r="B23" s="1">
        <f>IFERROR(__xludf.DUMMYFUNCTION("""COMPUTED_VALUE"""),127.0)</f>
        <v>127</v>
      </c>
      <c r="C23" s="1">
        <f>IFERROR(__xludf.DUMMYFUNCTION("""COMPUTED_VALUE"""),127.47)</f>
        <v>127.47</v>
      </c>
      <c r="D23" s="1">
        <f>IFERROR(__xludf.DUMMYFUNCTION("""COMPUTED_VALUE"""),126.65)</f>
        <v>126.65</v>
      </c>
      <c r="E23" s="1">
        <f>IFERROR(__xludf.DUMMYFUNCTION("""COMPUTED_VALUE"""),127.15)</f>
        <v>127.15</v>
      </c>
      <c r="F23" s="1">
        <f>IFERROR(__xludf.DUMMYFUNCTION("""COMPUTED_VALUE"""),989930.0)</f>
        <v>989930</v>
      </c>
      <c r="G23" s="2" t="s">
        <v>11</v>
      </c>
    </row>
    <row r="24">
      <c r="A24" s="3">
        <f>IFERROR(__xludf.DUMMYFUNCTION("""COMPUTED_VALUE"""),44595.66666666667)</f>
        <v>44595.66667</v>
      </c>
      <c r="B24" s="1">
        <f>IFERROR(__xludf.DUMMYFUNCTION("""COMPUTED_VALUE"""),124.28)</f>
        <v>124.28</v>
      </c>
      <c r="C24" s="1">
        <f>IFERROR(__xludf.DUMMYFUNCTION("""COMPUTED_VALUE"""),125.44)</f>
        <v>125.44</v>
      </c>
      <c r="D24" s="1">
        <f>IFERROR(__xludf.DUMMYFUNCTION("""COMPUTED_VALUE"""),123.59)</f>
        <v>123.59</v>
      </c>
      <c r="E24" s="1">
        <f>IFERROR(__xludf.DUMMYFUNCTION("""COMPUTED_VALUE"""),123.81)</f>
        <v>123.81</v>
      </c>
      <c r="F24" s="1">
        <f>IFERROR(__xludf.DUMMYFUNCTION("""COMPUTED_VALUE"""),1063878.0)</f>
        <v>1063878</v>
      </c>
      <c r="G24" s="2" t="s">
        <v>11</v>
      </c>
    </row>
    <row r="25">
      <c r="A25" s="3">
        <f>IFERROR(__xludf.DUMMYFUNCTION("""COMPUTED_VALUE"""),44596.66666666667)</f>
        <v>44596.66667</v>
      </c>
      <c r="B25" s="1">
        <f>IFERROR(__xludf.DUMMYFUNCTION("""COMPUTED_VALUE"""),124.54)</f>
        <v>124.54</v>
      </c>
      <c r="C25" s="1">
        <f>IFERROR(__xludf.DUMMYFUNCTION("""COMPUTED_VALUE"""),126.44)</f>
        <v>126.44</v>
      </c>
      <c r="D25" s="1">
        <f>IFERROR(__xludf.DUMMYFUNCTION("""COMPUTED_VALUE"""),124.29)</f>
        <v>124.29</v>
      </c>
      <c r="E25" s="1">
        <f>IFERROR(__xludf.DUMMYFUNCTION("""COMPUTED_VALUE"""),126.14)</f>
        <v>126.14</v>
      </c>
      <c r="F25" s="1">
        <f>IFERROR(__xludf.DUMMYFUNCTION("""COMPUTED_VALUE"""),1343065.0)</f>
        <v>1343065</v>
      </c>
      <c r="G25" s="2" t="s">
        <v>11</v>
      </c>
    </row>
    <row r="26">
      <c r="A26" s="3">
        <f>IFERROR(__xludf.DUMMYFUNCTION("""COMPUTED_VALUE"""),44599.66666666667)</f>
        <v>44599.66667</v>
      </c>
      <c r="B26" s="1">
        <f>IFERROR(__xludf.DUMMYFUNCTION("""COMPUTED_VALUE"""),127.71)</f>
        <v>127.71</v>
      </c>
      <c r="C26" s="1">
        <f>IFERROR(__xludf.DUMMYFUNCTION("""COMPUTED_VALUE"""),128.16)</f>
        <v>128.16</v>
      </c>
      <c r="D26" s="1">
        <f>IFERROR(__xludf.DUMMYFUNCTION("""COMPUTED_VALUE"""),126.53)</f>
        <v>126.53</v>
      </c>
      <c r="E26" s="1">
        <f>IFERROR(__xludf.DUMMYFUNCTION("""COMPUTED_VALUE"""),126.89)</f>
        <v>126.89</v>
      </c>
      <c r="F26" s="1">
        <f>IFERROR(__xludf.DUMMYFUNCTION("""COMPUTED_VALUE"""),1121787.0)</f>
        <v>1121787</v>
      </c>
      <c r="G26" s="2" t="s">
        <v>11</v>
      </c>
    </row>
    <row r="27">
      <c r="A27" s="3">
        <f>IFERROR(__xludf.DUMMYFUNCTION("""COMPUTED_VALUE"""),44600.66666666667)</f>
        <v>44600.66667</v>
      </c>
      <c r="B27" s="1">
        <f>IFERROR(__xludf.DUMMYFUNCTION("""COMPUTED_VALUE"""),125.28)</f>
        <v>125.28</v>
      </c>
      <c r="C27" s="1">
        <f>IFERROR(__xludf.DUMMYFUNCTION("""COMPUTED_VALUE"""),125.9)</f>
        <v>125.9</v>
      </c>
      <c r="D27" s="1">
        <f>IFERROR(__xludf.DUMMYFUNCTION("""COMPUTED_VALUE"""),124.75)</f>
        <v>124.75</v>
      </c>
      <c r="E27" s="1">
        <f>IFERROR(__xludf.DUMMYFUNCTION("""COMPUTED_VALUE"""),125.69)</f>
        <v>125.69</v>
      </c>
      <c r="F27" s="1">
        <f>IFERROR(__xludf.DUMMYFUNCTION("""COMPUTED_VALUE"""),711291.0)</f>
        <v>711291</v>
      </c>
      <c r="G27" s="2" t="s">
        <v>11</v>
      </c>
    </row>
    <row r="28">
      <c r="A28" s="3">
        <f>IFERROR(__xludf.DUMMYFUNCTION("""COMPUTED_VALUE"""),44601.66666666667)</f>
        <v>44601.66667</v>
      </c>
      <c r="B28" s="1">
        <f>IFERROR(__xludf.DUMMYFUNCTION("""COMPUTED_VALUE"""),125.55)</f>
        <v>125.55</v>
      </c>
      <c r="C28" s="1">
        <f>IFERROR(__xludf.DUMMYFUNCTION("""COMPUTED_VALUE"""),126.37)</f>
        <v>126.37</v>
      </c>
      <c r="D28" s="1">
        <f>IFERROR(__xludf.DUMMYFUNCTION("""COMPUTED_VALUE"""),124.93)</f>
        <v>124.93</v>
      </c>
      <c r="E28" s="1">
        <f>IFERROR(__xludf.DUMMYFUNCTION("""COMPUTED_VALUE"""),126.29)</f>
        <v>126.29</v>
      </c>
      <c r="F28" s="1">
        <f>IFERROR(__xludf.DUMMYFUNCTION("""COMPUTED_VALUE"""),945856.0)</f>
        <v>945856</v>
      </c>
      <c r="G28" s="2" t="s">
        <v>11</v>
      </c>
    </row>
    <row r="29">
      <c r="A29" s="3">
        <f>IFERROR(__xludf.DUMMYFUNCTION("""COMPUTED_VALUE"""),44602.66666666667)</f>
        <v>44602.66667</v>
      </c>
      <c r="B29" s="1">
        <f>IFERROR(__xludf.DUMMYFUNCTION("""COMPUTED_VALUE"""),123.54)</f>
        <v>123.54</v>
      </c>
      <c r="C29" s="1">
        <f>IFERROR(__xludf.DUMMYFUNCTION("""COMPUTED_VALUE"""),126.16)</f>
        <v>126.16</v>
      </c>
      <c r="D29" s="1">
        <f>IFERROR(__xludf.DUMMYFUNCTION("""COMPUTED_VALUE"""),123.47)</f>
        <v>123.47</v>
      </c>
      <c r="E29" s="1">
        <f>IFERROR(__xludf.DUMMYFUNCTION("""COMPUTED_VALUE"""),123.85)</f>
        <v>123.85</v>
      </c>
      <c r="F29" s="1">
        <f>IFERROR(__xludf.DUMMYFUNCTION("""COMPUTED_VALUE"""),679479.0)</f>
        <v>679479</v>
      </c>
      <c r="G29" s="2" t="s">
        <v>11</v>
      </c>
    </row>
    <row r="30">
      <c r="A30" s="3">
        <f>IFERROR(__xludf.DUMMYFUNCTION("""COMPUTED_VALUE"""),44603.66666666667)</f>
        <v>44603.66667</v>
      </c>
      <c r="B30" s="1">
        <f>IFERROR(__xludf.DUMMYFUNCTION("""COMPUTED_VALUE"""),123.63)</f>
        <v>123.63</v>
      </c>
      <c r="C30" s="1">
        <f>IFERROR(__xludf.DUMMYFUNCTION("""COMPUTED_VALUE"""),124.18)</f>
        <v>124.18</v>
      </c>
      <c r="D30" s="1">
        <f>IFERROR(__xludf.DUMMYFUNCTION("""COMPUTED_VALUE"""),120.02)</f>
        <v>120.02</v>
      </c>
      <c r="E30" s="1">
        <f>IFERROR(__xludf.DUMMYFUNCTION("""COMPUTED_VALUE"""),120.34)</f>
        <v>120.34</v>
      </c>
      <c r="F30" s="1">
        <f>IFERROR(__xludf.DUMMYFUNCTION("""COMPUTED_VALUE"""),979110.0)</f>
        <v>979110</v>
      </c>
      <c r="G30" s="2" t="s">
        <v>11</v>
      </c>
    </row>
    <row r="31">
      <c r="A31" s="3">
        <f>IFERROR(__xludf.DUMMYFUNCTION("""COMPUTED_VALUE"""),44606.66666666667)</f>
        <v>44606.66667</v>
      </c>
      <c r="B31" s="1">
        <f>IFERROR(__xludf.DUMMYFUNCTION("""COMPUTED_VALUE"""),118.59)</f>
        <v>118.59</v>
      </c>
      <c r="C31" s="1">
        <f>IFERROR(__xludf.DUMMYFUNCTION("""COMPUTED_VALUE"""),119.54)</f>
        <v>119.54</v>
      </c>
      <c r="D31" s="1">
        <f>IFERROR(__xludf.DUMMYFUNCTION("""COMPUTED_VALUE"""),117.49)</f>
        <v>117.49</v>
      </c>
      <c r="E31" s="1">
        <f>IFERROR(__xludf.DUMMYFUNCTION("""COMPUTED_VALUE"""),118.35)</f>
        <v>118.35</v>
      </c>
      <c r="F31" s="1">
        <f>IFERROR(__xludf.DUMMYFUNCTION("""COMPUTED_VALUE"""),1384580.0)</f>
        <v>1384580</v>
      </c>
      <c r="G31" s="2" t="s">
        <v>11</v>
      </c>
    </row>
    <row r="32">
      <c r="A32" s="3">
        <f>IFERROR(__xludf.DUMMYFUNCTION("""COMPUTED_VALUE"""),44607.66666666667)</f>
        <v>44607.66667</v>
      </c>
      <c r="B32" s="1">
        <f>IFERROR(__xludf.DUMMYFUNCTION("""COMPUTED_VALUE"""),120.21)</f>
        <v>120.21</v>
      </c>
      <c r="C32" s="1">
        <f>IFERROR(__xludf.DUMMYFUNCTION("""COMPUTED_VALUE"""),120.56)</f>
        <v>120.56</v>
      </c>
      <c r="D32" s="1">
        <f>IFERROR(__xludf.DUMMYFUNCTION("""COMPUTED_VALUE"""),119.66)</f>
        <v>119.66</v>
      </c>
      <c r="E32" s="1">
        <f>IFERROR(__xludf.DUMMYFUNCTION("""COMPUTED_VALUE"""),120.25)</f>
        <v>120.25</v>
      </c>
      <c r="F32" s="1">
        <f>IFERROR(__xludf.DUMMYFUNCTION("""COMPUTED_VALUE"""),703487.0)</f>
        <v>703487</v>
      </c>
      <c r="G32" s="2" t="s">
        <v>11</v>
      </c>
    </row>
    <row r="33">
      <c r="A33" s="3">
        <f>IFERROR(__xludf.DUMMYFUNCTION("""COMPUTED_VALUE"""),44608.66666666667)</f>
        <v>44608.66667</v>
      </c>
      <c r="B33" s="1">
        <f>IFERROR(__xludf.DUMMYFUNCTION("""COMPUTED_VALUE"""),119.86)</f>
        <v>119.86</v>
      </c>
      <c r="C33" s="1">
        <f>IFERROR(__xludf.DUMMYFUNCTION("""COMPUTED_VALUE"""),121.05)</f>
        <v>121.05</v>
      </c>
      <c r="D33" s="1">
        <f>IFERROR(__xludf.DUMMYFUNCTION("""COMPUTED_VALUE"""),119.08)</f>
        <v>119.08</v>
      </c>
      <c r="E33" s="1">
        <f>IFERROR(__xludf.DUMMYFUNCTION("""COMPUTED_VALUE"""),120.91)</f>
        <v>120.91</v>
      </c>
      <c r="F33" s="1">
        <f>IFERROR(__xludf.DUMMYFUNCTION("""COMPUTED_VALUE"""),766593.0)</f>
        <v>766593</v>
      </c>
      <c r="G33" s="2" t="s">
        <v>11</v>
      </c>
    </row>
    <row r="34">
      <c r="A34" s="3">
        <f>IFERROR(__xludf.DUMMYFUNCTION("""COMPUTED_VALUE"""),44609.66666666667)</f>
        <v>44609.66667</v>
      </c>
      <c r="B34" s="1">
        <f>IFERROR(__xludf.DUMMYFUNCTION("""COMPUTED_VALUE"""),119.57)</f>
        <v>119.57</v>
      </c>
      <c r="C34" s="1">
        <f>IFERROR(__xludf.DUMMYFUNCTION("""COMPUTED_VALUE"""),119.78)</f>
        <v>119.78</v>
      </c>
      <c r="D34" s="1">
        <f>IFERROR(__xludf.DUMMYFUNCTION("""COMPUTED_VALUE"""),117.73)</f>
        <v>117.73</v>
      </c>
      <c r="E34" s="1">
        <f>IFERROR(__xludf.DUMMYFUNCTION("""COMPUTED_VALUE"""),117.84)</f>
        <v>117.84</v>
      </c>
      <c r="F34" s="1">
        <f>IFERROR(__xludf.DUMMYFUNCTION("""COMPUTED_VALUE"""),724689.0)</f>
        <v>724689</v>
      </c>
      <c r="G34" s="2" t="s">
        <v>11</v>
      </c>
    </row>
    <row r="35">
      <c r="A35" s="3">
        <f>IFERROR(__xludf.DUMMYFUNCTION("""COMPUTED_VALUE"""),44610.66666666667)</f>
        <v>44610.66667</v>
      </c>
      <c r="B35" s="1">
        <f>IFERROR(__xludf.DUMMYFUNCTION("""COMPUTED_VALUE"""),117.61)</f>
        <v>117.61</v>
      </c>
      <c r="C35" s="1">
        <f>IFERROR(__xludf.DUMMYFUNCTION("""COMPUTED_VALUE"""),117.67)</f>
        <v>117.67</v>
      </c>
      <c r="D35" s="1">
        <f>IFERROR(__xludf.DUMMYFUNCTION("""COMPUTED_VALUE"""),115.61)</f>
        <v>115.61</v>
      </c>
      <c r="E35" s="1">
        <f>IFERROR(__xludf.DUMMYFUNCTION("""COMPUTED_VALUE"""),115.71)</f>
        <v>115.71</v>
      </c>
      <c r="F35" s="1">
        <f>IFERROR(__xludf.DUMMYFUNCTION("""COMPUTED_VALUE"""),831619.0)</f>
        <v>831619</v>
      </c>
      <c r="G35" s="2" t="s">
        <v>11</v>
      </c>
    </row>
    <row r="36">
      <c r="A36" s="3">
        <f>IFERROR(__xludf.DUMMYFUNCTION("""COMPUTED_VALUE"""),44614.66666666667)</f>
        <v>44614.66667</v>
      </c>
      <c r="B36" s="1">
        <f>IFERROR(__xludf.DUMMYFUNCTION("""COMPUTED_VALUE"""),113.56)</f>
        <v>113.56</v>
      </c>
      <c r="C36" s="1">
        <f>IFERROR(__xludf.DUMMYFUNCTION("""COMPUTED_VALUE"""),114.53)</f>
        <v>114.53</v>
      </c>
      <c r="D36" s="1">
        <f>IFERROR(__xludf.DUMMYFUNCTION("""COMPUTED_VALUE"""),112.35)</f>
        <v>112.35</v>
      </c>
      <c r="E36" s="1">
        <f>IFERROR(__xludf.DUMMYFUNCTION("""COMPUTED_VALUE"""),113.56)</f>
        <v>113.56</v>
      </c>
      <c r="F36" s="1">
        <f>IFERROR(__xludf.DUMMYFUNCTION("""COMPUTED_VALUE"""),1052527.0)</f>
        <v>1052527</v>
      </c>
      <c r="G36" s="2" t="s">
        <v>11</v>
      </c>
    </row>
    <row r="37">
      <c r="A37" s="3">
        <f>IFERROR(__xludf.DUMMYFUNCTION("""COMPUTED_VALUE"""),44615.66666666667)</f>
        <v>44615.66667</v>
      </c>
      <c r="B37" s="1">
        <f>IFERROR(__xludf.DUMMYFUNCTION("""COMPUTED_VALUE"""),114.38)</f>
        <v>114.38</v>
      </c>
      <c r="C37" s="1">
        <f>IFERROR(__xludf.DUMMYFUNCTION("""COMPUTED_VALUE"""),114.51)</f>
        <v>114.51</v>
      </c>
      <c r="D37" s="1">
        <f>IFERROR(__xludf.DUMMYFUNCTION("""COMPUTED_VALUE"""),110.88)</f>
        <v>110.88</v>
      </c>
      <c r="E37" s="1">
        <f>IFERROR(__xludf.DUMMYFUNCTION("""COMPUTED_VALUE"""),110.98)</f>
        <v>110.98</v>
      </c>
      <c r="F37" s="1">
        <f>IFERROR(__xludf.DUMMYFUNCTION("""COMPUTED_VALUE"""),1219484.0)</f>
        <v>1219484</v>
      </c>
      <c r="G37" s="2" t="s">
        <v>11</v>
      </c>
    </row>
    <row r="38">
      <c r="A38" s="3">
        <f>IFERROR(__xludf.DUMMYFUNCTION("""COMPUTED_VALUE"""),44616.66666666667)</f>
        <v>44616.66667</v>
      </c>
      <c r="B38" s="1">
        <f>IFERROR(__xludf.DUMMYFUNCTION("""COMPUTED_VALUE"""),107.62)</f>
        <v>107.62</v>
      </c>
      <c r="C38" s="1">
        <f>IFERROR(__xludf.DUMMYFUNCTION("""COMPUTED_VALUE"""),112.01)</f>
        <v>112.01</v>
      </c>
      <c r="D38" s="1">
        <f>IFERROR(__xludf.DUMMYFUNCTION("""COMPUTED_VALUE"""),107.37)</f>
        <v>107.37</v>
      </c>
      <c r="E38" s="1">
        <f>IFERROR(__xludf.DUMMYFUNCTION("""COMPUTED_VALUE"""),111.95)</f>
        <v>111.95</v>
      </c>
      <c r="F38" s="1">
        <f>IFERROR(__xludf.DUMMYFUNCTION("""COMPUTED_VALUE"""),1878768.0)</f>
        <v>1878768</v>
      </c>
      <c r="G38" s="2" t="s">
        <v>11</v>
      </c>
    </row>
    <row r="39">
      <c r="A39" s="3">
        <f>IFERROR(__xludf.DUMMYFUNCTION("""COMPUTED_VALUE"""),44617.66666666667)</f>
        <v>44617.66667</v>
      </c>
      <c r="B39" s="1">
        <f>IFERROR(__xludf.DUMMYFUNCTION("""COMPUTED_VALUE"""),113.6)</f>
        <v>113.6</v>
      </c>
      <c r="C39" s="1">
        <f>IFERROR(__xludf.DUMMYFUNCTION("""COMPUTED_VALUE"""),115.05)</f>
        <v>115.05</v>
      </c>
      <c r="D39" s="1">
        <f>IFERROR(__xludf.DUMMYFUNCTION("""COMPUTED_VALUE"""),112.98)</f>
        <v>112.98</v>
      </c>
      <c r="E39" s="1">
        <f>IFERROR(__xludf.DUMMYFUNCTION("""COMPUTED_VALUE"""),115.02)</f>
        <v>115.02</v>
      </c>
      <c r="F39" s="1">
        <f>IFERROR(__xludf.DUMMYFUNCTION("""COMPUTED_VALUE"""),909564.0)</f>
        <v>909564</v>
      </c>
      <c r="G39" s="2" t="s">
        <v>11</v>
      </c>
    </row>
    <row r="40">
      <c r="A40" s="3">
        <f>IFERROR(__xludf.DUMMYFUNCTION("""COMPUTED_VALUE"""),44620.66666666667)</f>
        <v>44620.66667</v>
      </c>
      <c r="B40" s="1">
        <f>IFERROR(__xludf.DUMMYFUNCTION("""COMPUTED_VALUE"""),112.18)</f>
        <v>112.18</v>
      </c>
      <c r="C40" s="1">
        <f>IFERROR(__xludf.DUMMYFUNCTION("""COMPUTED_VALUE"""),114.14)</f>
        <v>114.14</v>
      </c>
      <c r="D40" s="1">
        <f>IFERROR(__xludf.DUMMYFUNCTION("""COMPUTED_VALUE"""),111.47)</f>
        <v>111.47</v>
      </c>
      <c r="E40" s="1">
        <f>IFERROR(__xludf.DUMMYFUNCTION("""COMPUTED_VALUE"""),112.58)</f>
        <v>112.58</v>
      </c>
      <c r="F40" s="1">
        <f>IFERROR(__xludf.DUMMYFUNCTION("""COMPUTED_VALUE"""),1295537.0)</f>
        <v>1295537</v>
      </c>
      <c r="G40" s="2" t="s">
        <v>11</v>
      </c>
    </row>
    <row r="41">
      <c r="A41" s="3">
        <f>IFERROR(__xludf.DUMMYFUNCTION("""COMPUTED_VALUE"""),44621.66666666667)</f>
        <v>44621.66667</v>
      </c>
      <c r="B41" s="1">
        <f>IFERROR(__xludf.DUMMYFUNCTION("""COMPUTED_VALUE"""),111.14)</f>
        <v>111.14</v>
      </c>
      <c r="C41" s="1">
        <f>IFERROR(__xludf.DUMMYFUNCTION("""COMPUTED_VALUE"""),111.92)</f>
        <v>111.92</v>
      </c>
      <c r="D41" s="1">
        <f>IFERROR(__xludf.DUMMYFUNCTION("""COMPUTED_VALUE"""),108.88)</f>
        <v>108.88</v>
      </c>
      <c r="E41" s="1">
        <f>IFERROR(__xludf.DUMMYFUNCTION("""COMPUTED_VALUE"""),109.25)</f>
        <v>109.25</v>
      </c>
      <c r="F41" s="1">
        <f>IFERROR(__xludf.DUMMYFUNCTION("""COMPUTED_VALUE"""),1442163.0)</f>
        <v>1442163</v>
      </c>
      <c r="G41" s="2" t="s">
        <v>11</v>
      </c>
    </row>
    <row r="42">
      <c r="A42" s="3">
        <f>IFERROR(__xludf.DUMMYFUNCTION("""COMPUTED_VALUE"""),44622.66666666667)</f>
        <v>44622.66667</v>
      </c>
      <c r="B42" s="1">
        <f>IFERROR(__xludf.DUMMYFUNCTION("""COMPUTED_VALUE"""),111.12)</f>
        <v>111.12</v>
      </c>
      <c r="C42" s="1">
        <f>IFERROR(__xludf.DUMMYFUNCTION("""COMPUTED_VALUE"""),113.44)</f>
        <v>113.44</v>
      </c>
      <c r="D42" s="1">
        <f>IFERROR(__xludf.DUMMYFUNCTION("""COMPUTED_VALUE"""),110.63)</f>
        <v>110.63</v>
      </c>
      <c r="E42" s="1">
        <f>IFERROR(__xludf.DUMMYFUNCTION("""COMPUTED_VALUE"""),113.19)</f>
        <v>113.19</v>
      </c>
      <c r="F42" s="1">
        <f>IFERROR(__xludf.DUMMYFUNCTION("""COMPUTED_VALUE"""),1509938.0)</f>
        <v>1509938</v>
      </c>
      <c r="G42" s="2" t="s">
        <v>11</v>
      </c>
    </row>
    <row r="43">
      <c r="A43" s="3">
        <f>IFERROR(__xludf.DUMMYFUNCTION("""COMPUTED_VALUE"""),44623.66666666667)</f>
        <v>44623.66667</v>
      </c>
      <c r="B43" s="1">
        <f>IFERROR(__xludf.DUMMYFUNCTION("""COMPUTED_VALUE"""),111.48)</f>
        <v>111.48</v>
      </c>
      <c r="C43" s="1">
        <f>IFERROR(__xludf.DUMMYFUNCTION("""COMPUTED_VALUE"""),111.54)</f>
        <v>111.54</v>
      </c>
      <c r="D43" s="1">
        <f>IFERROR(__xludf.DUMMYFUNCTION("""COMPUTED_VALUE"""),108.66)</f>
        <v>108.66</v>
      </c>
      <c r="E43" s="1">
        <f>IFERROR(__xludf.DUMMYFUNCTION("""COMPUTED_VALUE"""),109.01)</f>
        <v>109.01</v>
      </c>
      <c r="F43" s="1">
        <f>IFERROR(__xludf.DUMMYFUNCTION("""COMPUTED_VALUE"""),1281930.0)</f>
        <v>1281930</v>
      </c>
      <c r="G43" s="2" t="s">
        <v>11</v>
      </c>
    </row>
    <row r="44">
      <c r="A44" s="3">
        <f>IFERROR(__xludf.DUMMYFUNCTION("""COMPUTED_VALUE"""),44624.66666666667)</f>
        <v>44624.66667</v>
      </c>
      <c r="B44" s="1">
        <f>IFERROR(__xludf.DUMMYFUNCTION("""COMPUTED_VALUE"""),107.12)</f>
        <v>107.12</v>
      </c>
      <c r="C44" s="1">
        <f>IFERROR(__xludf.DUMMYFUNCTION("""COMPUTED_VALUE"""),107.4)</f>
        <v>107.4</v>
      </c>
      <c r="D44" s="1">
        <f>IFERROR(__xludf.DUMMYFUNCTION("""COMPUTED_VALUE"""),105.34)</f>
        <v>105.34</v>
      </c>
      <c r="E44" s="1">
        <f>IFERROR(__xludf.DUMMYFUNCTION("""COMPUTED_VALUE"""),106.1)</f>
        <v>106.1</v>
      </c>
      <c r="F44" s="1">
        <f>IFERROR(__xludf.DUMMYFUNCTION("""COMPUTED_VALUE"""),1618171.0)</f>
        <v>1618171</v>
      </c>
      <c r="G44" s="2" t="s">
        <v>11</v>
      </c>
    </row>
    <row r="45">
      <c r="A45" s="3">
        <f>IFERROR(__xludf.DUMMYFUNCTION("""COMPUTED_VALUE"""),44627.66666666667)</f>
        <v>44627.66667</v>
      </c>
      <c r="B45" s="1">
        <f>IFERROR(__xludf.DUMMYFUNCTION("""COMPUTED_VALUE"""),108.06)</f>
        <v>108.06</v>
      </c>
      <c r="C45" s="1">
        <f>IFERROR(__xludf.DUMMYFUNCTION("""COMPUTED_VALUE"""),108.46)</f>
        <v>108.46</v>
      </c>
      <c r="D45" s="1">
        <f>IFERROR(__xludf.DUMMYFUNCTION("""COMPUTED_VALUE"""),104.95)</f>
        <v>104.95</v>
      </c>
      <c r="E45" s="1">
        <f>IFERROR(__xludf.DUMMYFUNCTION("""COMPUTED_VALUE"""),104.97)</f>
        <v>104.97</v>
      </c>
      <c r="F45" s="1">
        <f>IFERROR(__xludf.DUMMYFUNCTION("""COMPUTED_VALUE"""),1888142.0)</f>
        <v>1888142</v>
      </c>
      <c r="G45" s="2" t="s">
        <v>11</v>
      </c>
    </row>
    <row r="46">
      <c r="A46" s="3">
        <f>IFERROR(__xludf.DUMMYFUNCTION("""COMPUTED_VALUE"""),44628.66666666667)</f>
        <v>44628.66667</v>
      </c>
      <c r="B46" s="1">
        <f>IFERROR(__xludf.DUMMYFUNCTION("""COMPUTED_VALUE"""),106.09)</f>
        <v>106.09</v>
      </c>
      <c r="C46" s="1">
        <f>IFERROR(__xludf.DUMMYFUNCTION("""COMPUTED_VALUE"""),108.97)</f>
        <v>108.97</v>
      </c>
      <c r="D46" s="1">
        <f>IFERROR(__xludf.DUMMYFUNCTION("""COMPUTED_VALUE"""),104.14)</f>
        <v>104.14</v>
      </c>
      <c r="E46" s="1">
        <f>IFERROR(__xludf.DUMMYFUNCTION("""COMPUTED_VALUE"""),106.21)</f>
        <v>106.21</v>
      </c>
      <c r="F46" s="1">
        <f>IFERROR(__xludf.DUMMYFUNCTION("""COMPUTED_VALUE"""),1672695.0)</f>
        <v>1672695</v>
      </c>
      <c r="G46" s="2" t="s">
        <v>11</v>
      </c>
    </row>
    <row r="47">
      <c r="A47" s="3">
        <f>IFERROR(__xludf.DUMMYFUNCTION("""COMPUTED_VALUE"""),44629.66666666667)</f>
        <v>44629.66667</v>
      </c>
      <c r="B47" s="1">
        <f>IFERROR(__xludf.DUMMYFUNCTION("""COMPUTED_VALUE"""),109.63)</f>
        <v>109.63</v>
      </c>
      <c r="C47" s="1">
        <f>IFERROR(__xludf.DUMMYFUNCTION("""COMPUTED_VALUE"""),112.94)</f>
        <v>112.94</v>
      </c>
      <c r="D47" s="1">
        <f>IFERROR(__xludf.DUMMYFUNCTION("""COMPUTED_VALUE"""),109.23)</f>
        <v>109.23</v>
      </c>
      <c r="E47" s="1">
        <f>IFERROR(__xludf.DUMMYFUNCTION("""COMPUTED_VALUE"""),111.85)</f>
        <v>111.85</v>
      </c>
      <c r="F47" s="1">
        <f>IFERROR(__xludf.DUMMYFUNCTION("""COMPUTED_VALUE"""),1394816.0)</f>
        <v>1394816</v>
      </c>
      <c r="G47" s="2" t="s">
        <v>11</v>
      </c>
    </row>
    <row r="48">
      <c r="A48" s="3">
        <f>IFERROR(__xludf.DUMMYFUNCTION("""COMPUTED_VALUE"""),44630.66666666667)</f>
        <v>44630.66667</v>
      </c>
      <c r="B48" s="1">
        <f>IFERROR(__xludf.DUMMYFUNCTION("""COMPUTED_VALUE"""),108.09)</f>
        <v>108.09</v>
      </c>
      <c r="C48" s="1">
        <f>IFERROR(__xludf.DUMMYFUNCTION("""COMPUTED_VALUE"""),109.44)</f>
        <v>109.44</v>
      </c>
      <c r="D48" s="1">
        <f>IFERROR(__xludf.DUMMYFUNCTION("""COMPUTED_VALUE"""),107.48)</f>
        <v>107.48</v>
      </c>
      <c r="E48" s="1">
        <f>IFERROR(__xludf.DUMMYFUNCTION("""COMPUTED_VALUE"""),108.51)</f>
        <v>108.51</v>
      </c>
      <c r="F48" s="1">
        <f>IFERROR(__xludf.DUMMYFUNCTION("""COMPUTED_VALUE"""),874219.0)</f>
        <v>874219</v>
      </c>
      <c r="G48" s="2" t="s">
        <v>11</v>
      </c>
    </row>
    <row r="49">
      <c r="A49" s="3">
        <f>IFERROR(__xludf.DUMMYFUNCTION("""COMPUTED_VALUE"""),44631.66666666667)</f>
        <v>44631.66667</v>
      </c>
      <c r="B49" s="1">
        <f>IFERROR(__xludf.DUMMYFUNCTION("""COMPUTED_VALUE"""),110.88)</f>
        <v>110.88</v>
      </c>
      <c r="C49" s="1">
        <f>IFERROR(__xludf.DUMMYFUNCTION("""COMPUTED_VALUE"""),111.14)</f>
        <v>111.14</v>
      </c>
      <c r="D49" s="1">
        <f>IFERROR(__xludf.DUMMYFUNCTION("""COMPUTED_VALUE"""),107.6)</f>
        <v>107.6</v>
      </c>
      <c r="E49" s="1">
        <f>IFERROR(__xludf.DUMMYFUNCTION("""COMPUTED_VALUE"""),107.68)</f>
        <v>107.68</v>
      </c>
      <c r="F49" s="1">
        <f>IFERROR(__xludf.DUMMYFUNCTION("""COMPUTED_VALUE"""),959203.0)</f>
        <v>959203</v>
      </c>
      <c r="G49" s="2" t="s">
        <v>11</v>
      </c>
    </row>
    <row r="50">
      <c r="A50" s="3">
        <f>IFERROR(__xludf.DUMMYFUNCTION("""COMPUTED_VALUE"""),44634.66666666667)</f>
        <v>44634.66667</v>
      </c>
      <c r="B50" s="1">
        <f>IFERROR(__xludf.DUMMYFUNCTION("""COMPUTED_VALUE"""),110.55)</f>
        <v>110.55</v>
      </c>
      <c r="C50" s="1">
        <f>IFERROR(__xludf.DUMMYFUNCTION("""COMPUTED_VALUE"""),111.72)</f>
        <v>111.72</v>
      </c>
      <c r="D50" s="1">
        <f>IFERROR(__xludf.DUMMYFUNCTION("""COMPUTED_VALUE"""),109.84)</f>
        <v>109.84</v>
      </c>
      <c r="E50" s="1">
        <f>IFERROR(__xludf.DUMMYFUNCTION("""COMPUTED_VALUE"""),110.05)</f>
        <v>110.05</v>
      </c>
      <c r="F50" s="1">
        <f>IFERROR(__xludf.DUMMYFUNCTION("""COMPUTED_VALUE"""),1005092.0)</f>
        <v>1005092</v>
      </c>
      <c r="G50" s="2" t="s">
        <v>11</v>
      </c>
    </row>
    <row r="51">
      <c r="A51" s="3">
        <f>IFERROR(__xludf.DUMMYFUNCTION("""COMPUTED_VALUE"""),44635.66666666667)</f>
        <v>44635.66667</v>
      </c>
      <c r="B51" s="1">
        <f>IFERROR(__xludf.DUMMYFUNCTION("""COMPUTED_VALUE"""),110.88)</f>
        <v>110.88</v>
      </c>
      <c r="C51" s="1">
        <f>IFERROR(__xludf.DUMMYFUNCTION("""COMPUTED_VALUE"""),111.01)</f>
        <v>111.01</v>
      </c>
      <c r="D51" s="1">
        <f>IFERROR(__xludf.DUMMYFUNCTION("""COMPUTED_VALUE"""),109.07)</f>
        <v>109.07</v>
      </c>
      <c r="E51" s="1">
        <f>IFERROR(__xludf.DUMMYFUNCTION("""COMPUTED_VALUE"""),110.73)</f>
        <v>110.73</v>
      </c>
      <c r="F51" s="1">
        <f>IFERROR(__xludf.DUMMYFUNCTION("""COMPUTED_VALUE"""),898850.0)</f>
        <v>898850</v>
      </c>
      <c r="G51" s="2" t="s">
        <v>11</v>
      </c>
    </row>
    <row r="52">
      <c r="A52" s="3">
        <f>IFERROR(__xludf.DUMMYFUNCTION("""COMPUTED_VALUE"""),44636.66666666667)</f>
        <v>44636.66667</v>
      </c>
      <c r="B52" s="1">
        <f>IFERROR(__xludf.DUMMYFUNCTION("""COMPUTED_VALUE"""),112.4)</f>
        <v>112.4</v>
      </c>
      <c r="C52" s="1">
        <f>IFERROR(__xludf.DUMMYFUNCTION("""COMPUTED_VALUE"""),114.49)</f>
        <v>114.49</v>
      </c>
      <c r="D52" s="1">
        <f>IFERROR(__xludf.DUMMYFUNCTION("""COMPUTED_VALUE"""),111.37)</f>
        <v>111.37</v>
      </c>
      <c r="E52" s="1">
        <f>IFERROR(__xludf.DUMMYFUNCTION("""COMPUTED_VALUE"""),114.49)</f>
        <v>114.49</v>
      </c>
      <c r="F52" s="1">
        <f>IFERROR(__xludf.DUMMYFUNCTION("""COMPUTED_VALUE"""),897616.0)</f>
        <v>897616</v>
      </c>
      <c r="G52" s="2" t="s">
        <v>11</v>
      </c>
    </row>
    <row r="53">
      <c r="A53" s="3">
        <f>IFERROR(__xludf.DUMMYFUNCTION("""COMPUTED_VALUE"""),44637.66666666667)</f>
        <v>44637.66667</v>
      </c>
      <c r="B53" s="1">
        <f>IFERROR(__xludf.DUMMYFUNCTION("""COMPUTED_VALUE"""),113.64)</f>
        <v>113.64</v>
      </c>
      <c r="C53" s="1">
        <f>IFERROR(__xludf.DUMMYFUNCTION("""COMPUTED_VALUE"""),115.73)</f>
        <v>115.73</v>
      </c>
      <c r="D53" s="1">
        <f>IFERROR(__xludf.DUMMYFUNCTION("""COMPUTED_VALUE"""),113.51)</f>
        <v>113.51</v>
      </c>
      <c r="E53" s="1">
        <f>IFERROR(__xludf.DUMMYFUNCTION("""COMPUTED_VALUE"""),115.71)</f>
        <v>115.71</v>
      </c>
      <c r="F53" s="1">
        <f>IFERROR(__xludf.DUMMYFUNCTION("""COMPUTED_VALUE"""),816270.0)</f>
        <v>816270</v>
      </c>
      <c r="G53" s="2" t="s">
        <v>11</v>
      </c>
    </row>
    <row r="54">
      <c r="A54" s="3">
        <f>IFERROR(__xludf.DUMMYFUNCTION("""COMPUTED_VALUE"""),44638.66666666667)</f>
        <v>44638.66667</v>
      </c>
      <c r="B54" s="1">
        <f>IFERROR(__xludf.DUMMYFUNCTION("""COMPUTED_VALUE"""),112.25)</f>
        <v>112.25</v>
      </c>
      <c r="C54" s="1">
        <f>IFERROR(__xludf.DUMMYFUNCTION("""COMPUTED_VALUE"""),115.55)</f>
        <v>115.55</v>
      </c>
      <c r="D54" s="1">
        <f>IFERROR(__xludf.DUMMYFUNCTION("""COMPUTED_VALUE"""),112.25)</f>
        <v>112.25</v>
      </c>
      <c r="E54" s="1">
        <f>IFERROR(__xludf.DUMMYFUNCTION("""COMPUTED_VALUE"""),115.36)</f>
        <v>115.36</v>
      </c>
      <c r="F54" s="1">
        <f>IFERROR(__xludf.DUMMYFUNCTION("""COMPUTED_VALUE"""),1406246.0)</f>
        <v>1406246</v>
      </c>
      <c r="G54" s="2" t="s">
        <v>11</v>
      </c>
    </row>
    <row r="55">
      <c r="A55" s="3">
        <f>IFERROR(__xludf.DUMMYFUNCTION("""COMPUTED_VALUE"""),44641.66666666667)</f>
        <v>44641.66667</v>
      </c>
      <c r="B55" s="1">
        <f>IFERROR(__xludf.DUMMYFUNCTION("""COMPUTED_VALUE"""),112.76)</f>
        <v>112.76</v>
      </c>
      <c r="C55" s="1">
        <f>IFERROR(__xludf.DUMMYFUNCTION("""COMPUTED_VALUE"""),113.72)</f>
        <v>113.72</v>
      </c>
      <c r="D55" s="1">
        <f>IFERROR(__xludf.DUMMYFUNCTION("""COMPUTED_VALUE"""),111.36)</f>
        <v>111.36</v>
      </c>
      <c r="E55" s="1">
        <f>IFERROR(__xludf.DUMMYFUNCTION("""COMPUTED_VALUE"""),111.87)</f>
        <v>111.87</v>
      </c>
      <c r="F55" s="1">
        <f>IFERROR(__xludf.DUMMYFUNCTION("""COMPUTED_VALUE"""),1329260.0)</f>
        <v>1329260</v>
      </c>
      <c r="G55" s="2" t="s">
        <v>11</v>
      </c>
    </row>
    <row r="56">
      <c r="A56" s="3">
        <f>IFERROR(__xludf.DUMMYFUNCTION("""COMPUTED_VALUE"""),44642.66666666667)</f>
        <v>44642.66667</v>
      </c>
      <c r="B56" s="1">
        <f>IFERROR(__xludf.DUMMYFUNCTION("""COMPUTED_VALUE"""),111.8)</f>
        <v>111.8</v>
      </c>
      <c r="C56" s="1">
        <f>IFERROR(__xludf.DUMMYFUNCTION("""COMPUTED_VALUE"""),113.3)</f>
        <v>113.3</v>
      </c>
      <c r="D56" s="1">
        <f>IFERROR(__xludf.DUMMYFUNCTION("""COMPUTED_VALUE"""),111.59)</f>
        <v>111.59</v>
      </c>
      <c r="E56" s="1">
        <f>IFERROR(__xludf.DUMMYFUNCTION("""COMPUTED_VALUE"""),112.73)</f>
        <v>112.73</v>
      </c>
      <c r="F56" s="1">
        <f>IFERROR(__xludf.DUMMYFUNCTION("""COMPUTED_VALUE"""),911165.0)</f>
        <v>911165</v>
      </c>
      <c r="G56" s="2" t="s">
        <v>11</v>
      </c>
    </row>
    <row r="57">
      <c r="A57" s="3">
        <f>IFERROR(__xludf.DUMMYFUNCTION("""COMPUTED_VALUE"""),44643.66666666667)</f>
        <v>44643.66667</v>
      </c>
      <c r="B57" s="1">
        <f>IFERROR(__xludf.DUMMYFUNCTION("""COMPUTED_VALUE"""),110.49)</f>
        <v>110.49</v>
      </c>
      <c r="C57" s="1">
        <f>IFERROR(__xludf.DUMMYFUNCTION("""COMPUTED_VALUE"""),110.95)</f>
        <v>110.95</v>
      </c>
      <c r="D57" s="1">
        <f>IFERROR(__xludf.DUMMYFUNCTION("""COMPUTED_VALUE"""),109.69)</f>
        <v>109.69</v>
      </c>
      <c r="E57" s="1">
        <f>IFERROR(__xludf.DUMMYFUNCTION("""COMPUTED_VALUE"""),109.79)</f>
        <v>109.79</v>
      </c>
      <c r="F57" s="1">
        <f>IFERROR(__xludf.DUMMYFUNCTION("""COMPUTED_VALUE"""),1007348.0)</f>
        <v>1007348</v>
      </c>
      <c r="G57" s="2" t="s">
        <v>11</v>
      </c>
    </row>
    <row r="58">
      <c r="A58" s="3">
        <f>IFERROR(__xludf.DUMMYFUNCTION("""COMPUTED_VALUE"""),44644.66666666667)</f>
        <v>44644.66667</v>
      </c>
      <c r="B58" s="1">
        <f>IFERROR(__xludf.DUMMYFUNCTION("""COMPUTED_VALUE"""),110.01)</f>
        <v>110.01</v>
      </c>
      <c r="C58" s="1">
        <f>IFERROR(__xludf.DUMMYFUNCTION("""COMPUTED_VALUE"""),111.3)</f>
        <v>111.3</v>
      </c>
      <c r="D58" s="1">
        <f>IFERROR(__xludf.DUMMYFUNCTION("""COMPUTED_VALUE"""),109.53)</f>
        <v>109.53</v>
      </c>
      <c r="E58" s="1">
        <f>IFERROR(__xludf.DUMMYFUNCTION("""COMPUTED_VALUE"""),111.22)</f>
        <v>111.22</v>
      </c>
      <c r="F58" s="1">
        <f>IFERROR(__xludf.DUMMYFUNCTION("""COMPUTED_VALUE"""),712649.0)</f>
        <v>712649</v>
      </c>
      <c r="G58" s="2" t="s">
        <v>11</v>
      </c>
    </row>
    <row r="59">
      <c r="A59" s="3">
        <f>IFERROR(__xludf.DUMMYFUNCTION("""COMPUTED_VALUE"""),44645.66666666667)</f>
        <v>44645.66667</v>
      </c>
      <c r="B59" s="1">
        <f>IFERROR(__xludf.DUMMYFUNCTION("""COMPUTED_VALUE"""),112.03)</f>
        <v>112.03</v>
      </c>
      <c r="C59" s="1">
        <f>IFERROR(__xludf.DUMMYFUNCTION("""COMPUTED_VALUE"""),112.03)</f>
        <v>112.03</v>
      </c>
      <c r="D59" s="1">
        <f>IFERROR(__xludf.DUMMYFUNCTION("""COMPUTED_VALUE"""),110.35)</f>
        <v>110.35</v>
      </c>
      <c r="E59" s="1">
        <f>IFERROR(__xludf.DUMMYFUNCTION("""COMPUTED_VALUE"""),111.34)</f>
        <v>111.34</v>
      </c>
      <c r="F59" s="1">
        <f>IFERROR(__xludf.DUMMYFUNCTION("""COMPUTED_VALUE"""),570747.0)</f>
        <v>570747</v>
      </c>
      <c r="G59" s="2" t="s">
        <v>11</v>
      </c>
    </row>
    <row r="60">
      <c r="A60" s="3">
        <f>IFERROR(__xludf.DUMMYFUNCTION("""COMPUTED_VALUE"""),44648.66666666667)</f>
        <v>44648.66667</v>
      </c>
      <c r="B60" s="1">
        <f>IFERROR(__xludf.DUMMYFUNCTION("""COMPUTED_VALUE"""),110.87)</f>
        <v>110.87</v>
      </c>
      <c r="C60" s="1">
        <f>IFERROR(__xludf.DUMMYFUNCTION("""COMPUTED_VALUE"""),111.94)</f>
        <v>111.94</v>
      </c>
      <c r="D60" s="1">
        <f>IFERROR(__xludf.DUMMYFUNCTION("""COMPUTED_VALUE"""),110.36)</f>
        <v>110.36</v>
      </c>
      <c r="E60" s="1">
        <f>IFERROR(__xludf.DUMMYFUNCTION("""COMPUTED_VALUE"""),111.81)</f>
        <v>111.81</v>
      </c>
      <c r="F60" s="1">
        <f>IFERROR(__xludf.DUMMYFUNCTION("""COMPUTED_VALUE"""),905608.0)</f>
        <v>905608</v>
      </c>
      <c r="G60" s="2" t="s">
        <v>11</v>
      </c>
    </row>
    <row r="61">
      <c r="A61" s="3">
        <f>IFERROR(__xludf.DUMMYFUNCTION("""COMPUTED_VALUE"""),44649.66666666667)</f>
        <v>44649.66667</v>
      </c>
      <c r="B61" s="1">
        <f>IFERROR(__xludf.DUMMYFUNCTION("""COMPUTED_VALUE"""),115.29)</f>
        <v>115.29</v>
      </c>
      <c r="C61" s="1">
        <f>IFERROR(__xludf.DUMMYFUNCTION("""COMPUTED_VALUE"""),116.0)</f>
        <v>116</v>
      </c>
      <c r="D61" s="1">
        <f>IFERROR(__xludf.DUMMYFUNCTION("""COMPUTED_VALUE"""),113.74)</f>
        <v>113.74</v>
      </c>
      <c r="E61" s="1">
        <f>IFERROR(__xludf.DUMMYFUNCTION("""COMPUTED_VALUE"""),114.74)</f>
        <v>114.74</v>
      </c>
      <c r="F61" s="1">
        <f>IFERROR(__xludf.DUMMYFUNCTION("""COMPUTED_VALUE"""),920465.0)</f>
        <v>920465</v>
      </c>
      <c r="G61" s="2" t="s">
        <v>11</v>
      </c>
    </row>
    <row r="62">
      <c r="A62" s="3">
        <f>IFERROR(__xludf.DUMMYFUNCTION("""COMPUTED_VALUE"""),44650.66666666667)</f>
        <v>44650.66667</v>
      </c>
      <c r="B62" s="1">
        <f>IFERROR(__xludf.DUMMYFUNCTION("""COMPUTED_VALUE"""),113.48)</f>
        <v>113.48</v>
      </c>
      <c r="C62" s="1">
        <f>IFERROR(__xludf.DUMMYFUNCTION("""COMPUTED_VALUE"""),114.2)</f>
        <v>114.2</v>
      </c>
      <c r="D62" s="1">
        <f>IFERROR(__xludf.DUMMYFUNCTION("""COMPUTED_VALUE"""),112.76)</f>
        <v>112.76</v>
      </c>
      <c r="E62" s="1">
        <f>IFERROR(__xludf.DUMMYFUNCTION("""COMPUTED_VALUE"""),113.15)</f>
        <v>113.15</v>
      </c>
      <c r="F62" s="1">
        <f>IFERROR(__xludf.DUMMYFUNCTION("""COMPUTED_VALUE"""),982396.0)</f>
        <v>982396</v>
      </c>
      <c r="G62" s="2" t="s">
        <v>11</v>
      </c>
    </row>
    <row r="63">
      <c r="A63" s="3">
        <f>IFERROR(__xludf.DUMMYFUNCTION("""COMPUTED_VALUE"""),44651.66666666667)</f>
        <v>44651.66667</v>
      </c>
      <c r="B63" s="1">
        <f>IFERROR(__xludf.DUMMYFUNCTION("""COMPUTED_VALUE"""),113.1)</f>
        <v>113.1</v>
      </c>
      <c r="C63" s="1">
        <f>IFERROR(__xludf.DUMMYFUNCTION("""COMPUTED_VALUE"""),113.32)</f>
        <v>113.32</v>
      </c>
      <c r="D63" s="1">
        <f>IFERROR(__xludf.DUMMYFUNCTION("""COMPUTED_VALUE"""),110.89)</f>
        <v>110.89</v>
      </c>
      <c r="E63" s="1">
        <f>IFERROR(__xludf.DUMMYFUNCTION("""COMPUTED_VALUE"""),110.96)</f>
        <v>110.96</v>
      </c>
      <c r="F63" s="1">
        <f>IFERROR(__xludf.DUMMYFUNCTION("""COMPUTED_VALUE"""),1323058.0)</f>
        <v>1323058</v>
      </c>
      <c r="G63" s="2" t="s">
        <v>11</v>
      </c>
    </row>
    <row r="64">
      <c r="A64" s="3">
        <f>IFERROR(__xludf.DUMMYFUNCTION("""COMPUTED_VALUE"""),44652.66666666667)</f>
        <v>44652.66667</v>
      </c>
      <c r="B64" s="1">
        <f>IFERROR(__xludf.DUMMYFUNCTION("""COMPUTED_VALUE"""),110.81)</f>
        <v>110.81</v>
      </c>
      <c r="C64" s="1">
        <f>IFERROR(__xludf.DUMMYFUNCTION("""COMPUTED_VALUE"""),111.08)</f>
        <v>111.08</v>
      </c>
      <c r="D64" s="1">
        <f>IFERROR(__xludf.DUMMYFUNCTION("""COMPUTED_VALUE"""),109.42)</f>
        <v>109.42</v>
      </c>
      <c r="E64" s="1">
        <f>IFERROR(__xludf.DUMMYFUNCTION("""COMPUTED_VALUE"""),110.63)</f>
        <v>110.63</v>
      </c>
      <c r="F64" s="1">
        <f>IFERROR(__xludf.DUMMYFUNCTION("""COMPUTED_VALUE"""),749836.0)</f>
        <v>749836</v>
      </c>
      <c r="G64" s="2" t="s">
        <v>11</v>
      </c>
    </row>
    <row r="65">
      <c r="A65" s="3">
        <f>IFERROR(__xludf.DUMMYFUNCTION("""COMPUTED_VALUE"""),44655.66666666667)</f>
        <v>44655.66667</v>
      </c>
      <c r="B65" s="1">
        <f>IFERROR(__xludf.DUMMYFUNCTION("""COMPUTED_VALUE"""),110.14)</f>
        <v>110.14</v>
      </c>
      <c r="C65" s="1">
        <f>IFERROR(__xludf.DUMMYFUNCTION("""COMPUTED_VALUE"""),112.59)</f>
        <v>112.59</v>
      </c>
      <c r="D65" s="1">
        <f>IFERROR(__xludf.DUMMYFUNCTION("""COMPUTED_VALUE"""),110.13)</f>
        <v>110.13</v>
      </c>
      <c r="E65" s="1">
        <f>IFERROR(__xludf.DUMMYFUNCTION("""COMPUTED_VALUE"""),112.48)</f>
        <v>112.48</v>
      </c>
      <c r="F65" s="1">
        <f>IFERROR(__xludf.DUMMYFUNCTION("""COMPUTED_VALUE"""),1239699.0)</f>
        <v>1239699</v>
      </c>
      <c r="G65" s="2" t="s">
        <v>11</v>
      </c>
    </row>
    <row r="66">
      <c r="A66" s="3">
        <f>IFERROR(__xludf.DUMMYFUNCTION("""COMPUTED_VALUE"""),44656.66666666667)</f>
        <v>44656.66667</v>
      </c>
      <c r="B66" s="1">
        <f>IFERROR(__xludf.DUMMYFUNCTION("""COMPUTED_VALUE"""),111.12)</f>
        <v>111.12</v>
      </c>
      <c r="C66" s="1">
        <f>IFERROR(__xludf.DUMMYFUNCTION("""COMPUTED_VALUE"""),111.77)</f>
        <v>111.77</v>
      </c>
      <c r="D66" s="1">
        <f>IFERROR(__xludf.DUMMYFUNCTION("""COMPUTED_VALUE"""),110.25)</f>
        <v>110.25</v>
      </c>
      <c r="E66" s="1">
        <f>IFERROR(__xludf.DUMMYFUNCTION("""COMPUTED_VALUE"""),110.81)</f>
        <v>110.81</v>
      </c>
      <c r="F66" s="1">
        <f>IFERROR(__xludf.DUMMYFUNCTION("""COMPUTED_VALUE"""),1559296.0)</f>
        <v>1559296</v>
      </c>
      <c r="G66" s="2" t="s">
        <v>11</v>
      </c>
    </row>
    <row r="67">
      <c r="A67" s="3">
        <f>IFERROR(__xludf.DUMMYFUNCTION("""COMPUTED_VALUE"""),44657.66666666667)</f>
        <v>44657.66667</v>
      </c>
      <c r="B67" s="1">
        <f>IFERROR(__xludf.DUMMYFUNCTION("""COMPUTED_VALUE"""),109.98)</f>
        <v>109.98</v>
      </c>
      <c r="C67" s="1">
        <f>IFERROR(__xludf.DUMMYFUNCTION("""COMPUTED_VALUE"""),110.39)</f>
        <v>110.39</v>
      </c>
      <c r="D67" s="1">
        <f>IFERROR(__xludf.DUMMYFUNCTION("""COMPUTED_VALUE"""),109.05)</f>
        <v>109.05</v>
      </c>
      <c r="E67" s="1">
        <f>IFERROR(__xludf.DUMMYFUNCTION("""COMPUTED_VALUE"""),109.71)</f>
        <v>109.71</v>
      </c>
      <c r="F67" s="1">
        <f>IFERROR(__xludf.DUMMYFUNCTION("""COMPUTED_VALUE"""),766208.0)</f>
        <v>766208</v>
      </c>
      <c r="G67" s="2" t="s">
        <v>11</v>
      </c>
    </row>
    <row r="68">
      <c r="A68" s="3">
        <f>IFERROR(__xludf.DUMMYFUNCTION("""COMPUTED_VALUE"""),44658.66666666667)</f>
        <v>44658.66667</v>
      </c>
      <c r="B68" s="1">
        <f>IFERROR(__xludf.DUMMYFUNCTION("""COMPUTED_VALUE"""),108.96)</f>
        <v>108.96</v>
      </c>
      <c r="C68" s="1">
        <f>IFERROR(__xludf.DUMMYFUNCTION("""COMPUTED_VALUE"""),109.8)</f>
        <v>109.8</v>
      </c>
      <c r="D68" s="1">
        <f>IFERROR(__xludf.DUMMYFUNCTION("""COMPUTED_VALUE"""),108.37)</f>
        <v>108.37</v>
      </c>
      <c r="E68" s="1">
        <f>IFERROR(__xludf.DUMMYFUNCTION("""COMPUTED_VALUE"""),109.18)</f>
        <v>109.18</v>
      </c>
      <c r="F68" s="1">
        <f>IFERROR(__xludf.DUMMYFUNCTION("""COMPUTED_VALUE"""),1048686.0)</f>
        <v>1048686</v>
      </c>
      <c r="G68" s="2" t="s">
        <v>11</v>
      </c>
    </row>
    <row r="69">
      <c r="A69" s="3">
        <f>IFERROR(__xludf.DUMMYFUNCTION("""COMPUTED_VALUE"""),44659.66666666667)</f>
        <v>44659.66667</v>
      </c>
      <c r="B69" s="1">
        <f>IFERROR(__xludf.DUMMYFUNCTION("""COMPUTED_VALUE"""),107.95)</f>
        <v>107.95</v>
      </c>
      <c r="C69" s="1">
        <f>IFERROR(__xludf.DUMMYFUNCTION("""COMPUTED_VALUE"""),109.45)</f>
        <v>109.45</v>
      </c>
      <c r="D69" s="1">
        <f>IFERROR(__xludf.DUMMYFUNCTION("""COMPUTED_VALUE"""),107.82)</f>
        <v>107.82</v>
      </c>
      <c r="E69" s="1">
        <f>IFERROR(__xludf.DUMMYFUNCTION("""COMPUTED_VALUE"""),108.47)</f>
        <v>108.47</v>
      </c>
      <c r="F69" s="1">
        <f>IFERROR(__xludf.DUMMYFUNCTION("""COMPUTED_VALUE"""),799967.0)</f>
        <v>799967</v>
      </c>
      <c r="G69" s="2" t="s">
        <v>11</v>
      </c>
    </row>
    <row r="70">
      <c r="A70" s="3">
        <f>IFERROR(__xludf.DUMMYFUNCTION("""COMPUTED_VALUE"""),44662.66666666667)</f>
        <v>44662.66667</v>
      </c>
      <c r="B70" s="1">
        <f>IFERROR(__xludf.DUMMYFUNCTION("""COMPUTED_VALUE"""),108.2)</f>
        <v>108.2</v>
      </c>
      <c r="C70" s="1">
        <f>IFERROR(__xludf.DUMMYFUNCTION("""COMPUTED_VALUE"""),108.53)</f>
        <v>108.53</v>
      </c>
      <c r="D70" s="1">
        <f>IFERROR(__xludf.DUMMYFUNCTION("""COMPUTED_VALUE"""),107.41)</f>
        <v>107.41</v>
      </c>
      <c r="E70" s="1">
        <f>IFERROR(__xludf.DUMMYFUNCTION("""COMPUTED_VALUE"""),107.56)</f>
        <v>107.56</v>
      </c>
      <c r="F70" s="1">
        <f>IFERROR(__xludf.DUMMYFUNCTION("""COMPUTED_VALUE"""),1088424.0)</f>
        <v>1088424</v>
      </c>
      <c r="G70" s="2" t="s">
        <v>11</v>
      </c>
    </row>
    <row r="71">
      <c r="A71" s="3">
        <f>IFERROR(__xludf.DUMMYFUNCTION("""COMPUTED_VALUE"""),44663.66666666667)</f>
        <v>44663.66667</v>
      </c>
      <c r="B71" s="1">
        <f>IFERROR(__xludf.DUMMYFUNCTION("""COMPUTED_VALUE"""),106.67)</f>
        <v>106.67</v>
      </c>
      <c r="C71" s="1">
        <f>IFERROR(__xludf.DUMMYFUNCTION("""COMPUTED_VALUE"""),107.54)</f>
        <v>107.54</v>
      </c>
      <c r="D71" s="1">
        <f>IFERROR(__xludf.DUMMYFUNCTION("""COMPUTED_VALUE"""),104.84)</f>
        <v>104.84</v>
      </c>
      <c r="E71" s="1">
        <f>IFERROR(__xludf.DUMMYFUNCTION("""COMPUTED_VALUE"""),105.42)</f>
        <v>105.42</v>
      </c>
      <c r="F71" s="1">
        <f>IFERROR(__xludf.DUMMYFUNCTION("""COMPUTED_VALUE"""),1398612.0)</f>
        <v>1398612</v>
      </c>
      <c r="G71" s="2" t="s">
        <v>11</v>
      </c>
    </row>
    <row r="72">
      <c r="A72" s="3">
        <f>IFERROR(__xludf.DUMMYFUNCTION("""COMPUTED_VALUE"""),44664.66666666667)</f>
        <v>44664.66667</v>
      </c>
      <c r="B72" s="1">
        <f>IFERROR(__xludf.DUMMYFUNCTION("""COMPUTED_VALUE"""),104.29)</f>
        <v>104.29</v>
      </c>
      <c r="C72" s="1">
        <f>IFERROR(__xludf.DUMMYFUNCTION("""COMPUTED_VALUE"""),106.01)</f>
        <v>106.01</v>
      </c>
      <c r="D72" s="1">
        <f>IFERROR(__xludf.DUMMYFUNCTION("""COMPUTED_VALUE"""),104.06)</f>
        <v>104.06</v>
      </c>
      <c r="E72" s="1">
        <f>IFERROR(__xludf.DUMMYFUNCTION("""COMPUTED_VALUE"""),105.92)</f>
        <v>105.92</v>
      </c>
      <c r="F72" s="1">
        <f>IFERROR(__xludf.DUMMYFUNCTION("""COMPUTED_VALUE"""),1154938.0)</f>
        <v>1154938</v>
      </c>
      <c r="G72" s="2" t="s">
        <v>11</v>
      </c>
    </row>
    <row r="73">
      <c r="A73" s="3">
        <f>IFERROR(__xludf.DUMMYFUNCTION("""COMPUTED_VALUE"""),44665.66666666667)</f>
        <v>44665.66667</v>
      </c>
      <c r="B73" s="1">
        <f>IFERROR(__xludf.DUMMYFUNCTION("""COMPUTED_VALUE"""),105.65)</f>
        <v>105.65</v>
      </c>
      <c r="C73" s="1">
        <f>IFERROR(__xludf.DUMMYFUNCTION("""COMPUTED_VALUE"""),105.73)</f>
        <v>105.73</v>
      </c>
      <c r="D73" s="1">
        <f>IFERROR(__xludf.DUMMYFUNCTION("""COMPUTED_VALUE"""),103.89)</f>
        <v>103.89</v>
      </c>
      <c r="E73" s="1">
        <f>IFERROR(__xludf.DUMMYFUNCTION("""COMPUTED_VALUE"""),103.89)</f>
        <v>103.89</v>
      </c>
      <c r="F73" s="1">
        <f>IFERROR(__xludf.DUMMYFUNCTION("""COMPUTED_VALUE"""),914576.0)</f>
        <v>914576</v>
      </c>
      <c r="G73" s="2" t="s">
        <v>11</v>
      </c>
    </row>
    <row r="74">
      <c r="A74" s="3">
        <f>IFERROR(__xludf.DUMMYFUNCTION("""COMPUTED_VALUE"""),44669.66666666667)</f>
        <v>44669.66667</v>
      </c>
      <c r="B74" s="1">
        <f>IFERROR(__xludf.DUMMYFUNCTION("""COMPUTED_VALUE"""),103.92)</f>
        <v>103.92</v>
      </c>
      <c r="C74" s="1">
        <f>IFERROR(__xludf.DUMMYFUNCTION("""COMPUTED_VALUE"""),104.79)</f>
        <v>104.79</v>
      </c>
      <c r="D74" s="1">
        <f>IFERROR(__xludf.DUMMYFUNCTION("""COMPUTED_VALUE"""),103.2)</f>
        <v>103.2</v>
      </c>
      <c r="E74" s="1">
        <f>IFERROR(__xludf.DUMMYFUNCTION("""COMPUTED_VALUE"""),104.22)</f>
        <v>104.22</v>
      </c>
      <c r="F74" s="1">
        <f>IFERROR(__xludf.DUMMYFUNCTION("""COMPUTED_VALUE"""),1020803.0)</f>
        <v>1020803</v>
      </c>
      <c r="G74" s="2" t="s">
        <v>11</v>
      </c>
    </row>
    <row r="75">
      <c r="A75" s="3">
        <f>IFERROR(__xludf.DUMMYFUNCTION("""COMPUTED_VALUE"""),44670.66666666667)</f>
        <v>44670.66667</v>
      </c>
      <c r="B75" s="1">
        <f>IFERROR(__xludf.DUMMYFUNCTION("""COMPUTED_VALUE"""),104.29)</f>
        <v>104.29</v>
      </c>
      <c r="C75" s="1">
        <f>IFERROR(__xludf.DUMMYFUNCTION("""COMPUTED_VALUE"""),105.33)</f>
        <v>105.33</v>
      </c>
      <c r="D75" s="1">
        <f>IFERROR(__xludf.DUMMYFUNCTION("""COMPUTED_VALUE"""),104.16)</f>
        <v>104.16</v>
      </c>
      <c r="E75" s="1">
        <f>IFERROR(__xludf.DUMMYFUNCTION("""COMPUTED_VALUE"""),105.24)</f>
        <v>105.24</v>
      </c>
      <c r="F75" s="1">
        <f>IFERROR(__xludf.DUMMYFUNCTION("""COMPUTED_VALUE"""),1106544.0)</f>
        <v>1106544</v>
      </c>
      <c r="G75" s="2" t="s">
        <v>11</v>
      </c>
    </row>
    <row r="76">
      <c r="A76" s="3">
        <f>IFERROR(__xludf.DUMMYFUNCTION("""COMPUTED_VALUE"""),44671.66666666667)</f>
        <v>44671.66667</v>
      </c>
      <c r="B76" s="1">
        <f>IFERROR(__xludf.DUMMYFUNCTION("""COMPUTED_VALUE"""),106.55)</f>
        <v>106.55</v>
      </c>
      <c r="C76" s="1">
        <f>IFERROR(__xludf.DUMMYFUNCTION("""COMPUTED_VALUE"""),107.5)</f>
        <v>107.5</v>
      </c>
      <c r="D76" s="1">
        <f>IFERROR(__xludf.DUMMYFUNCTION("""COMPUTED_VALUE"""),105.95)</f>
        <v>105.95</v>
      </c>
      <c r="E76" s="1">
        <f>IFERROR(__xludf.DUMMYFUNCTION("""COMPUTED_VALUE"""),106.88)</f>
        <v>106.88</v>
      </c>
      <c r="F76" s="1">
        <f>IFERROR(__xludf.DUMMYFUNCTION("""COMPUTED_VALUE"""),1350326.0)</f>
        <v>1350326</v>
      </c>
      <c r="G76" s="2" t="s">
        <v>11</v>
      </c>
    </row>
    <row r="77">
      <c r="A77" s="3">
        <f>IFERROR(__xludf.DUMMYFUNCTION("""COMPUTED_VALUE"""),44672.66666666667)</f>
        <v>44672.66667</v>
      </c>
      <c r="B77" s="1">
        <f>IFERROR(__xludf.DUMMYFUNCTION("""COMPUTED_VALUE"""),108.3)</f>
        <v>108.3</v>
      </c>
      <c r="C77" s="1">
        <f>IFERROR(__xludf.DUMMYFUNCTION("""COMPUTED_VALUE"""),108.77)</f>
        <v>108.77</v>
      </c>
      <c r="D77" s="1">
        <f>IFERROR(__xludf.DUMMYFUNCTION("""COMPUTED_VALUE"""),106.23)</f>
        <v>106.23</v>
      </c>
      <c r="E77" s="1">
        <f>IFERROR(__xludf.DUMMYFUNCTION("""COMPUTED_VALUE"""),106.34)</f>
        <v>106.34</v>
      </c>
      <c r="F77" s="1">
        <f>IFERROR(__xludf.DUMMYFUNCTION("""COMPUTED_VALUE"""),1723461.0)</f>
        <v>1723461</v>
      </c>
      <c r="G77" s="2" t="s">
        <v>11</v>
      </c>
    </row>
    <row r="78">
      <c r="A78" s="3">
        <f>IFERROR(__xludf.DUMMYFUNCTION("""COMPUTED_VALUE"""),44673.66666666667)</f>
        <v>44673.66667</v>
      </c>
      <c r="B78" s="1">
        <f>IFERROR(__xludf.DUMMYFUNCTION("""COMPUTED_VALUE"""),105.05)</f>
        <v>105.05</v>
      </c>
      <c r="C78" s="1">
        <f>IFERROR(__xludf.DUMMYFUNCTION("""COMPUTED_VALUE"""),105.69)</f>
        <v>105.69</v>
      </c>
      <c r="D78" s="1">
        <f>IFERROR(__xludf.DUMMYFUNCTION("""COMPUTED_VALUE"""),103.79)</f>
        <v>103.79</v>
      </c>
      <c r="E78" s="1">
        <f>IFERROR(__xludf.DUMMYFUNCTION("""COMPUTED_VALUE"""),103.85)</f>
        <v>103.85</v>
      </c>
      <c r="F78" s="1">
        <f>IFERROR(__xludf.DUMMYFUNCTION("""COMPUTED_VALUE"""),2378721.0)</f>
        <v>2378721</v>
      </c>
      <c r="G78" s="2" t="s">
        <v>11</v>
      </c>
    </row>
    <row r="79">
      <c r="A79" s="3">
        <f>IFERROR(__xludf.DUMMYFUNCTION("""COMPUTED_VALUE"""),44676.66666666667)</f>
        <v>44676.66667</v>
      </c>
      <c r="B79" s="1">
        <f>IFERROR(__xludf.DUMMYFUNCTION("""COMPUTED_VALUE"""),102.95)</f>
        <v>102.95</v>
      </c>
      <c r="C79" s="1">
        <f>IFERROR(__xludf.DUMMYFUNCTION("""COMPUTED_VALUE"""),103.78)</f>
        <v>103.78</v>
      </c>
      <c r="D79" s="1">
        <f>IFERROR(__xludf.DUMMYFUNCTION("""COMPUTED_VALUE"""),102.32)</f>
        <v>102.32</v>
      </c>
      <c r="E79" s="1">
        <f>IFERROR(__xludf.DUMMYFUNCTION("""COMPUTED_VALUE"""),103.73)</f>
        <v>103.73</v>
      </c>
      <c r="F79" s="1">
        <f>IFERROR(__xludf.DUMMYFUNCTION("""COMPUTED_VALUE"""),1541379.0)</f>
        <v>1541379</v>
      </c>
      <c r="G79" s="2" t="s">
        <v>11</v>
      </c>
    </row>
    <row r="80">
      <c r="A80" s="3">
        <f>IFERROR(__xludf.DUMMYFUNCTION("""COMPUTED_VALUE"""),44677.66666666667)</f>
        <v>44677.66667</v>
      </c>
      <c r="B80" s="1">
        <f>IFERROR(__xludf.DUMMYFUNCTION("""COMPUTED_VALUE"""),103.26)</f>
        <v>103.26</v>
      </c>
      <c r="C80" s="1">
        <f>IFERROR(__xludf.DUMMYFUNCTION("""COMPUTED_VALUE"""),103.36)</f>
        <v>103.36</v>
      </c>
      <c r="D80" s="1">
        <f>IFERROR(__xludf.DUMMYFUNCTION("""COMPUTED_VALUE"""),99.77)</f>
        <v>99.77</v>
      </c>
      <c r="E80" s="1">
        <f>IFERROR(__xludf.DUMMYFUNCTION("""COMPUTED_VALUE"""),99.79)</f>
        <v>99.79</v>
      </c>
      <c r="F80" s="1">
        <f>IFERROR(__xludf.DUMMYFUNCTION("""COMPUTED_VALUE"""),1362588.0)</f>
        <v>1362588</v>
      </c>
      <c r="G80" s="2" t="s">
        <v>11</v>
      </c>
    </row>
    <row r="81">
      <c r="A81" s="3">
        <f>IFERROR(__xludf.DUMMYFUNCTION("""COMPUTED_VALUE"""),44678.66666666667)</f>
        <v>44678.66667</v>
      </c>
      <c r="B81" s="1">
        <f>IFERROR(__xludf.DUMMYFUNCTION("""COMPUTED_VALUE"""),100.13)</f>
        <v>100.13</v>
      </c>
      <c r="C81" s="1">
        <f>IFERROR(__xludf.DUMMYFUNCTION("""COMPUTED_VALUE"""),101.07)</f>
        <v>101.07</v>
      </c>
      <c r="D81" s="1">
        <f>IFERROR(__xludf.DUMMYFUNCTION("""COMPUTED_VALUE"""),98.9)</f>
        <v>98.9</v>
      </c>
      <c r="E81" s="1">
        <f>IFERROR(__xludf.DUMMYFUNCTION("""COMPUTED_VALUE"""),99.53)</f>
        <v>99.53</v>
      </c>
      <c r="F81" s="1">
        <f>IFERROR(__xludf.DUMMYFUNCTION("""COMPUTED_VALUE"""),1589628.0)</f>
        <v>1589628</v>
      </c>
      <c r="G81" s="2" t="s">
        <v>11</v>
      </c>
    </row>
    <row r="82">
      <c r="A82" s="3">
        <f>IFERROR(__xludf.DUMMYFUNCTION("""COMPUTED_VALUE"""),44679.66666666667)</f>
        <v>44679.66667</v>
      </c>
      <c r="B82" s="1">
        <f>IFERROR(__xludf.DUMMYFUNCTION("""COMPUTED_VALUE"""),101.0)</f>
        <v>101</v>
      </c>
      <c r="C82" s="1">
        <f>IFERROR(__xludf.DUMMYFUNCTION("""COMPUTED_VALUE"""),103.2)</f>
        <v>103.2</v>
      </c>
      <c r="D82" s="1">
        <f>IFERROR(__xludf.DUMMYFUNCTION("""COMPUTED_VALUE"""),100.36)</f>
        <v>100.36</v>
      </c>
      <c r="E82" s="1">
        <f>IFERROR(__xludf.DUMMYFUNCTION("""COMPUTED_VALUE"""),102.71)</f>
        <v>102.71</v>
      </c>
      <c r="F82" s="1">
        <f>IFERROR(__xludf.DUMMYFUNCTION("""COMPUTED_VALUE"""),1185111.0)</f>
        <v>1185111</v>
      </c>
      <c r="G82" s="2" t="s">
        <v>11</v>
      </c>
    </row>
    <row r="83">
      <c r="A83" s="3">
        <f>IFERROR(__xludf.DUMMYFUNCTION("""COMPUTED_VALUE"""),44680.66666666667)</f>
        <v>44680.66667</v>
      </c>
      <c r="B83" s="1">
        <f>IFERROR(__xludf.DUMMYFUNCTION("""COMPUTED_VALUE"""),103.5)</f>
        <v>103.5</v>
      </c>
      <c r="C83" s="1">
        <f>IFERROR(__xludf.DUMMYFUNCTION("""COMPUTED_VALUE"""),104.05)</f>
        <v>104.05</v>
      </c>
      <c r="D83" s="1">
        <f>IFERROR(__xludf.DUMMYFUNCTION("""COMPUTED_VALUE"""),100.67)</f>
        <v>100.67</v>
      </c>
      <c r="E83" s="1">
        <f>IFERROR(__xludf.DUMMYFUNCTION("""COMPUTED_VALUE"""),100.8)</f>
        <v>100.8</v>
      </c>
      <c r="F83" s="1">
        <f>IFERROR(__xludf.DUMMYFUNCTION("""COMPUTED_VALUE"""),1137201.0)</f>
        <v>1137201</v>
      </c>
      <c r="G83" s="2" t="s">
        <v>11</v>
      </c>
    </row>
    <row r="84">
      <c r="A84" s="3">
        <f>IFERROR(__xludf.DUMMYFUNCTION("""COMPUTED_VALUE"""),44683.66666666667)</f>
        <v>44683.66667</v>
      </c>
      <c r="B84" s="1">
        <f>IFERROR(__xludf.DUMMYFUNCTION("""COMPUTED_VALUE"""),101.24)</f>
        <v>101.24</v>
      </c>
      <c r="C84" s="1">
        <f>IFERROR(__xludf.DUMMYFUNCTION("""COMPUTED_VALUE"""),102.42)</f>
        <v>102.42</v>
      </c>
      <c r="D84" s="1">
        <f>IFERROR(__xludf.DUMMYFUNCTION("""COMPUTED_VALUE"""),100.74)</f>
        <v>100.74</v>
      </c>
      <c r="E84" s="1">
        <f>IFERROR(__xludf.DUMMYFUNCTION("""COMPUTED_VALUE"""),102.41)</f>
        <v>102.41</v>
      </c>
      <c r="F84" s="1">
        <f>IFERROR(__xludf.DUMMYFUNCTION("""COMPUTED_VALUE"""),1658116.0)</f>
        <v>1658116</v>
      </c>
      <c r="G84" s="2" t="s">
        <v>11</v>
      </c>
    </row>
    <row r="85">
      <c r="A85" s="3">
        <f>IFERROR(__xludf.DUMMYFUNCTION("""COMPUTED_VALUE"""),44684.66666666667)</f>
        <v>44684.66667</v>
      </c>
      <c r="B85" s="1">
        <f>IFERROR(__xludf.DUMMYFUNCTION("""COMPUTED_VALUE"""),101.07)</f>
        <v>101.07</v>
      </c>
      <c r="C85" s="1">
        <f>IFERROR(__xludf.DUMMYFUNCTION("""COMPUTED_VALUE"""),101.47)</f>
        <v>101.47</v>
      </c>
      <c r="D85" s="1">
        <f>IFERROR(__xludf.DUMMYFUNCTION("""COMPUTED_VALUE"""),99.59)</f>
        <v>99.59</v>
      </c>
      <c r="E85" s="1">
        <f>IFERROR(__xludf.DUMMYFUNCTION("""COMPUTED_VALUE"""),100.0)</f>
        <v>100</v>
      </c>
      <c r="F85" s="1">
        <f>IFERROR(__xludf.DUMMYFUNCTION("""COMPUTED_VALUE"""),1990033.0)</f>
        <v>1990033</v>
      </c>
      <c r="G85" s="2" t="s">
        <v>11</v>
      </c>
    </row>
    <row r="86">
      <c r="A86" s="3">
        <f>IFERROR(__xludf.DUMMYFUNCTION("""COMPUTED_VALUE"""),44685.66666666667)</f>
        <v>44685.66667</v>
      </c>
      <c r="B86" s="1">
        <f>IFERROR(__xludf.DUMMYFUNCTION("""COMPUTED_VALUE"""),99.79)</f>
        <v>99.79</v>
      </c>
      <c r="C86" s="1">
        <f>IFERROR(__xludf.DUMMYFUNCTION("""COMPUTED_VALUE"""),102.59)</f>
        <v>102.59</v>
      </c>
      <c r="D86" s="1">
        <f>IFERROR(__xludf.DUMMYFUNCTION("""COMPUTED_VALUE"""),98.58)</f>
        <v>98.58</v>
      </c>
      <c r="E86" s="1">
        <f>IFERROR(__xludf.DUMMYFUNCTION("""COMPUTED_VALUE"""),102.56)</f>
        <v>102.56</v>
      </c>
      <c r="F86" s="1">
        <f>IFERROR(__xludf.DUMMYFUNCTION("""COMPUTED_VALUE"""),2117725.0)</f>
        <v>2117725</v>
      </c>
      <c r="G86" s="2" t="s">
        <v>11</v>
      </c>
    </row>
    <row r="87">
      <c r="A87" s="3">
        <f>IFERROR(__xludf.DUMMYFUNCTION("""COMPUTED_VALUE"""),44686.66666666667)</f>
        <v>44686.66667</v>
      </c>
      <c r="B87" s="1">
        <f>IFERROR(__xludf.DUMMYFUNCTION("""COMPUTED_VALUE"""),101.25)</f>
        <v>101.25</v>
      </c>
      <c r="C87" s="1">
        <f>IFERROR(__xludf.DUMMYFUNCTION("""COMPUTED_VALUE"""),101.44)</f>
        <v>101.44</v>
      </c>
      <c r="D87" s="1">
        <f>IFERROR(__xludf.DUMMYFUNCTION("""COMPUTED_VALUE"""),98.88)</f>
        <v>98.88</v>
      </c>
      <c r="E87" s="1">
        <f>IFERROR(__xludf.DUMMYFUNCTION("""COMPUTED_VALUE"""),99.82)</f>
        <v>99.82</v>
      </c>
      <c r="F87" s="1">
        <f>IFERROR(__xludf.DUMMYFUNCTION("""COMPUTED_VALUE"""),2176831.0)</f>
        <v>2176831</v>
      </c>
      <c r="G87" s="2" t="s">
        <v>11</v>
      </c>
    </row>
    <row r="88">
      <c r="A88" s="3">
        <f>IFERROR(__xludf.DUMMYFUNCTION("""COMPUTED_VALUE"""),44687.66666666667)</f>
        <v>44687.66667</v>
      </c>
      <c r="B88" s="1">
        <f>IFERROR(__xludf.DUMMYFUNCTION("""COMPUTED_VALUE"""),97.22)</f>
        <v>97.22</v>
      </c>
      <c r="C88" s="1">
        <f>IFERROR(__xludf.DUMMYFUNCTION("""COMPUTED_VALUE"""),97.66)</f>
        <v>97.66</v>
      </c>
      <c r="D88" s="1">
        <f>IFERROR(__xludf.DUMMYFUNCTION("""COMPUTED_VALUE"""),95.53)</f>
        <v>95.53</v>
      </c>
      <c r="E88" s="1">
        <f>IFERROR(__xludf.DUMMYFUNCTION("""COMPUTED_VALUE"""),96.14)</f>
        <v>96.14</v>
      </c>
      <c r="F88" s="1">
        <f>IFERROR(__xludf.DUMMYFUNCTION("""COMPUTED_VALUE"""),1988418.0)</f>
        <v>1988418</v>
      </c>
      <c r="G88" s="2" t="s">
        <v>11</v>
      </c>
    </row>
    <row r="89">
      <c r="A89" s="3">
        <f>IFERROR(__xludf.DUMMYFUNCTION("""COMPUTED_VALUE"""),44690.66666666667)</f>
        <v>44690.66667</v>
      </c>
      <c r="B89" s="1">
        <f>IFERROR(__xludf.DUMMYFUNCTION("""COMPUTED_VALUE"""),95.05)</f>
        <v>95.05</v>
      </c>
      <c r="C89" s="1">
        <f>IFERROR(__xludf.DUMMYFUNCTION("""COMPUTED_VALUE"""),97.38)</f>
        <v>97.38</v>
      </c>
      <c r="D89" s="1">
        <f>IFERROR(__xludf.DUMMYFUNCTION("""COMPUTED_VALUE"""),94.79)</f>
        <v>94.79</v>
      </c>
      <c r="E89" s="1">
        <f>IFERROR(__xludf.DUMMYFUNCTION("""COMPUTED_VALUE"""),95.98)</f>
        <v>95.98</v>
      </c>
      <c r="F89" s="1">
        <f>IFERROR(__xludf.DUMMYFUNCTION("""COMPUTED_VALUE"""),2595378.0)</f>
        <v>2595378</v>
      </c>
      <c r="G89" s="2" t="s">
        <v>11</v>
      </c>
    </row>
    <row r="90">
      <c r="A90" s="3">
        <f>IFERROR(__xludf.DUMMYFUNCTION("""COMPUTED_VALUE"""),44691.66666666667)</f>
        <v>44691.66667</v>
      </c>
      <c r="B90" s="1">
        <f>IFERROR(__xludf.DUMMYFUNCTION("""COMPUTED_VALUE"""),98.23)</f>
        <v>98.23</v>
      </c>
      <c r="C90" s="1">
        <f>IFERROR(__xludf.DUMMYFUNCTION("""COMPUTED_VALUE"""),98.44)</f>
        <v>98.44</v>
      </c>
      <c r="D90" s="1">
        <f>IFERROR(__xludf.DUMMYFUNCTION("""COMPUTED_VALUE"""),96.16)</f>
        <v>96.16</v>
      </c>
      <c r="E90" s="1">
        <f>IFERROR(__xludf.DUMMYFUNCTION("""COMPUTED_VALUE"""),96.83)</f>
        <v>96.83</v>
      </c>
      <c r="F90" s="1">
        <f>IFERROR(__xludf.DUMMYFUNCTION("""COMPUTED_VALUE"""),1520611.0)</f>
        <v>1520611</v>
      </c>
      <c r="G90" s="2" t="s">
        <v>11</v>
      </c>
    </row>
    <row r="91">
      <c r="A91" s="3">
        <f>IFERROR(__xludf.DUMMYFUNCTION("""COMPUTED_VALUE"""),44692.66666666667)</f>
        <v>44692.66667</v>
      </c>
      <c r="B91" s="1">
        <f>IFERROR(__xludf.DUMMYFUNCTION("""COMPUTED_VALUE"""),96.5)</f>
        <v>96.5</v>
      </c>
      <c r="C91" s="1">
        <f>IFERROR(__xludf.DUMMYFUNCTION("""COMPUTED_VALUE"""),98.41)</f>
        <v>98.41</v>
      </c>
      <c r="D91" s="1">
        <f>IFERROR(__xludf.DUMMYFUNCTION("""COMPUTED_VALUE"""),95.3)</f>
        <v>95.3</v>
      </c>
      <c r="E91" s="1">
        <f>IFERROR(__xludf.DUMMYFUNCTION("""COMPUTED_VALUE"""),95.59)</f>
        <v>95.59</v>
      </c>
      <c r="F91" s="1">
        <f>IFERROR(__xludf.DUMMYFUNCTION("""COMPUTED_VALUE"""),1568883.0)</f>
        <v>1568883</v>
      </c>
      <c r="G91" s="2" t="s">
        <v>11</v>
      </c>
    </row>
    <row r="92">
      <c r="A92" s="3">
        <f>IFERROR(__xludf.DUMMYFUNCTION("""COMPUTED_VALUE"""),44693.66666666667)</f>
        <v>44693.66667</v>
      </c>
      <c r="B92" s="1">
        <f>IFERROR(__xludf.DUMMYFUNCTION("""COMPUTED_VALUE"""),95.27)</f>
        <v>95.27</v>
      </c>
      <c r="C92" s="1">
        <f>IFERROR(__xludf.DUMMYFUNCTION("""COMPUTED_VALUE"""),97.83)</f>
        <v>97.83</v>
      </c>
      <c r="D92" s="1">
        <f>IFERROR(__xludf.DUMMYFUNCTION("""COMPUTED_VALUE"""),95.0)</f>
        <v>95</v>
      </c>
      <c r="E92" s="1">
        <f>IFERROR(__xludf.DUMMYFUNCTION("""COMPUTED_VALUE"""),96.97)</f>
        <v>96.97</v>
      </c>
      <c r="F92" s="1">
        <f>IFERROR(__xludf.DUMMYFUNCTION("""COMPUTED_VALUE"""),1578481.0)</f>
        <v>1578481</v>
      </c>
      <c r="G92" s="2" t="s">
        <v>11</v>
      </c>
    </row>
    <row r="93">
      <c r="A93" s="3">
        <f>IFERROR(__xludf.DUMMYFUNCTION("""COMPUTED_VALUE"""),44694.66666666667)</f>
        <v>44694.66667</v>
      </c>
      <c r="B93" s="1">
        <f>IFERROR(__xludf.DUMMYFUNCTION("""COMPUTED_VALUE"""),97.42)</f>
        <v>97.42</v>
      </c>
      <c r="C93" s="1">
        <f>IFERROR(__xludf.DUMMYFUNCTION("""COMPUTED_VALUE"""),99.03)</f>
        <v>99.03</v>
      </c>
      <c r="D93" s="1">
        <f>IFERROR(__xludf.DUMMYFUNCTION("""COMPUTED_VALUE"""),97.05)</f>
        <v>97.05</v>
      </c>
      <c r="E93" s="1">
        <f>IFERROR(__xludf.DUMMYFUNCTION("""COMPUTED_VALUE"""),98.71)</f>
        <v>98.71</v>
      </c>
      <c r="F93" s="1">
        <f>IFERROR(__xludf.DUMMYFUNCTION("""COMPUTED_VALUE"""),1214050.0)</f>
        <v>1214050</v>
      </c>
      <c r="G93" s="2" t="s">
        <v>11</v>
      </c>
    </row>
    <row r="94">
      <c r="A94" s="3">
        <f>IFERROR(__xludf.DUMMYFUNCTION("""COMPUTED_VALUE"""),44697.66666666667)</f>
        <v>44697.66667</v>
      </c>
      <c r="B94" s="1">
        <f>IFERROR(__xludf.DUMMYFUNCTION("""COMPUTED_VALUE"""),98.15)</f>
        <v>98.15</v>
      </c>
      <c r="C94" s="1">
        <f>IFERROR(__xludf.DUMMYFUNCTION("""COMPUTED_VALUE"""),98.31)</f>
        <v>98.31</v>
      </c>
      <c r="D94" s="1">
        <f>IFERROR(__xludf.DUMMYFUNCTION("""COMPUTED_VALUE"""),96.89)</f>
        <v>96.89</v>
      </c>
      <c r="E94" s="1">
        <f>IFERROR(__xludf.DUMMYFUNCTION("""COMPUTED_VALUE"""),97.54)</f>
        <v>97.54</v>
      </c>
      <c r="F94" s="1">
        <f>IFERROR(__xludf.DUMMYFUNCTION("""COMPUTED_VALUE"""),754309.0)</f>
        <v>754309</v>
      </c>
      <c r="G94" s="2" t="s">
        <v>11</v>
      </c>
    </row>
    <row r="95">
      <c r="A95" s="3">
        <f>IFERROR(__xludf.DUMMYFUNCTION("""COMPUTED_VALUE"""),44698.66666666667)</f>
        <v>44698.66667</v>
      </c>
      <c r="B95" s="1">
        <f>IFERROR(__xludf.DUMMYFUNCTION("""COMPUTED_VALUE"""),100.01)</f>
        <v>100.01</v>
      </c>
      <c r="C95" s="1">
        <f>IFERROR(__xludf.DUMMYFUNCTION("""COMPUTED_VALUE"""),100.06)</f>
        <v>100.06</v>
      </c>
      <c r="D95" s="1">
        <f>IFERROR(__xludf.DUMMYFUNCTION("""COMPUTED_VALUE"""),97.78)</f>
        <v>97.78</v>
      </c>
      <c r="E95" s="1">
        <f>IFERROR(__xludf.DUMMYFUNCTION("""COMPUTED_VALUE"""),99.06)</f>
        <v>99.06</v>
      </c>
      <c r="F95" s="1">
        <f>IFERROR(__xludf.DUMMYFUNCTION("""COMPUTED_VALUE"""),1174458.0)</f>
        <v>1174458</v>
      </c>
      <c r="G95" s="2" t="s">
        <v>11</v>
      </c>
    </row>
    <row r="96">
      <c r="A96" s="3">
        <f>IFERROR(__xludf.DUMMYFUNCTION("""COMPUTED_VALUE"""),44699.66666666667)</f>
        <v>44699.66667</v>
      </c>
      <c r="B96" s="1">
        <f>IFERROR(__xludf.DUMMYFUNCTION("""COMPUTED_VALUE"""),97.36)</f>
        <v>97.36</v>
      </c>
      <c r="C96" s="1">
        <f>IFERROR(__xludf.DUMMYFUNCTION("""COMPUTED_VALUE"""),97.49)</f>
        <v>97.49</v>
      </c>
      <c r="D96" s="1">
        <f>IFERROR(__xludf.DUMMYFUNCTION("""COMPUTED_VALUE"""),92.94)</f>
        <v>92.94</v>
      </c>
      <c r="E96" s="1">
        <f>IFERROR(__xludf.DUMMYFUNCTION("""COMPUTED_VALUE"""),93.24)</f>
        <v>93.24</v>
      </c>
      <c r="F96" s="1">
        <f>IFERROR(__xludf.DUMMYFUNCTION("""COMPUTED_VALUE"""),2296695.0)</f>
        <v>2296695</v>
      </c>
      <c r="G96" s="2" t="s">
        <v>11</v>
      </c>
    </row>
    <row r="97">
      <c r="A97" s="3">
        <f>IFERROR(__xludf.DUMMYFUNCTION("""COMPUTED_VALUE"""),44700.66666666667)</f>
        <v>44700.66667</v>
      </c>
      <c r="B97" s="1">
        <f>IFERROR(__xludf.DUMMYFUNCTION("""COMPUTED_VALUE"""),93.2)</f>
        <v>93.2</v>
      </c>
      <c r="C97" s="1">
        <f>IFERROR(__xludf.DUMMYFUNCTION("""COMPUTED_VALUE"""),96.4)</f>
        <v>96.4</v>
      </c>
      <c r="D97" s="1">
        <f>IFERROR(__xludf.DUMMYFUNCTION("""COMPUTED_VALUE"""),93.01)</f>
        <v>93.01</v>
      </c>
      <c r="E97" s="1">
        <f>IFERROR(__xludf.DUMMYFUNCTION("""COMPUTED_VALUE"""),95.35)</f>
        <v>95.35</v>
      </c>
      <c r="F97" s="1">
        <f>IFERROR(__xludf.DUMMYFUNCTION("""COMPUTED_VALUE"""),2220446.0)</f>
        <v>2220446</v>
      </c>
      <c r="G97" s="2" t="s">
        <v>11</v>
      </c>
    </row>
    <row r="98">
      <c r="A98" s="3">
        <f>IFERROR(__xludf.DUMMYFUNCTION("""COMPUTED_VALUE"""),44701.66666666667)</f>
        <v>44701.66667</v>
      </c>
      <c r="B98" s="1">
        <f>IFERROR(__xludf.DUMMYFUNCTION("""COMPUTED_VALUE"""),97.34)</f>
        <v>97.34</v>
      </c>
      <c r="C98" s="1">
        <f>IFERROR(__xludf.DUMMYFUNCTION("""COMPUTED_VALUE"""),97.58)</f>
        <v>97.58</v>
      </c>
      <c r="D98" s="1">
        <f>IFERROR(__xludf.DUMMYFUNCTION("""COMPUTED_VALUE"""),95.82)</f>
        <v>95.82</v>
      </c>
      <c r="E98" s="1">
        <f>IFERROR(__xludf.DUMMYFUNCTION("""COMPUTED_VALUE"""),97.43)</f>
        <v>97.43</v>
      </c>
      <c r="F98" s="1">
        <f>IFERROR(__xludf.DUMMYFUNCTION("""COMPUTED_VALUE"""),2173604.0)</f>
        <v>2173604</v>
      </c>
      <c r="G98" s="2" t="s">
        <v>11</v>
      </c>
    </row>
    <row r="99">
      <c r="A99" s="3">
        <f>IFERROR(__xludf.DUMMYFUNCTION("""COMPUTED_VALUE"""),44704.66666666667)</f>
        <v>44704.66667</v>
      </c>
      <c r="B99" s="1">
        <f>IFERROR(__xludf.DUMMYFUNCTION("""COMPUTED_VALUE"""),98.64)</f>
        <v>98.64</v>
      </c>
      <c r="C99" s="1">
        <f>IFERROR(__xludf.DUMMYFUNCTION("""COMPUTED_VALUE"""),99.84)</f>
        <v>99.84</v>
      </c>
      <c r="D99" s="1">
        <f>IFERROR(__xludf.DUMMYFUNCTION("""COMPUTED_VALUE"""),98.23)</f>
        <v>98.23</v>
      </c>
      <c r="E99" s="1">
        <f>IFERROR(__xludf.DUMMYFUNCTION("""COMPUTED_VALUE"""),99.83)</f>
        <v>99.83</v>
      </c>
      <c r="F99" s="1">
        <f>IFERROR(__xludf.DUMMYFUNCTION("""COMPUTED_VALUE"""),1688505.0)</f>
        <v>1688505</v>
      </c>
      <c r="G99" s="2" t="s">
        <v>11</v>
      </c>
    </row>
    <row r="100">
      <c r="A100" s="3">
        <f>IFERROR(__xludf.DUMMYFUNCTION("""COMPUTED_VALUE"""),44705.66666666667)</f>
        <v>44705.66667</v>
      </c>
      <c r="B100" s="1">
        <f>IFERROR(__xludf.DUMMYFUNCTION("""COMPUTED_VALUE"""),99.71)</f>
        <v>99.71</v>
      </c>
      <c r="C100" s="1">
        <f>IFERROR(__xludf.DUMMYFUNCTION("""COMPUTED_VALUE"""),99.95)</f>
        <v>99.95</v>
      </c>
      <c r="D100" s="1">
        <f>IFERROR(__xludf.DUMMYFUNCTION("""COMPUTED_VALUE"""),97.91)</f>
        <v>97.91</v>
      </c>
      <c r="E100" s="1">
        <f>IFERROR(__xludf.DUMMYFUNCTION("""COMPUTED_VALUE"""),98.7)</f>
        <v>98.7</v>
      </c>
      <c r="F100" s="1">
        <f>IFERROR(__xludf.DUMMYFUNCTION("""COMPUTED_VALUE"""),2749767.0)</f>
        <v>2749767</v>
      </c>
      <c r="G100" s="2" t="s">
        <v>11</v>
      </c>
    </row>
    <row r="101">
      <c r="A101" s="3">
        <f>IFERROR(__xludf.DUMMYFUNCTION("""COMPUTED_VALUE"""),44706.66666666667)</f>
        <v>44706.66667</v>
      </c>
      <c r="B101" s="1">
        <f>IFERROR(__xludf.DUMMYFUNCTION("""COMPUTED_VALUE"""),96.61)</f>
        <v>96.61</v>
      </c>
      <c r="C101" s="1">
        <f>IFERROR(__xludf.DUMMYFUNCTION("""COMPUTED_VALUE"""),98.06)</f>
        <v>98.06</v>
      </c>
      <c r="D101" s="1">
        <f>IFERROR(__xludf.DUMMYFUNCTION("""COMPUTED_VALUE"""),96.24)</f>
        <v>96.24</v>
      </c>
      <c r="E101" s="1">
        <f>IFERROR(__xludf.DUMMYFUNCTION("""COMPUTED_VALUE"""),97.32)</f>
        <v>97.32</v>
      </c>
      <c r="F101" s="1">
        <f>IFERROR(__xludf.DUMMYFUNCTION("""COMPUTED_VALUE"""),1331381.0)</f>
        <v>1331381</v>
      </c>
      <c r="G101" s="2" t="s">
        <v>11</v>
      </c>
    </row>
    <row r="102">
      <c r="A102" s="3">
        <f>IFERROR(__xludf.DUMMYFUNCTION("""COMPUTED_VALUE"""),44707.66666666667)</f>
        <v>44707.66667</v>
      </c>
      <c r="B102" s="1">
        <f>IFERROR(__xludf.DUMMYFUNCTION("""COMPUTED_VALUE"""),97.04)</f>
        <v>97.04</v>
      </c>
      <c r="C102" s="1">
        <f>IFERROR(__xludf.DUMMYFUNCTION("""COMPUTED_VALUE"""),98.8)</f>
        <v>98.8</v>
      </c>
      <c r="D102" s="1">
        <f>IFERROR(__xludf.DUMMYFUNCTION("""COMPUTED_VALUE"""),96.95)</f>
        <v>96.95</v>
      </c>
      <c r="E102" s="1">
        <f>IFERROR(__xludf.DUMMYFUNCTION("""COMPUTED_VALUE"""),98.47)</f>
        <v>98.47</v>
      </c>
      <c r="F102" s="1">
        <f>IFERROR(__xludf.DUMMYFUNCTION("""COMPUTED_VALUE"""),760854.0)</f>
        <v>760854</v>
      </c>
      <c r="G102" s="2" t="s">
        <v>11</v>
      </c>
    </row>
    <row r="103">
      <c r="A103" s="3">
        <f>IFERROR(__xludf.DUMMYFUNCTION("""COMPUTED_VALUE"""),44708.66666666667)</f>
        <v>44708.66667</v>
      </c>
      <c r="B103" s="1">
        <f>IFERROR(__xludf.DUMMYFUNCTION("""COMPUTED_VALUE"""),100.01)</f>
        <v>100.01</v>
      </c>
      <c r="C103" s="1">
        <f>IFERROR(__xludf.DUMMYFUNCTION("""COMPUTED_VALUE"""),101.15)</f>
        <v>101.15</v>
      </c>
      <c r="D103" s="1">
        <f>IFERROR(__xludf.DUMMYFUNCTION("""COMPUTED_VALUE"""),100.0)</f>
        <v>100</v>
      </c>
      <c r="E103" s="1">
        <f>IFERROR(__xludf.DUMMYFUNCTION("""COMPUTED_VALUE"""),101.15)</f>
        <v>101.15</v>
      </c>
      <c r="F103" s="1">
        <f>IFERROR(__xludf.DUMMYFUNCTION("""COMPUTED_VALUE"""),1034397.0)</f>
        <v>1034397</v>
      </c>
      <c r="G103" s="2" t="s">
        <v>11</v>
      </c>
    </row>
    <row r="104">
      <c r="A104" s="3">
        <f>IFERROR(__xludf.DUMMYFUNCTION("""COMPUTED_VALUE"""),44712.66666666667)</f>
        <v>44712.66667</v>
      </c>
      <c r="B104" s="1">
        <f>IFERROR(__xludf.DUMMYFUNCTION("""COMPUTED_VALUE"""),99.74)</f>
        <v>99.74</v>
      </c>
      <c r="C104" s="1">
        <f>IFERROR(__xludf.DUMMYFUNCTION("""COMPUTED_VALUE"""),100.31)</f>
        <v>100.31</v>
      </c>
      <c r="D104" s="1">
        <f>IFERROR(__xludf.DUMMYFUNCTION("""COMPUTED_VALUE"""),98.74)</f>
        <v>98.74</v>
      </c>
      <c r="E104" s="1">
        <f>IFERROR(__xludf.DUMMYFUNCTION("""COMPUTED_VALUE"""),99.84)</f>
        <v>99.84</v>
      </c>
      <c r="F104" s="1">
        <f>IFERROR(__xludf.DUMMYFUNCTION("""COMPUTED_VALUE"""),1459310.0)</f>
        <v>1459310</v>
      </c>
      <c r="G104" s="2" t="s">
        <v>11</v>
      </c>
    </row>
    <row r="105">
      <c r="A105" s="3">
        <f>IFERROR(__xludf.DUMMYFUNCTION("""COMPUTED_VALUE"""),44713.66666666667)</f>
        <v>44713.66667</v>
      </c>
      <c r="B105" s="1">
        <f>IFERROR(__xludf.DUMMYFUNCTION("""COMPUTED_VALUE"""),100.94)</f>
        <v>100.94</v>
      </c>
      <c r="C105" s="1">
        <f>IFERROR(__xludf.DUMMYFUNCTION("""COMPUTED_VALUE"""),101.34)</f>
        <v>101.34</v>
      </c>
      <c r="D105" s="1">
        <f>IFERROR(__xludf.DUMMYFUNCTION("""COMPUTED_VALUE"""),99.11)</f>
        <v>99.11</v>
      </c>
      <c r="E105" s="1">
        <f>IFERROR(__xludf.DUMMYFUNCTION("""COMPUTED_VALUE"""),99.33)</f>
        <v>99.33</v>
      </c>
      <c r="F105" s="1">
        <f>IFERROR(__xludf.DUMMYFUNCTION("""COMPUTED_VALUE"""),1786083.0)</f>
        <v>1786083</v>
      </c>
      <c r="G105" s="2" t="s">
        <v>11</v>
      </c>
    </row>
    <row r="106">
      <c r="A106" s="3">
        <f>IFERROR(__xludf.DUMMYFUNCTION("""COMPUTED_VALUE"""),44714.66666666667)</f>
        <v>44714.66667</v>
      </c>
      <c r="B106" s="1">
        <f>IFERROR(__xludf.DUMMYFUNCTION("""COMPUTED_VALUE"""),99.52)</f>
        <v>99.52</v>
      </c>
      <c r="C106" s="1">
        <f>IFERROR(__xludf.DUMMYFUNCTION("""COMPUTED_VALUE"""),102.13)</f>
        <v>102.13</v>
      </c>
      <c r="D106" s="1">
        <f>IFERROR(__xludf.DUMMYFUNCTION("""COMPUTED_VALUE"""),99.33)</f>
        <v>99.33</v>
      </c>
      <c r="E106" s="1">
        <f>IFERROR(__xludf.DUMMYFUNCTION("""COMPUTED_VALUE"""),102.12)</f>
        <v>102.12</v>
      </c>
      <c r="F106" s="1">
        <f>IFERROR(__xludf.DUMMYFUNCTION("""COMPUTED_VALUE"""),967709.0)</f>
        <v>967709</v>
      </c>
      <c r="G106" s="2" t="s">
        <v>11</v>
      </c>
    </row>
    <row r="107">
      <c r="A107" s="3">
        <f>IFERROR(__xludf.DUMMYFUNCTION("""COMPUTED_VALUE"""),44715.66666666667)</f>
        <v>44715.66667</v>
      </c>
      <c r="B107" s="1">
        <f>IFERROR(__xludf.DUMMYFUNCTION("""COMPUTED_VALUE"""),100.59)</f>
        <v>100.59</v>
      </c>
      <c r="C107" s="1">
        <f>IFERROR(__xludf.DUMMYFUNCTION("""COMPUTED_VALUE"""),101.07)</f>
        <v>101.07</v>
      </c>
      <c r="D107" s="1">
        <f>IFERROR(__xludf.DUMMYFUNCTION("""COMPUTED_VALUE"""),100.02)</f>
        <v>100.02</v>
      </c>
      <c r="E107" s="1">
        <f>IFERROR(__xludf.DUMMYFUNCTION("""COMPUTED_VALUE"""),100.43)</f>
        <v>100.43</v>
      </c>
      <c r="F107" s="1">
        <f>IFERROR(__xludf.DUMMYFUNCTION("""COMPUTED_VALUE"""),678910.0)</f>
        <v>678910</v>
      </c>
      <c r="G107" s="2" t="s">
        <v>11</v>
      </c>
    </row>
    <row r="108">
      <c r="A108" s="3">
        <f>IFERROR(__xludf.DUMMYFUNCTION("""COMPUTED_VALUE"""),44718.66666666667)</f>
        <v>44718.66667</v>
      </c>
      <c r="B108" s="1">
        <f>IFERROR(__xludf.DUMMYFUNCTION("""COMPUTED_VALUE"""),102.17)</f>
        <v>102.17</v>
      </c>
      <c r="C108" s="1">
        <f>IFERROR(__xludf.DUMMYFUNCTION("""COMPUTED_VALUE"""),102.4)</f>
        <v>102.4</v>
      </c>
      <c r="D108" s="1">
        <f>IFERROR(__xludf.DUMMYFUNCTION("""COMPUTED_VALUE"""),100.63)</f>
        <v>100.63</v>
      </c>
      <c r="E108" s="1">
        <f>IFERROR(__xludf.DUMMYFUNCTION("""COMPUTED_VALUE"""),100.86)</f>
        <v>100.86</v>
      </c>
      <c r="F108" s="1">
        <f>IFERROR(__xludf.DUMMYFUNCTION("""COMPUTED_VALUE"""),740581.0)</f>
        <v>740581</v>
      </c>
      <c r="G108" s="2" t="s">
        <v>11</v>
      </c>
    </row>
    <row r="109">
      <c r="A109" s="3">
        <f>IFERROR(__xludf.DUMMYFUNCTION("""COMPUTED_VALUE"""),44719.66666666667)</f>
        <v>44719.66667</v>
      </c>
      <c r="B109" s="1">
        <f>IFERROR(__xludf.DUMMYFUNCTION("""COMPUTED_VALUE"""),100.48)</f>
        <v>100.48</v>
      </c>
      <c r="C109" s="1">
        <f>IFERROR(__xludf.DUMMYFUNCTION("""COMPUTED_VALUE"""),102.06)</f>
        <v>102.06</v>
      </c>
      <c r="D109" s="1">
        <f>IFERROR(__xludf.DUMMYFUNCTION("""COMPUTED_VALUE"""),100.3)</f>
        <v>100.3</v>
      </c>
      <c r="E109" s="1">
        <f>IFERROR(__xludf.DUMMYFUNCTION("""COMPUTED_VALUE"""),101.99)</f>
        <v>101.99</v>
      </c>
      <c r="F109" s="1">
        <f>IFERROR(__xludf.DUMMYFUNCTION("""COMPUTED_VALUE"""),955931.0)</f>
        <v>955931</v>
      </c>
      <c r="G109" s="2" t="s">
        <v>11</v>
      </c>
    </row>
    <row r="110">
      <c r="A110" s="3">
        <f>IFERROR(__xludf.DUMMYFUNCTION("""COMPUTED_VALUE"""),44720.66666666667)</f>
        <v>44720.66667</v>
      </c>
      <c r="B110" s="1">
        <f>IFERROR(__xludf.DUMMYFUNCTION("""COMPUTED_VALUE"""),100.57)</f>
        <v>100.57</v>
      </c>
      <c r="C110" s="1">
        <f>IFERROR(__xludf.DUMMYFUNCTION("""COMPUTED_VALUE"""),101.04)</f>
        <v>101.04</v>
      </c>
      <c r="D110" s="1">
        <f>IFERROR(__xludf.DUMMYFUNCTION("""COMPUTED_VALUE"""),99.63)</f>
        <v>99.63</v>
      </c>
      <c r="E110" s="1">
        <f>IFERROR(__xludf.DUMMYFUNCTION("""COMPUTED_VALUE"""),99.86)</f>
        <v>99.86</v>
      </c>
      <c r="F110" s="1">
        <f>IFERROR(__xludf.DUMMYFUNCTION("""COMPUTED_VALUE"""),815044.0)</f>
        <v>815044</v>
      </c>
      <c r="G110" s="2" t="s">
        <v>11</v>
      </c>
    </row>
    <row r="111">
      <c r="A111" s="3">
        <f>IFERROR(__xludf.DUMMYFUNCTION("""COMPUTED_VALUE"""),44721.66666666667)</f>
        <v>44721.66667</v>
      </c>
      <c r="B111" s="1">
        <f>IFERROR(__xludf.DUMMYFUNCTION("""COMPUTED_VALUE"""),98.81)</f>
        <v>98.81</v>
      </c>
      <c r="C111" s="1">
        <f>IFERROR(__xludf.DUMMYFUNCTION("""COMPUTED_VALUE"""),99.45)</f>
        <v>99.45</v>
      </c>
      <c r="D111" s="1">
        <f>IFERROR(__xludf.DUMMYFUNCTION("""COMPUTED_VALUE"""),96.78)</f>
        <v>96.78</v>
      </c>
      <c r="E111" s="1">
        <f>IFERROR(__xludf.DUMMYFUNCTION("""COMPUTED_VALUE"""),96.79)</f>
        <v>96.79</v>
      </c>
      <c r="F111" s="1">
        <f>IFERROR(__xludf.DUMMYFUNCTION("""COMPUTED_VALUE"""),940017.0)</f>
        <v>940017</v>
      </c>
      <c r="G111" s="2" t="s">
        <v>11</v>
      </c>
    </row>
    <row r="112">
      <c r="A112" s="3">
        <f>IFERROR(__xludf.DUMMYFUNCTION("""COMPUTED_VALUE"""),44722.66666666667)</f>
        <v>44722.66667</v>
      </c>
      <c r="B112" s="1">
        <f>IFERROR(__xludf.DUMMYFUNCTION("""COMPUTED_VALUE"""),95.59)</f>
        <v>95.59</v>
      </c>
      <c r="C112" s="1">
        <f>IFERROR(__xludf.DUMMYFUNCTION("""COMPUTED_VALUE"""),95.61)</f>
        <v>95.61</v>
      </c>
      <c r="D112" s="1">
        <f>IFERROR(__xludf.DUMMYFUNCTION("""COMPUTED_VALUE"""),93.66)</f>
        <v>93.66</v>
      </c>
      <c r="E112" s="1">
        <f>IFERROR(__xludf.DUMMYFUNCTION("""COMPUTED_VALUE"""),94.17)</f>
        <v>94.17</v>
      </c>
      <c r="F112" s="1">
        <f>IFERROR(__xludf.DUMMYFUNCTION("""COMPUTED_VALUE"""),1284294.0)</f>
        <v>1284294</v>
      </c>
      <c r="G112" s="2" t="s">
        <v>11</v>
      </c>
    </row>
    <row r="113">
      <c r="A113" s="3">
        <f>IFERROR(__xludf.DUMMYFUNCTION("""COMPUTED_VALUE"""),44725.66666666667)</f>
        <v>44725.66667</v>
      </c>
      <c r="B113" s="1">
        <f>IFERROR(__xludf.DUMMYFUNCTION("""COMPUTED_VALUE"""),90.65)</f>
        <v>90.65</v>
      </c>
      <c r="C113" s="1">
        <f>IFERROR(__xludf.DUMMYFUNCTION("""COMPUTED_VALUE"""),91.77)</f>
        <v>91.77</v>
      </c>
      <c r="D113" s="1">
        <f>IFERROR(__xludf.DUMMYFUNCTION("""COMPUTED_VALUE"""),90.12)</f>
        <v>90.12</v>
      </c>
      <c r="E113" s="1">
        <f>IFERROR(__xludf.DUMMYFUNCTION("""COMPUTED_VALUE"""),90.82)</f>
        <v>90.82</v>
      </c>
      <c r="F113" s="1">
        <f>IFERROR(__xludf.DUMMYFUNCTION("""COMPUTED_VALUE"""),1837887.0)</f>
        <v>1837887</v>
      </c>
      <c r="G113" s="2" t="s">
        <v>11</v>
      </c>
    </row>
    <row r="114">
      <c r="A114" s="3">
        <f>IFERROR(__xludf.DUMMYFUNCTION("""COMPUTED_VALUE"""),44726.66666666667)</f>
        <v>44726.66667</v>
      </c>
      <c r="B114" s="1">
        <f>IFERROR(__xludf.DUMMYFUNCTION("""COMPUTED_VALUE"""),91.72)</f>
        <v>91.72</v>
      </c>
      <c r="C114" s="1">
        <f>IFERROR(__xludf.DUMMYFUNCTION("""COMPUTED_VALUE"""),91.88)</f>
        <v>91.88</v>
      </c>
      <c r="D114" s="1">
        <f>IFERROR(__xludf.DUMMYFUNCTION("""COMPUTED_VALUE"""),89.91)</f>
        <v>89.91</v>
      </c>
      <c r="E114" s="1">
        <f>IFERROR(__xludf.DUMMYFUNCTION("""COMPUTED_VALUE"""),90.37)</f>
        <v>90.37</v>
      </c>
      <c r="F114" s="1">
        <f>IFERROR(__xludf.DUMMYFUNCTION("""COMPUTED_VALUE"""),1629914.0)</f>
        <v>1629914</v>
      </c>
      <c r="G114" s="2" t="s">
        <v>11</v>
      </c>
    </row>
    <row r="115">
      <c r="A115" s="3">
        <f>IFERROR(__xludf.DUMMYFUNCTION("""COMPUTED_VALUE"""),44727.66666666667)</f>
        <v>44727.66667</v>
      </c>
      <c r="B115" s="1">
        <f>IFERROR(__xludf.DUMMYFUNCTION("""COMPUTED_VALUE"""),92.77)</f>
        <v>92.77</v>
      </c>
      <c r="C115" s="1">
        <f>IFERROR(__xludf.DUMMYFUNCTION("""COMPUTED_VALUE"""),94.21)</f>
        <v>94.21</v>
      </c>
      <c r="D115" s="1">
        <f>IFERROR(__xludf.DUMMYFUNCTION("""COMPUTED_VALUE"""),91.42)</f>
        <v>91.42</v>
      </c>
      <c r="E115" s="1">
        <f>IFERROR(__xludf.DUMMYFUNCTION("""COMPUTED_VALUE"""),93.3)</f>
        <v>93.3</v>
      </c>
      <c r="F115" s="1">
        <f>IFERROR(__xludf.DUMMYFUNCTION("""COMPUTED_VALUE"""),1294403.0)</f>
        <v>1294403</v>
      </c>
      <c r="G115" s="2" t="s">
        <v>11</v>
      </c>
    </row>
    <row r="116">
      <c r="A116" s="3">
        <f>IFERROR(__xludf.DUMMYFUNCTION("""COMPUTED_VALUE"""),44728.66666666667)</f>
        <v>44728.66667</v>
      </c>
      <c r="B116" s="1">
        <f>IFERROR(__xludf.DUMMYFUNCTION("""COMPUTED_VALUE"""),92.36)</f>
        <v>92.36</v>
      </c>
      <c r="C116" s="1">
        <f>IFERROR(__xludf.DUMMYFUNCTION("""COMPUTED_VALUE"""),93.06)</f>
        <v>93.06</v>
      </c>
      <c r="D116" s="1">
        <f>IFERROR(__xludf.DUMMYFUNCTION("""COMPUTED_VALUE"""),91.83)</f>
        <v>91.83</v>
      </c>
      <c r="E116" s="1">
        <f>IFERROR(__xludf.DUMMYFUNCTION("""COMPUTED_VALUE"""),92.76)</f>
        <v>92.76</v>
      </c>
      <c r="F116" s="1">
        <f>IFERROR(__xludf.DUMMYFUNCTION("""COMPUTED_VALUE"""),1466100.0)</f>
        <v>1466100</v>
      </c>
      <c r="G116" s="2" t="s">
        <v>11</v>
      </c>
    </row>
    <row r="117">
      <c r="A117" s="3">
        <f>IFERROR(__xludf.DUMMYFUNCTION("""COMPUTED_VALUE"""),44729.66666666667)</f>
        <v>44729.66667</v>
      </c>
      <c r="B117" s="1">
        <f>IFERROR(__xludf.DUMMYFUNCTION("""COMPUTED_VALUE"""),92.67)</f>
        <v>92.67</v>
      </c>
      <c r="C117" s="1">
        <f>IFERROR(__xludf.DUMMYFUNCTION("""COMPUTED_VALUE"""),93.8)</f>
        <v>93.8</v>
      </c>
      <c r="D117" s="1">
        <f>IFERROR(__xludf.DUMMYFUNCTION("""COMPUTED_VALUE"""),91.99)</f>
        <v>91.99</v>
      </c>
      <c r="E117" s="1">
        <f>IFERROR(__xludf.DUMMYFUNCTION("""COMPUTED_VALUE"""),93.0)</f>
        <v>93</v>
      </c>
      <c r="F117" s="1">
        <f>IFERROR(__xludf.DUMMYFUNCTION("""COMPUTED_VALUE"""),1435548.0)</f>
        <v>1435548</v>
      </c>
      <c r="G117" s="2" t="s">
        <v>11</v>
      </c>
    </row>
    <row r="118">
      <c r="A118" s="3">
        <f>IFERROR(__xludf.DUMMYFUNCTION("""COMPUTED_VALUE"""),44733.66666666667)</f>
        <v>44733.66667</v>
      </c>
      <c r="B118" s="1">
        <f>IFERROR(__xludf.DUMMYFUNCTION("""COMPUTED_VALUE"""),94.33)</f>
        <v>94.33</v>
      </c>
      <c r="C118" s="1">
        <f>IFERROR(__xludf.DUMMYFUNCTION("""COMPUTED_VALUE"""),94.9)</f>
        <v>94.9</v>
      </c>
      <c r="D118" s="1">
        <f>IFERROR(__xludf.DUMMYFUNCTION("""COMPUTED_VALUE"""),93.99)</f>
        <v>93.99</v>
      </c>
      <c r="E118" s="1">
        <f>IFERROR(__xludf.DUMMYFUNCTION("""COMPUTED_VALUE"""),94.09)</f>
        <v>94.09</v>
      </c>
      <c r="F118" s="1">
        <f>IFERROR(__xludf.DUMMYFUNCTION("""COMPUTED_VALUE"""),1023219.0)</f>
        <v>1023219</v>
      </c>
      <c r="G118" s="2" t="s">
        <v>11</v>
      </c>
    </row>
    <row r="119">
      <c r="A119" s="3">
        <f>IFERROR(__xludf.DUMMYFUNCTION("""COMPUTED_VALUE"""),44734.66666666667)</f>
        <v>44734.66667</v>
      </c>
      <c r="B119" s="1">
        <f>IFERROR(__xludf.DUMMYFUNCTION("""COMPUTED_VALUE"""),93.08)</f>
        <v>93.08</v>
      </c>
      <c r="C119" s="1">
        <f>IFERROR(__xludf.DUMMYFUNCTION("""COMPUTED_VALUE"""),95.25)</f>
        <v>95.25</v>
      </c>
      <c r="D119" s="1">
        <f>IFERROR(__xludf.DUMMYFUNCTION("""COMPUTED_VALUE"""),92.99)</f>
        <v>92.99</v>
      </c>
      <c r="E119" s="1">
        <f>IFERROR(__xludf.DUMMYFUNCTION("""COMPUTED_VALUE"""),94.0)</f>
        <v>94</v>
      </c>
      <c r="F119" s="1">
        <f>IFERROR(__xludf.DUMMYFUNCTION("""COMPUTED_VALUE"""),915181.0)</f>
        <v>915181</v>
      </c>
      <c r="G119" s="2" t="s">
        <v>11</v>
      </c>
    </row>
    <row r="120">
      <c r="A120" s="3">
        <f>IFERROR(__xludf.DUMMYFUNCTION("""COMPUTED_VALUE"""),44735.66666666667)</f>
        <v>44735.66667</v>
      </c>
      <c r="B120" s="1">
        <f>IFERROR(__xludf.DUMMYFUNCTION("""COMPUTED_VALUE"""),93.34)</f>
        <v>93.34</v>
      </c>
      <c r="C120" s="1">
        <f>IFERROR(__xludf.DUMMYFUNCTION("""COMPUTED_VALUE"""),94.39)</f>
        <v>94.39</v>
      </c>
      <c r="D120" s="1">
        <f>IFERROR(__xludf.DUMMYFUNCTION("""COMPUTED_VALUE"""),92.79)</f>
        <v>92.79</v>
      </c>
      <c r="E120" s="1">
        <f>IFERROR(__xludf.DUMMYFUNCTION("""COMPUTED_VALUE"""),94.24)</f>
        <v>94.24</v>
      </c>
      <c r="F120" s="1">
        <f>IFERROR(__xludf.DUMMYFUNCTION("""COMPUTED_VALUE"""),918964.0)</f>
        <v>918964</v>
      </c>
      <c r="G120" s="2" t="s">
        <v>11</v>
      </c>
    </row>
    <row r="121">
      <c r="A121" s="3">
        <f>IFERROR(__xludf.DUMMYFUNCTION("""COMPUTED_VALUE"""),44736.66666666667)</f>
        <v>44736.66667</v>
      </c>
      <c r="B121" s="1">
        <f>IFERROR(__xludf.DUMMYFUNCTION("""COMPUTED_VALUE"""),95.79)</f>
        <v>95.79</v>
      </c>
      <c r="C121" s="1">
        <f>IFERROR(__xludf.DUMMYFUNCTION("""COMPUTED_VALUE"""),98.46)</f>
        <v>98.46</v>
      </c>
      <c r="D121" s="1">
        <f>IFERROR(__xludf.DUMMYFUNCTION("""COMPUTED_VALUE"""),95.72)</f>
        <v>95.72</v>
      </c>
      <c r="E121" s="1">
        <f>IFERROR(__xludf.DUMMYFUNCTION("""COMPUTED_VALUE"""),98.41)</f>
        <v>98.41</v>
      </c>
      <c r="F121" s="1">
        <f>IFERROR(__xludf.DUMMYFUNCTION("""COMPUTED_VALUE"""),1276902.0)</f>
        <v>1276902</v>
      </c>
      <c r="G121" s="2" t="s">
        <v>11</v>
      </c>
    </row>
    <row r="122">
      <c r="A122" s="3">
        <f>IFERROR(__xludf.DUMMYFUNCTION("""COMPUTED_VALUE"""),44739.66666666667)</f>
        <v>44739.66667</v>
      </c>
      <c r="B122" s="1">
        <f>IFERROR(__xludf.DUMMYFUNCTION("""COMPUTED_VALUE"""),97.75)</f>
        <v>97.75</v>
      </c>
      <c r="C122" s="1">
        <f>IFERROR(__xludf.DUMMYFUNCTION("""COMPUTED_VALUE"""),98.31)</f>
        <v>98.31</v>
      </c>
      <c r="D122" s="1">
        <f>IFERROR(__xludf.DUMMYFUNCTION("""COMPUTED_VALUE"""),96.87)</f>
        <v>96.87</v>
      </c>
      <c r="E122" s="1">
        <f>IFERROR(__xludf.DUMMYFUNCTION("""COMPUTED_VALUE"""),97.3)</f>
        <v>97.3</v>
      </c>
      <c r="F122" s="1">
        <f>IFERROR(__xludf.DUMMYFUNCTION("""COMPUTED_VALUE"""),835710.0)</f>
        <v>835710</v>
      </c>
      <c r="G122" s="2" t="s">
        <v>11</v>
      </c>
    </row>
    <row r="123">
      <c r="A123" s="3">
        <f>IFERROR(__xludf.DUMMYFUNCTION("""COMPUTED_VALUE"""),44740.66666666667)</f>
        <v>44740.66667</v>
      </c>
      <c r="B123" s="1">
        <f>IFERROR(__xludf.DUMMYFUNCTION("""COMPUTED_VALUE"""),96.56)</f>
        <v>96.56</v>
      </c>
      <c r="C123" s="1">
        <f>IFERROR(__xludf.DUMMYFUNCTION("""COMPUTED_VALUE"""),97.05)</f>
        <v>97.05</v>
      </c>
      <c r="D123" s="1">
        <f>IFERROR(__xludf.DUMMYFUNCTION("""COMPUTED_VALUE"""),95.46)</f>
        <v>95.46</v>
      </c>
      <c r="E123" s="1">
        <f>IFERROR(__xludf.DUMMYFUNCTION("""COMPUTED_VALUE"""),95.47)</f>
        <v>95.47</v>
      </c>
      <c r="F123" s="1">
        <f>IFERROR(__xludf.DUMMYFUNCTION("""COMPUTED_VALUE"""),1405116.0)</f>
        <v>1405116</v>
      </c>
      <c r="G123" s="2" t="s">
        <v>11</v>
      </c>
    </row>
    <row r="124">
      <c r="A124" s="3">
        <f>IFERROR(__xludf.DUMMYFUNCTION("""COMPUTED_VALUE"""),44741.66666666667)</f>
        <v>44741.66667</v>
      </c>
      <c r="B124" s="1">
        <f>IFERROR(__xludf.DUMMYFUNCTION("""COMPUTED_VALUE"""),94.33)</f>
        <v>94.33</v>
      </c>
      <c r="C124" s="1">
        <f>IFERROR(__xludf.DUMMYFUNCTION("""COMPUTED_VALUE"""),95.2)</f>
        <v>95.2</v>
      </c>
      <c r="D124" s="1">
        <f>IFERROR(__xludf.DUMMYFUNCTION("""COMPUTED_VALUE"""),93.77)</f>
        <v>93.77</v>
      </c>
      <c r="E124" s="1">
        <f>IFERROR(__xludf.DUMMYFUNCTION("""COMPUTED_VALUE"""),93.93)</f>
        <v>93.93</v>
      </c>
      <c r="F124" s="1">
        <f>IFERROR(__xludf.DUMMYFUNCTION("""COMPUTED_VALUE"""),1221362.0)</f>
        <v>1221362</v>
      </c>
      <c r="G124" s="2" t="s">
        <v>11</v>
      </c>
    </row>
    <row r="125">
      <c r="A125" s="3">
        <f>IFERROR(__xludf.DUMMYFUNCTION("""COMPUTED_VALUE"""),44742.66666666667)</f>
        <v>44742.66667</v>
      </c>
      <c r="B125" s="1">
        <f>IFERROR(__xludf.DUMMYFUNCTION("""COMPUTED_VALUE"""),89.91)</f>
        <v>89.91</v>
      </c>
      <c r="C125" s="1">
        <f>IFERROR(__xludf.DUMMYFUNCTION("""COMPUTED_VALUE"""),91.25)</f>
        <v>91.25</v>
      </c>
      <c r="D125" s="1">
        <f>IFERROR(__xludf.DUMMYFUNCTION("""COMPUTED_VALUE"""),88.96)</f>
        <v>88.96</v>
      </c>
      <c r="E125" s="1">
        <f>IFERROR(__xludf.DUMMYFUNCTION("""COMPUTED_VALUE"""),90.72)</f>
        <v>90.72</v>
      </c>
      <c r="F125" s="1">
        <f>IFERROR(__xludf.DUMMYFUNCTION("""COMPUTED_VALUE"""),1805086.0)</f>
        <v>1805086</v>
      </c>
      <c r="G125" s="2" t="s">
        <v>11</v>
      </c>
    </row>
    <row r="126">
      <c r="A126" s="3">
        <f>IFERROR(__xludf.DUMMYFUNCTION("""COMPUTED_VALUE"""),44743.66666666667)</f>
        <v>44743.66667</v>
      </c>
      <c r="B126" s="1">
        <f>IFERROR(__xludf.DUMMYFUNCTION("""COMPUTED_VALUE"""),89.77)</f>
        <v>89.77</v>
      </c>
      <c r="C126" s="1">
        <f>IFERROR(__xludf.DUMMYFUNCTION("""COMPUTED_VALUE"""),90.71)</f>
        <v>90.71</v>
      </c>
      <c r="D126" s="1">
        <f>IFERROR(__xludf.DUMMYFUNCTION("""COMPUTED_VALUE"""),89.31)</f>
        <v>89.31</v>
      </c>
      <c r="E126" s="1">
        <f>IFERROR(__xludf.DUMMYFUNCTION("""COMPUTED_VALUE"""),90.7)</f>
        <v>90.7</v>
      </c>
      <c r="F126" s="1">
        <f>IFERROR(__xludf.DUMMYFUNCTION("""COMPUTED_VALUE"""),1629995.0)</f>
        <v>1629995</v>
      </c>
      <c r="G126" s="2" t="s">
        <v>11</v>
      </c>
    </row>
    <row r="127">
      <c r="A127" s="3">
        <f>IFERROR(__xludf.DUMMYFUNCTION("""COMPUTED_VALUE"""),44747.66666666667)</f>
        <v>44747.66667</v>
      </c>
      <c r="B127" s="1">
        <f>IFERROR(__xludf.DUMMYFUNCTION("""COMPUTED_VALUE"""),87.57)</f>
        <v>87.57</v>
      </c>
      <c r="C127" s="1">
        <f>IFERROR(__xludf.DUMMYFUNCTION("""COMPUTED_VALUE"""),89.19)</f>
        <v>89.19</v>
      </c>
      <c r="D127" s="1">
        <f>IFERROR(__xludf.DUMMYFUNCTION("""COMPUTED_VALUE"""),87.32)</f>
        <v>87.32</v>
      </c>
      <c r="E127" s="1">
        <f>IFERROR(__xludf.DUMMYFUNCTION("""COMPUTED_VALUE"""),89.16)</f>
        <v>89.16</v>
      </c>
      <c r="F127" s="1">
        <f>IFERROR(__xludf.DUMMYFUNCTION("""COMPUTED_VALUE"""),1580538.0)</f>
        <v>1580538</v>
      </c>
      <c r="G127" s="2" t="s">
        <v>11</v>
      </c>
    </row>
    <row r="128">
      <c r="A128" s="3">
        <f>IFERROR(__xludf.DUMMYFUNCTION("""COMPUTED_VALUE"""),44748.66666666667)</f>
        <v>44748.66667</v>
      </c>
      <c r="B128" s="1">
        <f>IFERROR(__xludf.DUMMYFUNCTION("""COMPUTED_VALUE"""),90.04)</f>
        <v>90.04</v>
      </c>
      <c r="C128" s="1">
        <f>IFERROR(__xludf.DUMMYFUNCTION("""COMPUTED_VALUE"""),90.39)</f>
        <v>90.39</v>
      </c>
      <c r="D128" s="1">
        <f>IFERROR(__xludf.DUMMYFUNCTION("""COMPUTED_VALUE"""),88.99)</f>
        <v>88.99</v>
      </c>
      <c r="E128" s="1">
        <f>IFERROR(__xludf.DUMMYFUNCTION("""COMPUTED_VALUE"""),89.86)</f>
        <v>89.86</v>
      </c>
      <c r="F128" s="1">
        <f>IFERROR(__xludf.DUMMYFUNCTION("""COMPUTED_VALUE"""),1459796.0)</f>
        <v>1459796</v>
      </c>
      <c r="G128" s="2" t="s">
        <v>11</v>
      </c>
    </row>
    <row r="129">
      <c r="A129" s="3">
        <f>IFERROR(__xludf.DUMMYFUNCTION("""COMPUTED_VALUE"""),44749.66666666667)</f>
        <v>44749.66667</v>
      </c>
      <c r="B129" s="1">
        <f>IFERROR(__xludf.DUMMYFUNCTION("""COMPUTED_VALUE"""),89.88)</f>
        <v>89.88</v>
      </c>
      <c r="C129" s="1">
        <f>IFERROR(__xludf.DUMMYFUNCTION("""COMPUTED_VALUE"""),90.73)</f>
        <v>90.73</v>
      </c>
      <c r="D129" s="1">
        <f>IFERROR(__xludf.DUMMYFUNCTION("""COMPUTED_VALUE"""),89.87)</f>
        <v>89.87</v>
      </c>
      <c r="E129" s="1">
        <f>IFERROR(__xludf.DUMMYFUNCTION("""COMPUTED_VALUE"""),90.71)</f>
        <v>90.71</v>
      </c>
      <c r="F129" s="1">
        <f>IFERROR(__xludf.DUMMYFUNCTION("""COMPUTED_VALUE"""),805679.0)</f>
        <v>805679</v>
      </c>
      <c r="G129" s="2" t="s">
        <v>11</v>
      </c>
    </row>
    <row r="130">
      <c r="A130" s="3">
        <f>IFERROR(__xludf.DUMMYFUNCTION("""COMPUTED_VALUE"""),44750.66666666667)</f>
        <v>44750.66667</v>
      </c>
      <c r="B130" s="1">
        <f>IFERROR(__xludf.DUMMYFUNCTION("""COMPUTED_VALUE"""),90.08)</f>
        <v>90.08</v>
      </c>
      <c r="C130" s="1">
        <f>IFERROR(__xludf.DUMMYFUNCTION("""COMPUTED_VALUE"""),91.25)</f>
        <v>91.25</v>
      </c>
      <c r="D130" s="1">
        <f>IFERROR(__xludf.DUMMYFUNCTION("""COMPUTED_VALUE"""),89.67)</f>
        <v>89.67</v>
      </c>
      <c r="E130" s="1">
        <f>IFERROR(__xludf.DUMMYFUNCTION("""COMPUTED_VALUE"""),90.59)</f>
        <v>90.59</v>
      </c>
      <c r="F130" s="1">
        <f>IFERROR(__xludf.DUMMYFUNCTION("""COMPUTED_VALUE"""),860359.0)</f>
        <v>860359</v>
      </c>
      <c r="G130" s="2" t="s">
        <v>11</v>
      </c>
    </row>
    <row r="131">
      <c r="A131" s="3">
        <f>IFERROR(__xludf.DUMMYFUNCTION("""COMPUTED_VALUE"""),44753.66666666667)</f>
        <v>44753.66667</v>
      </c>
      <c r="B131" s="1">
        <f>IFERROR(__xludf.DUMMYFUNCTION("""COMPUTED_VALUE"""),89.17)</f>
        <v>89.17</v>
      </c>
      <c r="C131" s="1">
        <f>IFERROR(__xludf.DUMMYFUNCTION("""COMPUTED_VALUE"""),89.34)</f>
        <v>89.34</v>
      </c>
      <c r="D131" s="1">
        <f>IFERROR(__xludf.DUMMYFUNCTION("""COMPUTED_VALUE"""),88.2)</f>
        <v>88.2</v>
      </c>
      <c r="E131" s="1">
        <f>IFERROR(__xludf.DUMMYFUNCTION("""COMPUTED_VALUE"""),88.32)</f>
        <v>88.32</v>
      </c>
      <c r="F131" s="1">
        <f>IFERROR(__xludf.DUMMYFUNCTION("""COMPUTED_VALUE"""),1008609.0)</f>
        <v>1008609</v>
      </c>
      <c r="G131" s="2" t="s">
        <v>11</v>
      </c>
    </row>
    <row r="132">
      <c r="A132" s="3">
        <f>IFERROR(__xludf.DUMMYFUNCTION("""COMPUTED_VALUE"""),44754.66666666667)</f>
        <v>44754.66667</v>
      </c>
      <c r="B132" s="1">
        <f>IFERROR(__xludf.DUMMYFUNCTION("""COMPUTED_VALUE"""),87.85)</f>
        <v>87.85</v>
      </c>
      <c r="C132" s="1">
        <f>IFERROR(__xludf.DUMMYFUNCTION("""COMPUTED_VALUE"""),88.05)</f>
        <v>88.05</v>
      </c>
      <c r="D132" s="1">
        <f>IFERROR(__xludf.DUMMYFUNCTION("""COMPUTED_VALUE"""),86.11)</f>
        <v>86.11</v>
      </c>
      <c r="E132" s="1">
        <f>IFERROR(__xludf.DUMMYFUNCTION("""COMPUTED_VALUE"""),86.35)</f>
        <v>86.35</v>
      </c>
      <c r="F132" s="1">
        <f>IFERROR(__xludf.DUMMYFUNCTION("""COMPUTED_VALUE"""),1164683.0)</f>
        <v>1164683</v>
      </c>
      <c r="G132" s="2" t="s">
        <v>11</v>
      </c>
    </row>
    <row r="133">
      <c r="A133" s="3">
        <f>IFERROR(__xludf.DUMMYFUNCTION("""COMPUTED_VALUE"""),44755.66666666667)</f>
        <v>44755.66667</v>
      </c>
      <c r="B133" s="1">
        <f>IFERROR(__xludf.DUMMYFUNCTION("""COMPUTED_VALUE"""),84.57)</f>
        <v>84.57</v>
      </c>
      <c r="C133" s="1">
        <f>IFERROR(__xludf.DUMMYFUNCTION("""COMPUTED_VALUE"""),86.53)</f>
        <v>86.53</v>
      </c>
      <c r="D133" s="1">
        <f>IFERROR(__xludf.DUMMYFUNCTION("""COMPUTED_VALUE"""),84.48)</f>
        <v>84.48</v>
      </c>
      <c r="E133" s="1">
        <f>IFERROR(__xludf.DUMMYFUNCTION("""COMPUTED_VALUE"""),85.95)</f>
        <v>85.95</v>
      </c>
      <c r="F133" s="1">
        <f>IFERROR(__xludf.DUMMYFUNCTION("""COMPUTED_VALUE"""),1170170.0)</f>
        <v>1170170</v>
      </c>
      <c r="G133" s="2" t="s">
        <v>11</v>
      </c>
    </row>
    <row r="134">
      <c r="A134" s="3">
        <f>IFERROR(__xludf.DUMMYFUNCTION("""COMPUTED_VALUE"""),44756.66666666667)</f>
        <v>44756.66667</v>
      </c>
      <c r="B134" s="1">
        <f>IFERROR(__xludf.DUMMYFUNCTION("""COMPUTED_VALUE"""),84.64)</f>
        <v>84.64</v>
      </c>
      <c r="C134" s="1">
        <f>IFERROR(__xludf.DUMMYFUNCTION("""COMPUTED_VALUE"""),85.79)</f>
        <v>85.79</v>
      </c>
      <c r="D134" s="1">
        <f>IFERROR(__xludf.DUMMYFUNCTION("""COMPUTED_VALUE"""),83.5)</f>
        <v>83.5</v>
      </c>
      <c r="E134" s="1">
        <f>IFERROR(__xludf.DUMMYFUNCTION("""COMPUTED_VALUE"""),85.42)</f>
        <v>85.42</v>
      </c>
      <c r="F134" s="1">
        <f>IFERROR(__xludf.DUMMYFUNCTION("""COMPUTED_VALUE"""),1142103.0)</f>
        <v>1142103</v>
      </c>
      <c r="G134" s="2" t="s">
        <v>11</v>
      </c>
    </row>
    <row r="135">
      <c r="A135" s="3">
        <f>IFERROR(__xludf.DUMMYFUNCTION("""COMPUTED_VALUE"""),44757.66666666667)</f>
        <v>44757.66667</v>
      </c>
      <c r="B135" s="1">
        <f>IFERROR(__xludf.DUMMYFUNCTION("""COMPUTED_VALUE"""),87.0)</f>
        <v>87</v>
      </c>
      <c r="C135" s="1">
        <f>IFERROR(__xludf.DUMMYFUNCTION("""COMPUTED_VALUE"""),88.02)</f>
        <v>88.02</v>
      </c>
      <c r="D135" s="1">
        <f>IFERROR(__xludf.DUMMYFUNCTION("""COMPUTED_VALUE"""),86.64)</f>
        <v>86.64</v>
      </c>
      <c r="E135" s="1">
        <f>IFERROR(__xludf.DUMMYFUNCTION("""COMPUTED_VALUE"""),88.0)</f>
        <v>88</v>
      </c>
      <c r="F135" s="1">
        <f>IFERROR(__xludf.DUMMYFUNCTION("""COMPUTED_VALUE"""),1065778.0)</f>
        <v>1065778</v>
      </c>
      <c r="G135" s="2" t="s">
        <v>11</v>
      </c>
    </row>
    <row r="136">
      <c r="A136" s="3">
        <f>IFERROR(__xludf.DUMMYFUNCTION("""COMPUTED_VALUE"""),44760.66666666667)</f>
        <v>44760.66667</v>
      </c>
      <c r="B136" s="1">
        <f>IFERROR(__xludf.DUMMYFUNCTION("""COMPUTED_VALUE"""),88.76)</f>
        <v>88.76</v>
      </c>
      <c r="C136" s="1">
        <f>IFERROR(__xludf.DUMMYFUNCTION("""COMPUTED_VALUE"""),89.49)</f>
        <v>89.49</v>
      </c>
      <c r="D136" s="1">
        <f>IFERROR(__xludf.DUMMYFUNCTION("""COMPUTED_VALUE"""),87.86)</f>
        <v>87.86</v>
      </c>
      <c r="E136" s="1">
        <f>IFERROR(__xludf.DUMMYFUNCTION("""COMPUTED_VALUE"""),88.09)</f>
        <v>88.09</v>
      </c>
      <c r="F136" s="1">
        <f>IFERROR(__xludf.DUMMYFUNCTION("""COMPUTED_VALUE"""),1003143.0)</f>
        <v>1003143</v>
      </c>
      <c r="G136" s="2" t="s">
        <v>11</v>
      </c>
    </row>
    <row r="137">
      <c r="A137" s="3">
        <f>IFERROR(__xludf.DUMMYFUNCTION("""COMPUTED_VALUE"""),44761.66666666667)</f>
        <v>44761.66667</v>
      </c>
      <c r="B137" s="1">
        <f>IFERROR(__xludf.DUMMYFUNCTION("""COMPUTED_VALUE"""),90.56)</f>
        <v>90.56</v>
      </c>
      <c r="C137" s="1">
        <f>IFERROR(__xludf.DUMMYFUNCTION("""COMPUTED_VALUE"""),92.42)</f>
        <v>92.42</v>
      </c>
      <c r="D137" s="1">
        <f>IFERROR(__xludf.DUMMYFUNCTION("""COMPUTED_VALUE"""),90.19)</f>
        <v>90.19</v>
      </c>
      <c r="E137" s="1">
        <f>IFERROR(__xludf.DUMMYFUNCTION("""COMPUTED_VALUE"""),92.34)</f>
        <v>92.34</v>
      </c>
      <c r="F137" s="1">
        <f>IFERROR(__xludf.DUMMYFUNCTION("""COMPUTED_VALUE"""),1548221.0)</f>
        <v>1548221</v>
      </c>
      <c r="G137" s="2" t="s">
        <v>11</v>
      </c>
    </row>
    <row r="138">
      <c r="A138" s="3">
        <f>IFERROR(__xludf.DUMMYFUNCTION("""COMPUTED_VALUE"""),44762.66666666667)</f>
        <v>44762.66667</v>
      </c>
      <c r="B138" s="1">
        <f>IFERROR(__xludf.DUMMYFUNCTION("""COMPUTED_VALUE"""),91.77)</f>
        <v>91.77</v>
      </c>
      <c r="C138" s="1">
        <f>IFERROR(__xludf.DUMMYFUNCTION("""COMPUTED_VALUE"""),92.73)</f>
        <v>92.73</v>
      </c>
      <c r="D138" s="1">
        <f>IFERROR(__xludf.DUMMYFUNCTION("""COMPUTED_VALUE"""),91.49)</f>
        <v>91.49</v>
      </c>
      <c r="E138" s="1">
        <f>IFERROR(__xludf.DUMMYFUNCTION("""COMPUTED_VALUE"""),92.33)</f>
        <v>92.33</v>
      </c>
      <c r="F138" s="1">
        <f>IFERROR(__xludf.DUMMYFUNCTION("""COMPUTED_VALUE"""),1609107.0)</f>
        <v>1609107</v>
      </c>
      <c r="G138" s="2" t="s">
        <v>11</v>
      </c>
    </row>
    <row r="139">
      <c r="A139" s="3">
        <f>IFERROR(__xludf.DUMMYFUNCTION("""COMPUTED_VALUE"""),44763.66666666667)</f>
        <v>44763.66667</v>
      </c>
      <c r="B139" s="1">
        <f>IFERROR(__xludf.DUMMYFUNCTION("""COMPUTED_VALUE"""),87.84)</f>
        <v>87.84</v>
      </c>
      <c r="C139" s="1">
        <f>IFERROR(__xludf.DUMMYFUNCTION("""COMPUTED_VALUE"""),90.35)</f>
        <v>90.35</v>
      </c>
      <c r="D139" s="1">
        <f>IFERROR(__xludf.DUMMYFUNCTION("""COMPUTED_VALUE"""),87.32)</f>
        <v>87.32</v>
      </c>
      <c r="E139" s="1">
        <f>IFERROR(__xludf.DUMMYFUNCTION("""COMPUTED_VALUE"""),90.29)</f>
        <v>90.29</v>
      </c>
      <c r="F139" s="1">
        <f>IFERROR(__xludf.DUMMYFUNCTION("""COMPUTED_VALUE"""),2309793.0)</f>
        <v>2309793</v>
      </c>
      <c r="G139" s="2" t="s">
        <v>11</v>
      </c>
    </row>
    <row r="140">
      <c r="A140" s="3">
        <f>IFERROR(__xludf.DUMMYFUNCTION("""COMPUTED_VALUE"""),44764.66666666667)</f>
        <v>44764.66667</v>
      </c>
      <c r="B140" s="1">
        <f>IFERROR(__xludf.DUMMYFUNCTION("""COMPUTED_VALUE"""),94.78)</f>
        <v>94.78</v>
      </c>
      <c r="C140" s="1">
        <f>IFERROR(__xludf.DUMMYFUNCTION("""COMPUTED_VALUE"""),95.8)</f>
        <v>95.8</v>
      </c>
      <c r="D140" s="1">
        <f>IFERROR(__xludf.DUMMYFUNCTION("""COMPUTED_VALUE"""),93.27)</f>
        <v>93.27</v>
      </c>
      <c r="E140" s="1">
        <f>IFERROR(__xludf.DUMMYFUNCTION("""COMPUTED_VALUE"""),93.75)</f>
        <v>93.75</v>
      </c>
      <c r="F140" s="1">
        <f>IFERROR(__xludf.DUMMYFUNCTION("""COMPUTED_VALUE"""),1907301.0)</f>
        <v>1907301</v>
      </c>
      <c r="G140" s="2" t="s">
        <v>11</v>
      </c>
    </row>
    <row r="141">
      <c r="A141" s="3">
        <f>IFERROR(__xludf.DUMMYFUNCTION("""COMPUTED_VALUE"""),44767.66666666667)</f>
        <v>44767.66667</v>
      </c>
      <c r="B141" s="1">
        <f>IFERROR(__xludf.DUMMYFUNCTION("""COMPUTED_VALUE"""),93.0)</f>
        <v>93</v>
      </c>
      <c r="C141" s="1">
        <f>IFERROR(__xludf.DUMMYFUNCTION("""COMPUTED_VALUE"""),93.12)</f>
        <v>93.12</v>
      </c>
      <c r="D141" s="1">
        <f>IFERROR(__xludf.DUMMYFUNCTION("""COMPUTED_VALUE"""),91.23)</f>
        <v>91.23</v>
      </c>
      <c r="E141" s="1">
        <f>IFERROR(__xludf.DUMMYFUNCTION("""COMPUTED_VALUE"""),91.97)</f>
        <v>91.97</v>
      </c>
      <c r="F141" s="1">
        <f>IFERROR(__xludf.DUMMYFUNCTION("""COMPUTED_VALUE"""),1303811.0)</f>
        <v>1303811</v>
      </c>
      <c r="G141" s="2" t="s">
        <v>11</v>
      </c>
    </row>
    <row r="142">
      <c r="A142" s="3">
        <f>IFERROR(__xludf.DUMMYFUNCTION("""COMPUTED_VALUE"""),44768.66666666667)</f>
        <v>44768.66667</v>
      </c>
      <c r="B142" s="1">
        <f>IFERROR(__xludf.DUMMYFUNCTION("""COMPUTED_VALUE"""),90.88)</f>
        <v>90.88</v>
      </c>
      <c r="C142" s="1">
        <f>IFERROR(__xludf.DUMMYFUNCTION("""COMPUTED_VALUE"""),90.96)</f>
        <v>90.96</v>
      </c>
      <c r="D142" s="1">
        <f>IFERROR(__xludf.DUMMYFUNCTION("""COMPUTED_VALUE"""),89.87)</f>
        <v>89.87</v>
      </c>
      <c r="E142" s="1">
        <f>IFERROR(__xludf.DUMMYFUNCTION("""COMPUTED_VALUE"""),90.29)</f>
        <v>90.29</v>
      </c>
      <c r="F142" s="1">
        <f>IFERROR(__xludf.DUMMYFUNCTION("""COMPUTED_VALUE"""),923963.0)</f>
        <v>923963</v>
      </c>
      <c r="G142" s="2" t="s">
        <v>11</v>
      </c>
    </row>
    <row r="143">
      <c r="A143" s="3">
        <f>IFERROR(__xludf.DUMMYFUNCTION("""COMPUTED_VALUE"""),44769.66666666667)</f>
        <v>44769.66667</v>
      </c>
      <c r="B143" s="1">
        <f>IFERROR(__xludf.DUMMYFUNCTION("""COMPUTED_VALUE"""),89.6)</f>
        <v>89.6</v>
      </c>
      <c r="C143" s="1">
        <f>IFERROR(__xludf.DUMMYFUNCTION("""COMPUTED_VALUE"""),91.54)</f>
        <v>91.54</v>
      </c>
      <c r="D143" s="1">
        <f>IFERROR(__xludf.DUMMYFUNCTION("""COMPUTED_VALUE"""),89.4)</f>
        <v>89.4</v>
      </c>
      <c r="E143" s="1">
        <f>IFERROR(__xludf.DUMMYFUNCTION("""COMPUTED_VALUE"""),91.31)</f>
        <v>91.31</v>
      </c>
      <c r="F143" s="1">
        <f>IFERROR(__xludf.DUMMYFUNCTION("""COMPUTED_VALUE"""),1545250.0)</f>
        <v>1545250</v>
      </c>
      <c r="G143" s="2" t="s">
        <v>11</v>
      </c>
    </row>
    <row r="144">
      <c r="A144" s="3">
        <f>IFERROR(__xludf.DUMMYFUNCTION("""COMPUTED_VALUE"""),44770.66666666667)</f>
        <v>44770.66667</v>
      </c>
      <c r="B144" s="1">
        <f>IFERROR(__xludf.DUMMYFUNCTION("""COMPUTED_VALUE"""),90.73)</f>
        <v>90.73</v>
      </c>
      <c r="C144" s="1">
        <f>IFERROR(__xludf.DUMMYFUNCTION("""COMPUTED_VALUE"""),91.97)</f>
        <v>91.97</v>
      </c>
      <c r="D144" s="1">
        <f>IFERROR(__xludf.DUMMYFUNCTION("""COMPUTED_VALUE"""),89.81)</f>
        <v>89.81</v>
      </c>
      <c r="E144" s="1">
        <f>IFERROR(__xludf.DUMMYFUNCTION("""COMPUTED_VALUE"""),91.77)</f>
        <v>91.77</v>
      </c>
      <c r="F144" s="1">
        <f>IFERROR(__xludf.DUMMYFUNCTION("""COMPUTED_VALUE"""),1051762.0)</f>
        <v>1051762</v>
      </c>
      <c r="G144" s="2" t="s">
        <v>11</v>
      </c>
    </row>
    <row r="145">
      <c r="A145" s="3">
        <f>IFERROR(__xludf.DUMMYFUNCTION("""COMPUTED_VALUE"""),44771.66666666667)</f>
        <v>44771.66667</v>
      </c>
      <c r="B145" s="1">
        <f>IFERROR(__xludf.DUMMYFUNCTION("""COMPUTED_VALUE"""),92.54)</f>
        <v>92.54</v>
      </c>
      <c r="C145" s="1">
        <f>IFERROR(__xludf.DUMMYFUNCTION("""COMPUTED_VALUE"""),93.35)</f>
        <v>93.35</v>
      </c>
      <c r="D145" s="1">
        <f>IFERROR(__xludf.DUMMYFUNCTION("""COMPUTED_VALUE"""),92.2)</f>
        <v>92.2</v>
      </c>
      <c r="E145" s="1">
        <f>IFERROR(__xludf.DUMMYFUNCTION("""COMPUTED_VALUE"""),93.21)</f>
        <v>93.21</v>
      </c>
      <c r="F145" s="1">
        <f>IFERROR(__xludf.DUMMYFUNCTION("""COMPUTED_VALUE"""),763315.0)</f>
        <v>763315</v>
      </c>
      <c r="G145" s="2" t="s">
        <v>11</v>
      </c>
    </row>
    <row r="146">
      <c r="A146" s="3">
        <f>IFERROR(__xludf.DUMMYFUNCTION("""COMPUTED_VALUE"""),44774.66666666667)</f>
        <v>44774.66667</v>
      </c>
      <c r="B146" s="1">
        <f>IFERROR(__xludf.DUMMYFUNCTION("""COMPUTED_VALUE"""),93.78)</f>
        <v>93.78</v>
      </c>
      <c r="C146" s="1">
        <f>IFERROR(__xludf.DUMMYFUNCTION("""COMPUTED_VALUE"""),94.65)</f>
        <v>94.65</v>
      </c>
      <c r="D146" s="1">
        <f>IFERROR(__xludf.DUMMYFUNCTION("""COMPUTED_VALUE"""),93.38)</f>
        <v>93.38</v>
      </c>
      <c r="E146" s="1">
        <f>IFERROR(__xludf.DUMMYFUNCTION("""COMPUTED_VALUE"""),93.79)</f>
        <v>93.79</v>
      </c>
      <c r="F146" s="1">
        <f>IFERROR(__xludf.DUMMYFUNCTION("""COMPUTED_VALUE"""),1834735.0)</f>
        <v>1834735</v>
      </c>
      <c r="G146" s="2" t="s">
        <v>11</v>
      </c>
    </row>
    <row r="147">
      <c r="A147" s="3">
        <f>IFERROR(__xludf.DUMMYFUNCTION("""COMPUTED_VALUE"""),44775.66666666667)</f>
        <v>44775.66667</v>
      </c>
      <c r="B147" s="1">
        <f>IFERROR(__xludf.DUMMYFUNCTION("""COMPUTED_VALUE"""),91.55)</f>
        <v>91.55</v>
      </c>
      <c r="C147" s="1">
        <f>IFERROR(__xludf.DUMMYFUNCTION("""COMPUTED_VALUE"""),92.12)</f>
        <v>92.12</v>
      </c>
      <c r="D147" s="1">
        <f>IFERROR(__xludf.DUMMYFUNCTION("""COMPUTED_VALUE"""),91.12)</f>
        <v>91.12</v>
      </c>
      <c r="E147" s="1">
        <f>IFERROR(__xludf.DUMMYFUNCTION("""COMPUTED_VALUE"""),91.19)</f>
        <v>91.19</v>
      </c>
      <c r="F147" s="1">
        <f>IFERROR(__xludf.DUMMYFUNCTION("""COMPUTED_VALUE"""),1076304.0)</f>
        <v>1076304</v>
      </c>
      <c r="G147" s="2" t="s">
        <v>11</v>
      </c>
    </row>
    <row r="148">
      <c r="A148" s="3">
        <f>IFERROR(__xludf.DUMMYFUNCTION("""COMPUTED_VALUE"""),44776.66666666667)</f>
        <v>44776.66667</v>
      </c>
      <c r="B148" s="1">
        <f>IFERROR(__xludf.DUMMYFUNCTION("""COMPUTED_VALUE"""),92.26)</f>
        <v>92.26</v>
      </c>
      <c r="C148" s="1">
        <f>IFERROR(__xludf.DUMMYFUNCTION("""COMPUTED_VALUE"""),93.64)</f>
        <v>93.64</v>
      </c>
      <c r="D148" s="1">
        <f>IFERROR(__xludf.DUMMYFUNCTION("""COMPUTED_VALUE"""),92.26)</f>
        <v>92.26</v>
      </c>
      <c r="E148" s="1">
        <f>IFERROR(__xludf.DUMMYFUNCTION("""COMPUTED_VALUE"""),93.49)</f>
        <v>93.49</v>
      </c>
      <c r="F148" s="1">
        <f>IFERROR(__xludf.DUMMYFUNCTION("""COMPUTED_VALUE"""),777167.0)</f>
        <v>777167</v>
      </c>
      <c r="G148" s="2" t="s">
        <v>11</v>
      </c>
    </row>
    <row r="149">
      <c r="A149" s="3">
        <f>IFERROR(__xludf.DUMMYFUNCTION("""COMPUTED_VALUE"""),44777.66666666667)</f>
        <v>44777.66667</v>
      </c>
      <c r="B149" s="1">
        <f>IFERROR(__xludf.DUMMYFUNCTION("""COMPUTED_VALUE"""),95.14)</f>
        <v>95.14</v>
      </c>
      <c r="C149" s="1">
        <f>IFERROR(__xludf.DUMMYFUNCTION("""COMPUTED_VALUE"""),95.34)</f>
        <v>95.34</v>
      </c>
      <c r="D149" s="1">
        <f>IFERROR(__xludf.DUMMYFUNCTION("""COMPUTED_VALUE"""),94.38)</f>
        <v>94.38</v>
      </c>
      <c r="E149" s="1">
        <f>IFERROR(__xludf.DUMMYFUNCTION("""COMPUTED_VALUE"""),95.29)</f>
        <v>95.29</v>
      </c>
      <c r="F149" s="1">
        <f>IFERROR(__xludf.DUMMYFUNCTION("""COMPUTED_VALUE"""),876854.0)</f>
        <v>876854</v>
      </c>
      <c r="G149" s="2" t="s">
        <v>11</v>
      </c>
    </row>
    <row r="150">
      <c r="A150" s="3">
        <f>IFERROR(__xludf.DUMMYFUNCTION("""COMPUTED_VALUE"""),44778.66666666667)</f>
        <v>44778.66667</v>
      </c>
      <c r="B150" s="1">
        <f>IFERROR(__xludf.DUMMYFUNCTION("""COMPUTED_VALUE"""),93.65)</f>
        <v>93.65</v>
      </c>
      <c r="C150" s="1">
        <f>IFERROR(__xludf.DUMMYFUNCTION("""COMPUTED_VALUE"""),94.57)</f>
        <v>94.57</v>
      </c>
      <c r="D150" s="1">
        <f>IFERROR(__xludf.DUMMYFUNCTION("""COMPUTED_VALUE"""),93.42)</f>
        <v>93.42</v>
      </c>
      <c r="E150" s="1">
        <f>IFERROR(__xludf.DUMMYFUNCTION("""COMPUTED_VALUE"""),94.56)</f>
        <v>94.56</v>
      </c>
      <c r="F150" s="1">
        <f>IFERROR(__xludf.DUMMYFUNCTION("""COMPUTED_VALUE"""),815230.0)</f>
        <v>815230</v>
      </c>
      <c r="G150" s="2" t="s">
        <v>11</v>
      </c>
    </row>
    <row r="151">
      <c r="A151" s="3">
        <f>IFERROR(__xludf.DUMMYFUNCTION("""COMPUTED_VALUE"""),44781.66666666667)</f>
        <v>44781.66667</v>
      </c>
      <c r="B151" s="1">
        <f>IFERROR(__xludf.DUMMYFUNCTION("""COMPUTED_VALUE"""),95.02)</f>
        <v>95.02</v>
      </c>
      <c r="C151" s="1">
        <f>IFERROR(__xludf.DUMMYFUNCTION("""COMPUTED_VALUE"""),95.61)</f>
        <v>95.61</v>
      </c>
      <c r="D151" s="1">
        <f>IFERROR(__xludf.DUMMYFUNCTION("""COMPUTED_VALUE"""),94.12)</f>
        <v>94.12</v>
      </c>
      <c r="E151" s="1">
        <f>IFERROR(__xludf.DUMMYFUNCTION("""COMPUTED_VALUE"""),94.33)</f>
        <v>94.33</v>
      </c>
      <c r="F151" s="1">
        <f>IFERROR(__xludf.DUMMYFUNCTION("""COMPUTED_VALUE"""),629873.0)</f>
        <v>629873</v>
      </c>
      <c r="G151" s="2" t="s">
        <v>11</v>
      </c>
    </row>
    <row r="152">
      <c r="A152" s="3">
        <f>IFERROR(__xludf.DUMMYFUNCTION("""COMPUTED_VALUE"""),44782.66666666667)</f>
        <v>44782.66667</v>
      </c>
      <c r="B152" s="1">
        <f>IFERROR(__xludf.DUMMYFUNCTION("""COMPUTED_VALUE"""),94.19)</f>
        <v>94.19</v>
      </c>
      <c r="C152" s="1">
        <f>IFERROR(__xludf.DUMMYFUNCTION("""COMPUTED_VALUE"""),94.29)</f>
        <v>94.29</v>
      </c>
      <c r="D152" s="1">
        <f>IFERROR(__xludf.DUMMYFUNCTION("""COMPUTED_VALUE"""),93.52)</f>
        <v>93.52</v>
      </c>
      <c r="E152" s="1">
        <f>IFERROR(__xludf.DUMMYFUNCTION("""COMPUTED_VALUE"""),93.76)</f>
        <v>93.76</v>
      </c>
      <c r="F152" s="1">
        <f>IFERROR(__xludf.DUMMYFUNCTION("""COMPUTED_VALUE"""),643686.0)</f>
        <v>643686</v>
      </c>
      <c r="G152" s="2" t="s">
        <v>11</v>
      </c>
    </row>
    <row r="153">
      <c r="A153" s="3">
        <f>IFERROR(__xludf.DUMMYFUNCTION("""COMPUTED_VALUE"""),44783.66666666667)</f>
        <v>44783.66667</v>
      </c>
      <c r="B153" s="1">
        <f>IFERROR(__xludf.DUMMYFUNCTION("""COMPUTED_VALUE"""),96.2)</f>
        <v>96.2</v>
      </c>
      <c r="C153" s="1">
        <f>IFERROR(__xludf.DUMMYFUNCTION("""COMPUTED_VALUE"""),96.82)</f>
        <v>96.82</v>
      </c>
      <c r="D153" s="1">
        <f>IFERROR(__xludf.DUMMYFUNCTION("""COMPUTED_VALUE"""),95.71)</f>
        <v>95.71</v>
      </c>
      <c r="E153" s="1">
        <f>IFERROR(__xludf.DUMMYFUNCTION("""COMPUTED_VALUE"""),96.07)</f>
        <v>96.07</v>
      </c>
      <c r="F153" s="1">
        <f>IFERROR(__xludf.DUMMYFUNCTION("""COMPUTED_VALUE"""),931934.0)</f>
        <v>931934</v>
      </c>
      <c r="G153" s="2" t="s">
        <v>11</v>
      </c>
    </row>
    <row r="154">
      <c r="A154" s="3">
        <f>IFERROR(__xludf.DUMMYFUNCTION("""COMPUTED_VALUE"""),44784.66666666667)</f>
        <v>44784.66667</v>
      </c>
      <c r="B154" s="1">
        <f>IFERROR(__xludf.DUMMYFUNCTION("""COMPUTED_VALUE"""),96.19)</f>
        <v>96.19</v>
      </c>
      <c r="C154" s="1">
        <f>IFERROR(__xludf.DUMMYFUNCTION("""COMPUTED_VALUE"""),96.19)</f>
        <v>96.19</v>
      </c>
      <c r="D154" s="1">
        <f>IFERROR(__xludf.DUMMYFUNCTION("""COMPUTED_VALUE"""),95.06)</f>
        <v>95.06</v>
      </c>
      <c r="E154" s="1">
        <f>IFERROR(__xludf.DUMMYFUNCTION("""COMPUTED_VALUE"""),95.24)</f>
        <v>95.24</v>
      </c>
      <c r="F154" s="1">
        <f>IFERROR(__xludf.DUMMYFUNCTION("""COMPUTED_VALUE"""),792516.0)</f>
        <v>792516</v>
      </c>
      <c r="G154" s="2" t="s">
        <v>11</v>
      </c>
    </row>
    <row r="155">
      <c r="A155" s="3">
        <f>IFERROR(__xludf.DUMMYFUNCTION("""COMPUTED_VALUE"""),44785.66666666667)</f>
        <v>44785.66667</v>
      </c>
      <c r="B155" s="1">
        <f>IFERROR(__xludf.DUMMYFUNCTION("""COMPUTED_VALUE"""),95.51)</f>
        <v>95.51</v>
      </c>
      <c r="C155" s="1">
        <f>IFERROR(__xludf.DUMMYFUNCTION("""COMPUTED_VALUE"""),95.99)</f>
        <v>95.99</v>
      </c>
      <c r="D155" s="1">
        <f>IFERROR(__xludf.DUMMYFUNCTION("""COMPUTED_VALUE"""),95.08)</f>
        <v>95.08</v>
      </c>
      <c r="E155" s="1">
        <f>IFERROR(__xludf.DUMMYFUNCTION("""COMPUTED_VALUE"""),95.95)</f>
        <v>95.95</v>
      </c>
      <c r="F155" s="1">
        <f>IFERROR(__xludf.DUMMYFUNCTION("""COMPUTED_VALUE"""),674249.0)</f>
        <v>674249</v>
      </c>
      <c r="G155" s="2" t="s">
        <v>11</v>
      </c>
    </row>
    <row r="156">
      <c r="A156" s="3">
        <f>IFERROR(__xludf.DUMMYFUNCTION("""COMPUTED_VALUE"""),44788.66666666667)</f>
        <v>44788.66667</v>
      </c>
      <c r="B156" s="1">
        <f>IFERROR(__xludf.DUMMYFUNCTION("""COMPUTED_VALUE"""),94.91)</f>
        <v>94.91</v>
      </c>
      <c r="C156" s="1">
        <f>IFERROR(__xludf.DUMMYFUNCTION("""COMPUTED_VALUE"""),95.9)</f>
        <v>95.9</v>
      </c>
      <c r="D156" s="1">
        <f>IFERROR(__xludf.DUMMYFUNCTION("""COMPUTED_VALUE"""),94.84)</f>
        <v>94.84</v>
      </c>
      <c r="E156" s="1">
        <f>IFERROR(__xludf.DUMMYFUNCTION("""COMPUTED_VALUE"""),95.81)</f>
        <v>95.81</v>
      </c>
      <c r="F156" s="1">
        <f>IFERROR(__xludf.DUMMYFUNCTION("""COMPUTED_VALUE"""),1193265.0)</f>
        <v>1193265</v>
      </c>
      <c r="G156" s="2" t="s">
        <v>11</v>
      </c>
    </row>
    <row r="157">
      <c r="A157" s="3">
        <f>IFERROR(__xludf.DUMMYFUNCTION("""COMPUTED_VALUE"""),44789.66666666667)</f>
        <v>44789.66667</v>
      </c>
      <c r="B157" s="1">
        <f>IFERROR(__xludf.DUMMYFUNCTION("""COMPUTED_VALUE"""),94.19)</f>
        <v>94.19</v>
      </c>
      <c r="C157" s="1">
        <f>IFERROR(__xludf.DUMMYFUNCTION("""COMPUTED_VALUE"""),94.7)</f>
        <v>94.7</v>
      </c>
      <c r="D157" s="1">
        <f>IFERROR(__xludf.DUMMYFUNCTION("""COMPUTED_VALUE"""),93.7)</f>
        <v>93.7</v>
      </c>
      <c r="E157" s="1">
        <f>IFERROR(__xludf.DUMMYFUNCTION("""COMPUTED_VALUE"""),94.2)</f>
        <v>94.2</v>
      </c>
      <c r="F157" s="1">
        <f>IFERROR(__xludf.DUMMYFUNCTION("""COMPUTED_VALUE"""),828027.0)</f>
        <v>828027</v>
      </c>
      <c r="G157" s="2" t="s">
        <v>11</v>
      </c>
    </row>
    <row r="158">
      <c r="A158" s="3">
        <f>IFERROR(__xludf.DUMMYFUNCTION("""COMPUTED_VALUE"""),44790.66666666667)</f>
        <v>44790.66667</v>
      </c>
      <c r="B158" s="1">
        <f>IFERROR(__xludf.DUMMYFUNCTION("""COMPUTED_VALUE"""),93.08)</f>
        <v>93.08</v>
      </c>
      <c r="C158" s="1">
        <f>IFERROR(__xludf.DUMMYFUNCTION("""COMPUTED_VALUE"""),93.58)</f>
        <v>93.58</v>
      </c>
      <c r="D158" s="1">
        <f>IFERROR(__xludf.DUMMYFUNCTION("""COMPUTED_VALUE"""),92.55)</f>
        <v>92.55</v>
      </c>
      <c r="E158" s="1">
        <f>IFERROR(__xludf.DUMMYFUNCTION("""COMPUTED_VALUE"""),92.95)</f>
        <v>92.95</v>
      </c>
      <c r="F158" s="1">
        <f>IFERROR(__xludf.DUMMYFUNCTION("""COMPUTED_VALUE"""),746896.0)</f>
        <v>746896</v>
      </c>
      <c r="G158" s="2" t="s">
        <v>11</v>
      </c>
    </row>
    <row r="159">
      <c r="A159" s="3">
        <f>IFERROR(__xludf.DUMMYFUNCTION("""COMPUTED_VALUE"""),44791.66666666667)</f>
        <v>44791.66667</v>
      </c>
      <c r="B159" s="1">
        <f>IFERROR(__xludf.DUMMYFUNCTION("""COMPUTED_VALUE"""),92.74)</f>
        <v>92.74</v>
      </c>
      <c r="C159" s="1">
        <f>IFERROR(__xludf.DUMMYFUNCTION("""COMPUTED_VALUE"""),92.97)</f>
        <v>92.97</v>
      </c>
      <c r="D159" s="1">
        <f>IFERROR(__xludf.DUMMYFUNCTION("""COMPUTED_VALUE"""),92.11)</f>
        <v>92.11</v>
      </c>
      <c r="E159" s="1">
        <f>IFERROR(__xludf.DUMMYFUNCTION("""COMPUTED_VALUE"""),92.46)</f>
        <v>92.46</v>
      </c>
      <c r="F159" s="1">
        <f>IFERROR(__xludf.DUMMYFUNCTION("""COMPUTED_VALUE"""),703646.0)</f>
        <v>703646</v>
      </c>
      <c r="G159" s="2" t="s">
        <v>11</v>
      </c>
    </row>
    <row r="160">
      <c r="A160" s="3">
        <f>IFERROR(__xludf.DUMMYFUNCTION("""COMPUTED_VALUE"""),44792.66666666667)</f>
        <v>44792.66667</v>
      </c>
      <c r="B160" s="1">
        <f>IFERROR(__xludf.DUMMYFUNCTION("""COMPUTED_VALUE"""),92.35)</f>
        <v>92.35</v>
      </c>
      <c r="C160" s="1">
        <f>IFERROR(__xludf.DUMMYFUNCTION("""COMPUTED_VALUE"""),92.48)</f>
        <v>92.48</v>
      </c>
      <c r="D160" s="1">
        <f>IFERROR(__xludf.DUMMYFUNCTION("""COMPUTED_VALUE"""),91.47)</f>
        <v>91.47</v>
      </c>
      <c r="E160" s="1">
        <f>IFERROR(__xludf.DUMMYFUNCTION("""COMPUTED_VALUE"""),91.62)</f>
        <v>91.62</v>
      </c>
      <c r="F160" s="1">
        <f>IFERROR(__xludf.DUMMYFUNCTION("""COMPUTED_VALUE"""),706856.0)</f>
        <v>706856</v>
      </c>
      <c r="G160" s="2" t="s">
        <v>11</v>
      </c>
    </row>
    <row r="161">
      <c r="A161" s="3">
        <f>IFERROR(__xludf.DUMMYFUNCTION("""COMPUTED_VALUE"""),44795.66666666667)</f>
        <v>44795.66667</v>
      </c>
      <c r="B161" s="1">
        <f>IFERROR(__xludf.DUMMYFUNCTION("""COMPUTED_VALUE"""),89.45)</f>
        <v>89.45</v>
      </c>
      <c r="C161" s="1">
        <f>IFERROR(__xludf.DUMMYFUNCTION("""COMPUTED_VALUE"""),89.51)</f>
        <v>89.51</v>
      </c>
      <c r="D161" s="1">
        <f>IFERROR(__xludf.DUMMYFUNCTION("""COMPUTED_VALUE"""),88.23)</f>
        <v>88.23</v>
      </c>
      <c r="E161" s="1">
        <f>IFERROR(__xludf.DUMMYFUNCTION("""COMPUTED_VALUE"""),88.43)</f>
        <v>88.43</v>
      </c>
      <c r="F161" s="1">
        <f>IFERROR(__xludf.DUMMYFUNCTION("""COMPUTED_VALUE"""),916686.0)</f>
        <v>916686</v>
      </c>
      <c r="G161" s="2" t="s">
        <v>11</v>
      </c>
    </row>
    <row r="162">
      <c r="A162" s="3">
        <f>IFERROR(__xludf.DUMMYFUNCTION("""COMPUTED_VALUE"""),44796.66666666667)</f>
        <v>44796.66667</v>
      </c>
      <c r="B162" s="1">
        <f>IFERROR(__xludf.DUMMYFUNCTION("""COMPUTED_VALUE"""),87.9)</f>
        <v>87.9</v>
      </c>
      <c r="C162" s="1">
        <f>IFERROR(__xludf.DUMMYFUNCTION("""COMPUTED_VALUE"""),88.91)</f>
        <v>88.91</v>
      </c>
      <c r="D162" s="1">
        <f>IFERROR(__xludf.DUMMYFUNCTION("""COMPUTED_VALUE"""),87.29)</f>
        <v>87.29</v>
      </c>
      <c r="E162" s="1">
        <f>IFERROR(__xludf.DUMMYFUNCTION("""COMPUTED_VALUE"""),87.37)</f>
        <v>87.37</v>
      </c>
      <c r="F162" s="1">
        <f>IFERROR(__xludf.DUMMYFUNCTION("""COMPUTED_VALUE"""),765406.0)</f>
        <v>765406</v>
      </c>
      <c r="G162" s="2" t="s">
        <v>11</v>
      </c>
    </row>
    <row r="163">
      <c r="A163" s="3">
        <f>IFERROR(__xludf.DUMMYFUNCTION("""COMPUTED_VALUE"""),44797.66666666667)</f>
        <v>44797.66667</v>
      </c>
      <c r="B163" s="1">
        <f>IFERROR(__xludf.DUMMYFUNCTION("""COMPUTED_VALUE"""),87.03)</f>
        <v>87.03</v>
      </c>
      <c r="C163" s="1">
        <f>IFERROR(__xludf.DUMMYFUNCTION("""COMPUTED_VALUE"""),88.1)</f>
        <v>88.1</v>
      </c>
      <c r="D163" s="1">
        <f>IFERROR(__xludf.DUMMYFUNCTION("""COMPUTED_VALUE"""),86.82)</f>
        <v>86.82</v>
      </c>
      <c r="E163" s="1">
        <f>IFERROR(__xludf.DUMMYFUNCTION("""COMPUTED_VALUE"""),87.42)</f>
        <v>87.42</v>
      </c>
      <c r="F163" s="1">
        <f>IFERROR(__xludf.DUMMYFUNCTION("""COMPUTED_VALUE"""),753047.0)</f>
        <v>753047</v>
      </c>
      <c r="G163" s="2" t="s">
        <v>11</v>
      </c>
    </row>
    <row r="164">
      <c r="A164" s="3">
        <f>IFERROR(__xludf.DUMMYFUNCTION("""COMPUTED_VALUE"""),44798.66666666667)</f>
        <v>44798.66667</v>
      </c>
      <c r="B164" s="1">
        <f>IFERROR(__xludf.DUMMYFUNCTION("""COMPUTED_VALUE"""),87.34)</f>
        <v>87.34</v>
      </c>
      <c r="C164" s="1">
        <f>IFERROR(__xludf.DUMMYFUNCTION("""COMPUTED_VALUE"""),88.21)</f>
        <v>88.21</v>
      </c>
      <c r="D164" s="1">
        <f>IFERROR(__xludf.DUMMYFUNCTION("""COMPUTED_VALUE"""),86.9)</f>
        <v>86.9</v>
      </c>
      <c r="E164" s="1">
        <f>IFERROR(__xludf.DUMMYFUNCTION("""COMPUTED_VALUE"""),88.2)</f>
        <v>88.2</v>
      </c>
      <c r="F164" s="1">
        <f>IFERROR(__xludf.DUMMYFUNCTION("""COMPUTED_VALUE"""),704800.0)</f>
        <v>704800</v>
      </c>
      <c r="G164" s="2" t="s">
        <v>11</v>
      </c>
    </row>
    <row r="165">
      <c r="A165" s="3">
        <f>IFERROR(__xludf.DUMMYFUNCTION("""COMPUTED_VALUE"""),44799.66666666667)</f>
        <v>44799.66667</v>
      </c>
      <c r="B165" s="1">
        <f>IFERROR(__xludf.DUMMYFUNCTION("""COMPUTED_VALUE"""),87.85)</f>
        <v>87.85</v>
      </c>
      <c r="C165" s="1">
        <f>IFERROR(__xludf.DUMMYFUNCTION("""COMPUTED_VALUE"""),87.91)</f>
        <v>87.91</v>
      </c>
      <c r="D165" s="1">
        <f>IFERROR(__xludf.DUMMYFUNCTION("""COMPUTED_VALUE"""),84.03)</f>
        <v>84.03</v>
      </c>
      <c r="E165" s="1">
        <f>IFERROR(__xludf.DUMMYFUNCTION("""COMPUTED_VALUE"""),84.24)</f>
        <v>84.24</v>
      </c>
      <c r="F165" s="1">
        <f>IFERROR(__xludf.DUMMYFUNCTION("""COMPUTED_VALUE"""),1116416.0)</f>
        <v>1116416</v>
      </c>
      <c r="G165" s="2" t="s">
        <v>11</v>
      </c>
    </row>
    <row r="166">
      <c r="A166" s="3">
        <f>IFERROR(__xludf.DUMMYFUNCTION("""COMPUTED_VALUE"""),44802.66666666667)</f>
        <v>44802.66667</v>
      </c>
      <c r="B166" s="1">
        <f>IFERROR(__xludf.DUMMYFUNCTION("""COMPUTED_VALUE"""),84.36)</f>
        <v>84.36</v>
      </c>
      <c r="C166" s="1">
        <f>IFERROR(__xludf.DUMMYFUNCTION("""COMPUTED_VALUE"""),85.05)</f>
        <v>85.05</v>
      </c>
      <c r="D166" s="1">
        <f>IFERROR(__xludf.DUMMYFUNCTION("""COMPUTED_VALUE"""),84.14)</f>
        <v>84.14</v>
      </c>
      <c r="E166" s="1">
        <f>IFERROR(__xludf.DUMMYFUNCTION("""COMPUTED_VALUE"""),84.58)</f>
        <v>84.58</v>
      </c>
      <c r="F166" s="1">
        <f>IFERROR(__xludf.DUMMYFUNCTION("""COMPUTED_VALUE"""),959829.0)</f>
        <v>959829</v>
      </c>
      <c r="G166" s="2" t="s">
        <v>11</v>
      </c>
    </row>
    <row r="167">
      <c r="A167" s="3">
        <f>IFERROR(__xludf.DUMMYFUNCTION("""COMPUTED_VALUE"""),44803.66666666667)</f>
        <v>44803.66667</v>
      </c>
      <c r="B167" s="1">
        <f>IFERROR(__xludf.DUMMYFUNCTION("""COMPUTED_VALUE"""),85.69)</f>
        <v>85.69</v>
      </c>
      <c r="C167" s="1">
        <f>IFERROR(__xludf.DUMMYFUNCTION("""COMPUTED_VALUE"""),85.87)</f>
        <v>85.87</v>
      </c>
      <c r="D167" s="1">
        <f>IFERROR(__xludf.DUMMYFUNCTION("""COMPUTED_VALUE"""),84.1)</f>
        <v>84.1</v>
      </c>
      <c r="E167" s="1">
        <f>IFERROR(__xludf.DUMMYFUNCTION("""COMPUTED_VALUE"""),84.52)</f>
        <v>84.52</v>
      </c>
      <c r="F167" s="1">
        <f>IFERROR(__xludf.DUMMYFUNCTION("""COMPUTED_VALUE"""),734511.0)</f>
        <v>734511</v>
      </c>
      <c r="G167" s="2" t="s">
        <v>11</v>
      </c>
    </row>
    <row r="168">
      <c r="A168" s="3">
        <f>IFERROR(__xludf.DUMMYFUNCTION("""COMPUTED_VALUE"""),44804.66666666667)</f>
        <v>44804.66667</v>
      </c>
      <c r="B168" s="1">
        <f>IFERROR(__xludf.DUMMYFUNCTION("""COMPUTED_VALUE"""),85.33)</f>
        <v>85.33</v>
      </c>
      <c r="C168" s="1">
        <f>IFERROR(__xludf.DUMMYFUNCTION("""COMPUTED_VALUE"""),86.3)</f>
        <v>86.3</v>
      </c>
      <c r="D168" s="1">
        <f>IFERROR(__xludf.DUMMYFUNCTION("""COMPUTED_VALUE"""),85.07)</f>
        <v>85.07</v>
      </c>
      <c r="E168" s="1">
        <f>IFERROR(__xludf.DUMMYFUNCTION("""COMPUTED_VALUE"""),85.22)</f>
        <v>85.22</v>
      </c>
      <c r="F168" s="1">
        <f>IFERROR(__xludf.DUMMYFUNCTION("""COMPUTED_VALUE"""),1234497.0)</f>
        <v>1234497</v>
      </c>
      <c r="G168" s="2" t="s">
        <v>11</v>
      </c>
    </row>
    <row r="169">
      <c r="A169" s="3">
        <f>IFERROR(__xludf.DUMMYFUNCTION("""COMPUTED_VALUE"""),44805.66666666667)</f>
        <v>44805.66667</v>
      </c>
      <c r="B169" s="1">
        <f>IFERROR(__xludf.DUMMYFUNCTION("""COMPUTED_VALUE"""),84.53)</f>
        <v>84.53</v>
      </c>
      <c r="C169" s="1">
        <f>IFERROR(__xludf.DUMMYFUNCTION("""COMPUTED_VALUE"""),84.69)</f>
        <v>84.69</v>
      </c>
      <c r="D169" s="1">
        <f>IFERROR(__xludf.DUMMYFUNCTION("""COMPUTED_VALUE"""),82.41)</f>
        <v>82.41</v>
      </c>
      <c r="E169" s="1">
        <f>IFERROR(__xludf.DUMMYFUNCTION("""COMPUTED_VALUE"""),83.98)</f>
        <v>83.98</v>
      </c>
      <c r="F169" s="1">
        <f>IFERROR(__xludf.DUMMYFUNCTION("""COMPUTED_VALUE"""),1300332.0)</f>
        <v>1300332</v>
      </c>
      <c r="G169" s="2" t="s">
        <v>11</v>
      </c>
    </row>
    <row r="170">
      <c r="A170" s="3">
        <f>IFERROR(__xludf.DUMMYFUNCTION("""COMPUTED_VALUE"""),44806.66666666667)</f>
        <v>44806.66667</v>
      </c>
      <c r="B170" s="1">
        <f>IFERROR(__xludf.DUMMYFUNCTION("""COMPUTED_VALUE"""),84.84)</f>
        <v>84.84</v>
      </c>
      <c r="C170" s="1">
        <f>IFERROR(__xludf.DUMMYFUNCTION("""COMPUTED_VALUE"""),85.56)</f>
        <v>85.56</v>
      </c>
      <c r="D170" s="1">
        <f>IFERROR(__xludf.DUMMYFUNCTION("""COMPUTED_VALUE"""),82.77)</f>
        <v>82.77</v>
      </c>
      <c r="E170" s="1">
        <f>IFERROR(__xludf.DUMMYFUNCTION("""COMPUTED_VALUE"""),83.27)</f>
        <v>83.27</v>
      </c>
      <c r="F170" s="1">
        <f>IFERROR(__xludf.DUMMYFUNCTION("""COMPUTED_VALUE"""),1080287.0)</f>
        <v>1080287</v>
      </c>
      <c r="G170" s="2" t="s">
        <v>11</v>
      </c>
    </row>
    <row r="171">
      <c r="A171" s="3">
        <f>IFERROR(__xludf.DUMMYFUNCTION("""COMPUTED_VALUE"""),44810.66666666667)</f>
        <v>44810.66667</v>
      </c>
      <c r="B171" s="1">
        <f>IFERROR(__xludf.DUMMYFUNCTION("""COMPUTED_VALUE"""),84.83)</f>
        <v>84.83</v>
      </c>
      <c r="C171" s="1">
        <f>IFERROR(__xludf.DUMMYFUNCTION("""COMPUTED_VALUE"""),85.17)</f>
        <v>85.17</v>
      </c>
      <c r="D171" s="1">
        <f>IFERROR(__xludf.DUMMYFUNCTION("""COMPUTED_VALUE"""),83.8)</f>
        <v>83.8</v>
      </c>
      <c r="E171" s="1">
        <f>IFERROR(__xludf.DUMMYFUNCTION("""COMPUTED_VALUE"""),84.17)</f>
        <v>84.17</v>
      </c>
      <c r="F171" s="1">
        <f>IFERROR(__xludf.DUMMYFUNCTION("""COMPUTED_VALUE"""),1035899.0)</f>
        <v>1035899</v>
      </c>
      <c r="G171" s="2" t="s">
        <v>11</v>
      </c>
    </row>
    <row r="172">
      <c r="A172" s="3">
        <f>IFERROR(__xludf.DUMMYFUNCTION("""COMPUTED_VALUE"""),44811.66666666667)</f>
        <v>44811.66667</v>
      </c>
      <c r="B172" s="1">
        <f>IFERROR(__xludf.DUMMYFUNCTION("""COMPUTED_VALUE"""),84.6)</f>
        <v>84.6</v>
      </c>
      <c r="C172" s="1">
        <f>IFERROR(__xludf.DUMMYFUNCTION("""COMPUTED_VALUE"""),85.79)</f>
        <v>85.79</v>
      </c>
      <c r="D172" s="1">
        <f>IFERROR(__xludf.DUMMYFUNCTION("""COMPUTED_VALUE"""),84.35)</f>
        <v>84.35</v>
      </c>
      <c r="E172" s="1">
        <f>IFERROR(__xludf.DUMMYFUNCTION("""COMPUTED_VALUE"""),85.57)</f>
        <v>85.57</v>
      </c>
      <c r="F172" s="1">
        <f>IFERROR(__xludf.DUMMYFUNCTION("""COMPUTED_VALUE"""),1992435.0)</f>
        <v>1992435</v>
      </c>
      <c r="G172" s="2" t="s">
        <v>11</v>
      </c>
    </row>
    <row r="173">
      <c r="A173" s="3">
        <f>IFERROR(__xludf.DUMMYFUNCTION("""COMPUTED_VALUE"""),44812.66666666667)</f>
        <v>44812.66667</v>
      </c>
      <c r="B173" s="1">
        <f>IFERROR(__xludf.DUMMYFUNCTION("""COMPUTED_VALUE"""),83.69)</f>
        <v>83.69</v>
      </c>
      <c r="C173" s="1">
        <f>IFERROR(__xludf.DUMMYFUNCTION("""COMPUTED_VALUE"""),85.33)</f>
        <v>85.33</v>
      </c>
      <c r="D173" s="1">
        <f>IFERROR(__xludf.DUMMYFUNCTION("""COMPUTED_VALUE"""),83.45)</f>
        <v>83.45</v>
      </c>
      <c r="E173" s="1">
        <f>IFERROR(__xludf.DUMMYFUNCTION("""COMPUTED_VALUE"""),85.31)</f>
        <v>85.31</v>
      </c>
      <c r="F173" s="1">
        <f>IFERROR(__xludf.DUMMYFUNCTION("""COMPUTED_VALUE"""),960175.0)</f>
        <v>960175</v>
      </c>
      <c r="G173" s="2" t="s">
        <v>11</v>
      </c>
    </row>
    <row r="174">
      <c r="A174" s="3">
        <f>IFERROR(__xludf.DUMMYFUNCTION("""COMPUTED_VALUE"""),44813.66666666667)</f>
        <v>44813.66667</v>
      </c>
      <c r="B174" s="1">
        <f>IFERROR(__xludf.DUMMYFUNCTION("""COMPUTED_VALUE"""),86.4)</f>
        <v>86.4</v>
      </c>
      <c r="C174" s="1">
        <f>IFERROR(__xludf.DUMMYFUNCTION("""COMPUTED_VALUE"""),87.28)</f>
        <v>87.28</v>
      </c>
      <c r="D174" s="1">
        <f>IFERROR(__xludf.DUMMYFUNCTION("""COMPUTED_VALUE"""),86.38)</f>
        <v>86.38</v>
      </c>
      <c r="E174" s="1">
        <f>IFERROR(__xludf.DUMMYFUNCTION("""COMPUTED_VALUE"""),87.07)</f>
        <v>87.07</v>
      </c>
      <c r="F174" s="1">
        <f>IFERROR(__xludf.DUMMYFUNCTION("""COMPUTED_VALUE"""),649705.0)</f>
        <v>649705</v>
      </c>
      <c r="G174" s="2" t="s">
        <v>11</v>
      </c>
    </row>
    <row r="175">
      <c r="A175" s="3">
        <f>IFERROR(__xludf.DUMMYFUNCTION("""COMPUTED_VALUE"""),44816.66666666667)</f>
        <v>44816.66667</v>
      </c>
      <c r="B175" s="1">
        <f>IFERROR(__xludf.DUMMYFUNCTION("""COMPUTED_VALUE"""),88.5)</f>
        <v>88.5</v>
      </c>
      <c r="C175" s="1">
        <f>IFERROR(__xludf.DUMMYFUNCTION("""COMPUTED_VALUE"""),89.3)</f>
        <v>89.3</v>
      </c>
      <c r="D175" s="1">
        <f>IFERROR(__xludf.DUMMYFUNCTION("""COMPUTED_VALUE"""),88.38)</f>
        <v>88.38</v>
      </c>
      <c r="E175" s="1">
        <f>IFERROR(__xludf.DUMMYFUNCTION("""COMPUTED_VALUE"""),88.95)</f>
        <v>88.95</v>
      </c>
      <c r="F175" s="1">
        <f>IFERROR(__xludf.DUMMYFUNCTION("""COMPUTED_VALUE"""),818856.0)</f>
        <v>818856</v>
      </c>
      <c r="G175" s="2" t="s">
        <v>11</v>
      </c>
    </row>
    <row r="176">
      <c r="A176" s="3">
        <f>IFERROR(__xludf.DUMMYFUNCTION("""COMPUTED_VALUE"""),44817.66666666667)</f>
        <v>44817.66667</v>
      </c>
      <c r="B176" s="1">
        <f>IFERROR(__xludf.DUMMYFUNCTION("""COMPUTED_VALUE"""),87.01)</f>
        <v>87.01</v>
      </c>
      <c r="C176" s="1">
        <f>IFERROR(__xludf.DUMMYFUNCTION("""COMPUTED_VALUE"""),87.64)</f>
        <v>87.64</v>
      </c>
      <c r="D176" s="1">
        <f>IFERROR(__xludf.DUMMYFUNCTION("""COMPUTED_VALUE"""),85.72)</f>
        <v>85.72</v>
      </c>
      <c r="E176" s="1">
        <f>IFERROR(__xludf.DUMMYFUNCTION("""COMPUTED_VALUE"""),85.86)</f>
        <v>85.86</v>
      </c>
      <c r="F176" s="1">
        <f>IFERROR(__xludf.DUMMYFUNCTION("""COMPUTED_VALUE"""),1077461.0)</f>
        <v>1077461</v>
      </c>
      <c r="G176" s="2" t="s">
        <v>11</v>
      </c>
    </row>
    <row r="177">
      <c r="A177" s="3">
        <f>IFERROR(__xludf.DUMMYFUNCTION("""COMPUTED_VALUE"""),44818.66666666667)</f>
        <v>44818.66667</v>
      </c>
      <c r="B177" s="1">
        <f>IFERROR(__xludf.DUMMYFUNCTION("""COMPUTED_VALUE"""),85.54)</f>
        <v>85.54</v>
      </c>
      <c r="C177" s="1">
        <f>IFERROR(__xludf.DUMMYFUNCTION("""COMPUTED_VALUE"""),86.37)</f>
        <v>86.37</v>
      </c>
      <c r="D177" s="1">
        <f>IFERROR(__xludf.DUMMYFUNCTION("""COMPUTED_VALUE"""),85.15)</f>
        <v>85.15</v>
      </c>
      <c r="E177" s="1">
        <f>IFERROR(__xludf.DUMMYFUNCTION("""COMPUTED_VALUE"""),86.31)</f>
        <v>86.31</v>
      </c>
      <c r="F177" s="1">
        <f>IFERROR(__xludf.DUMMYFUNCTION("""COMPUTED_VALUE"""),1289053.0)</f>
        <v>1289053</v>
      </c>
      <c r="G177" s="2" t="s">
        <v>11</v>
      </c>
    </row>
    <row r="178">
      <c r="A178" s="3">
        <f>IFERROR(__xludf.DUMMYFUNCTION("""COMPUTED_VALUE"""),44819.66666666667)</f>
        <v>44819.66667</v>
      </c>
      <c r="B178" s="1">
        <f>IFERROR(__xludf.DUMMYFUNCTION("""COMPUTED_VALUE"""),85.5)</f>
        <v>85.5</v>
      </c>
      <c r="C178" s="1">
        <f>IFERROR(__xludf.DUMMYFUNCTION("""COMPUTED_VALUE"""),85.99)</f>
        <v>85.99</v>
      </c>
      <c r="D178" s="1">
        <f>IFERROR(__xludf.DUMMYFUNCTION("""COMPUTED_VALUE"""),84.21)</f>
        <v>84.21</v>
      </c>
      <c r="E178" s="1">
        <f>IFERROR(__xludf.DUMMYFUNCTION("""COMPUTED_VALUE"""),84.41)</f>
        <v>84.41</v>
      </c>
      <c r="F178" s="1">
        <f>IFERROR(__xludf.DUMMYFUNCTION("""COMPUTED_VALUE"""),1332699.0)</f>
        <v>1332699</v>
      </c>
      <c r="G178" s="2" t="s">
        <v>11</v>
      </c>
    </row>
    <row r="179">
      <c r="A179" s="3">
        <f>IFERROR(__xludf.DUMMYFUNCTION("""COMPUTED_VALUE"""),44820.66666666667)</f>
        <v>44820.66667</v>
      </c>
      <c r="B179" s="1">
        <f>IFERROR(__xludf.DUMMYFUNCTION("""COMPUTED_VALUE"""),83.0)</f>
        <v>83</v>
      </c>
      <c r="C179" s="1">
        <f>IFERROR(__xludf.DUMMYFUNCTION("""COMPUTED_VALUE"""),84.13)</f>
        <v>84.13</v>
      </c>
      <c r="D179" s="1">
        <f>IFERROR(__xludf.DUMMYFUNCTION("""COMPUTED_VALUE"""),82.9)</f>
        <v>82.9</v>
      </c>
      <c r="E179" s="1">
        <f>IFERROR(__xludf.DUMMYFUNCTION("""COMPUTED_VALUE"""),83.94)</f>
        <v>83.94</v>
      </c>
      <c r="F179" s="1">
        <f>IFERROR(__xludf.DUMMYFUNCTION("""COMPUTED_VALUE"""),1093174.0)</f>
        <v>1093174</v>
      </c>
      <c r="G179" s="2" t="s">
        <v>11</v>
      </c>
    </row>
    <row r="180">
      <c r="A180" s="3">
        <f>IFERROR(__xludf.DUMMYFUNCTION("""COMPUTED_VALUE"""),44823.66666666667)</f>
        <v>44823.66667</v>
      </c>
      <c r="B180" s="1">
        <f>IFERROR(__xludf.DUMMYFUNCTION("""COMPUTED_VALUE"""),82.69)</f>
        <v>82.69</v>
      </c>
      <c r="C180" s="1">
        <f>IFERROR(__xludf.DUMMYFUNCTION("""COMPUTED_VALUE"""),84.27)</f>
        <v>84.27</v>
      </c>
      <c r="D180" s="1">
        <f>IFERROR(__xludf.DUMMYFUNCTION("""COMPUTED_VALUE"""),82.68)</f>
        <v>82.68</v>
      </c>
      <c r="E180" s="1">
        <f>IFERROR(__xludf.DUMMYFUNCTION("""COMPUTED_VALUE"""),84.26)</f>
        <v>84.26</v>
      </c>
      <c r="F180" s="1">
        <f>IFERROR(__xludf.DUMMYFUNCTION("""COMPUTED_VALUE"""),934906.0)</f>
        <v>934906</v>
      </c>
      <c r="G180" s="2" t="s">
        <v>11</v>
      </c>
    </row>
    <row r="181">
      <c r="A181" s="3">
        <f>IFERROR(__xludf.DUMMYFUNCTION("""COMPUTED_VALUE"""),44824.66666666667)</f>
        <v>44824.66667</v>
      </c>
      <c r="B181" s="1">
        <f>IFERROR(__xludf.DUMMYFUNCTION("""COMPUTED_VALUE"""),82.75)</f>
        <v>82.75</v>
      </c>
      <c r="C181" s="1">
        <f>IFERROR(__xludf.DUMMYFUNCTION("""COMPUTED_VALUE"""),83.62)</f>
        <v>83.62</v>
      </c>
      <c r="D181" s="1">
        <f>IFERROR(__xludf.DUMMYFUNCTION("""COMPUTED_VALUE"""),82.37)</f>
        <v>82.37</v>
      </c>
      <c r="E181" s="1">
        <f>IFERROR(__xludf.DUMMYFUNCTION("""COMPUTED_VALUE"""),82.93)</f>
        <v>82.93</v>
      </c>
      <c r="F181" s="1">
        <f>IFERROR(__xludf.DUMMYFUNCTION("""COMPUTED_VALUE"""),1331540.0)</f>
        <v>1331540</v>
      </c>
      <c r="G181" s="2" t="s">
        <v>11</v>
      </c>
    </row>
    <row r="182">
      <c r="A182" s="3">
        <f>IFERROR(__xludf.DUMMYFUNCTION("""COMPUTED_VALUE"""),44825.66666666667)</f>
        <v>44825.66667</v>
      </c>
      <c r="B182" s="1">
        <f>IFERROR(__xludf.DUMMYFUNCTION("""COMPUTED_VALUE"""),83.07)</f>
        <v>83.07</v>
      </c>
      <c r="C182" s="1">
        <f>IFERROR(__xludf.DUMMYFUNCTION("""COMPUTED_VALUE"""),84.01)</f>
        <v>84.01</v>
      </c>
      <c r="D182" s="1">
        <f>IFERROR(__xludf.DUMMYFUNCTION("""COMPUTED_VALUE"""),82.18)</f>
        <v>82.18</v>
      </c>
      <c r="E182" s="1">
        <f>IFERROR(__xludf.DUMMYFUNCTION("""COMPUTED_VALUE"""),82.34)</f>
        <v>82.34</v>
      </c>
      <c r="F182" s="1">
        <f>IFERROR(__xludf.DUMMYFUNCTION("""COMPUTED_VALUE"""),1162176.0)</f>
        <v>1162176</v>
      </c>
      <c r="G182" s="2" t="s">
        <v>11</v>
      </c>
    </row>
    <row r="183">
      <c r="A183" s="3">
        <f>IFERROR(__xludf.DUMMYFUNCTION("""COMPUTED_VALUE"""),44826.66666666667)</f>
        <v>44826.66667</v>
      </c>
      <c r="B183" s="1">
        <f>IFERROR(__xludf.DUMMYFUNCTION("""COMPUTED_VALUE"""),82.04)</f>
        <v>82.04</v>
      </c>
      <c r="C183" s="1">
        <f>IFERROR(__xludf.DUMMYFUNCTION("""COMPUTED_VALUE"""),82.29)</f>
        <v>82.29</v>
      </c>
      <c r="D183" s="1">
        <f>IFERROR(__xludf.DUMMYFUNCTION("""COMPUTED_VALUE"""),80.97)</f>
        <v>80.97</v>
      </c>
      <c r="E183" s="1">
        <f>IFERROR(__xludf.DUMMYFUNCTION("""COMPUTED_VALUE"""),81.37)</f>
        <v>81.37</v>
      </c>
      <c r="F183" s="1">
        <f>IFERROR(__xludf.DUMMYFUNCTION("""COMPUTED_VALUE"""),1612665.0)</f>
        <v>1612665</v>
      </c>
      <c r="G183" s="2" t="s">
        <v>11</v>
      </c>
    </row>
    <row r="184">
      <c r="A184" s="3">
        <f>IFERROR(__xludf.DUMMYFUNCTION("""COMPUTED_VALUE"""),44827.66666666667)</f>
        <v>44827.66667</v>
      </c>
      <c r="B184" s="1">
        <f>IFERROR(__xludf.DUMMYFUNCTION("""COMPUTED_VALUE"""),79.18)</f>
        <v>79.18</v>
      </c>
      <c r="C184" s="1">
        <f>IFERROR(__xludf.DUMMYFUNCTION("""COMPUTED_VALUE"""),79.48)</f>
        <v>79.48</v>
      </c>
      <c r="D184" s="1">
        <f>IFERROR(__xludf.DUMMYFUNCTION("""COMPUTED_VALUE"""),78.22)</f>
        <v>78.22</v>
      </c>
      <c r="E184" s="1">
        <f>IFERROR(__xludf.DUMMYFUNCTION("""COMPUTED_VALUE"""),79.47)</f>
        <v>79.47</v>
      </c>
      <c r="F184" s="1">
        <f>IFERROR(__xludf.DUMMYFUNCTION("""COMPUTED_VALUE"""),2048244.0)</f>
        <v>2048244</v>
      </c>
      <c r="G184" s="2" t="s">
        <v>11</v>
      </c>
    </row>
    <row r="185">
      <c r="A185" s="3">
        <f>IFERROR(__xludf.DUMMYFUNCTION("""COMPUTED_VALUE"""),44830.66666666667)</f>
        <v>44830.66667</v>
      </c>
      <c r="B185" s="1">
        <f>IFERROR(__xludf.DUMMYFUNCTION("""COMPUTED_VALUE"""),80.08)</f>
        <v>80.08</v>
      </c>
      <c r="C185" s="1">
        <f>IFERROR(__xludf.DUMMYFUNCTION("""COMPUTED_VALUE"""),81.09)</f>
        <v>81.09</v>
      </c>
      <c r="D185" s="1">
        <f>IFERROR(__xludf.DUMMYFUNCTION("""COMPUTED_VALUE"""),79.15)</f>
        <v>79.15</v>
      </c>
      <c r="E185" s="1">
        <f>IFERROR(__xludf.DUMMYFUNCTION("""COMPUTED_VALUE"""),79.63)</f>
        <v>79.63</v>
      </c>
      <c r="F185" s="1">
        <f>IFERROR(__xludf.DUMMYFUNCTION("""COMPUTED_VALUE"""),2899864.0)</f>
        <v>2899864</v>
      </c>
      <c r="G185" s="2" t="s">
        <v>11</v>
      </c>
    </row>
    <row r="186">
      <c r="A186" s="3">
        <f>IFERROR(__xludf.DUMMYFUNCTION("""COMPUTED_VALUE"""),44831.66666666667)</f>
        <v>44831.66667</v>
      </c>
      <c r="B186" s="1">
        <f>IFERROR(__xludf.DUMMYFUNCTION("""COMPUTED_VALUE"""),80.48)</f>
        <v>80.48</v>
      </c>
      <c r="C186" s="1">
        <f>IFERROR(__xludf.DUMMYFUNCTION("""COMPUTED_VALUE"""),80.99)</f>
        <v>80.99</v>
      </c>
      <c r="D186" s="1">
        <f>IFERROR(__xludf.DUMMYFUNCTION("""COMPUTED_VALUE"""),78.56)</f>
        <v>78.56</v>
      </c>
      <c r="E186" s="1">
        <f>IFERROR(__xludf.DUMMYFUNCTION("""COMPUTED_VALUE"""),79.12)</f>
        <v>79.12</v>
      </c>
      <c r="F186" s="1">
        <f>IFERROR(__xludf.DUMMYFUNCTION("""COMPUTED_VALUE"""),2478781.0)</f>
        <v>2478781</v>
      </c>
      <c r="G186" s="2" t="s">
        <v>11</v>
      </c>
    </row>
    <row r="187">
      <c r="A187" s="3">
        <f>IFERROR(__xludf.DUMMYFUNCTION("""COMPUTED_VALUE"""),44832.66666666667)</f>
        <v>44832.66667</v>
      </c>
      <c r="B187" s="1">
        <f>IFERROR(__xludf.DUMMYFUNCTION("""COMPUTED_VALUE"""),79.37)</f>
        <v>79.37</v>
      </c>
      <c r="C187" s="1">
        <f>IFERROR(__xludf.DUMMYFUNCTION("""COMPUTED_VALUE"""),81.77)</f>
        <v>81.77</v>
      </c>
      <c r="D187" s="1">
        <f>IFERROR(__xludf.DUMMYFUNCTION("""COMPUTED_VALUE"""),79.01)</f>
        <v>79.01</v>
      </c>
      <c r="E187" s="1">
        <f>IFERROR(__xludf.DUMMYFUNCTION("""COMPUTED_VALUE"""),81.46)</f>
        <v>81.46</v>
      </c>
      <c r="F187" s="1">
        <f>IFERROR(__xludf.DUMMYFUNCTION("""COMPUTED_VALUE"""),2056967.0)</f>
        <v>2056967</v>
      </c>
      <c r="G187" s="2" t="s">
        <v>11</v>
      </c>
    </row>
    <row r="188">
      <c r="A188" s="3">
        <f>IFERROR(__xludf.DUMMYFUNCTION("""COMPUTED_VALUE"""),44833.66666666667)</f>
        <v>44833.66667</v>
      </c>
      <c r="B188" s="1">
        <f>IFERROR(__xludf.DUMMYFUNCTION("""COMPUTED_VALUE"""),80.25)</f>
        <v>80.25</v>
      </c>
      <c r="C188" s="1">
        <f>IFERROR(__xludf.DUMMYFUNCTION("""COMPUTED_VALUE"""),80.56)</f>
        <v>80.56</v>
      </c>
      <c r="D188" s="1">
        <f>IFERROR(__xludf.DUMMYFUNCTION("""COMPUTED_VALUE"""),79.19)</f>
        <v>79.19</v>
      </c>
      <c r="E188" s="1">
        <f>IFERROR(__xludf.DUMMYFUNCTION("""COMPUTED_VALUE"""),80.48)</f>
        <v>80.48</v>
      </c>
      <c r="F188" s="1">
        <f>IFERROR(__xludf.DUMMYFUNCTION("""COMPUTED_VALUE"""),2137348.0)</f>
        <v>2137348</v>
      </c>
      <c r="G188" s="2" t="s">
        <v>11</v>
      </c>
    </row>
    <row r="189">
      <c r="A189" s="3">
        <f>IFERROR(__xludf.DUMMYFUNCTION("""COMPUTED_VALUE"""),44834.66666666667)</f>
        <v>44834.66667</v>
      </c>
      <c r="B189" s="1">
        <f>IFERROR(__xludf.DUMMYFUNCTION("""COMPUTED_VALUE"""),81.46)</f>
        <v>81.46</v>
      </c>
      <c r="C189" s="1">
        <f>IFERROR(__xludf.DUMMYFUNCTION("""COMPUTED_VALUE"""),82.61)</f>
        <v>82.61</v>
      </c>
      <c r="D189" s="1">
        <f>IFERROR(__xludf.DUMMYFUNCTION("""COMPUTED_VALUE"""),81.19)</f>
        <v>81.19</v>
      </c>
      <c r="E189" s="1">
        <f>IFERROR(__xludf.DUMMYFUNCTION("""COMPUTED_VALUE"""),81.25)</f>
        <v>81.25</v>
      </c>
      <c r="F189" s="1">
        <f>IFERROR(__xludf.DUMMYFUNCTION("""COMPUTED_VALUE"""),1390554.0)</f>
        <v>1390554</v>
      </c>
      <c r="G189" s="2" t="s">
        <v>11</v>
      </c>
    </row>
    <row r="190">
      <c r="A190" s="3">
        <f>IFERROR(__xludf.DUMMYFUNCTION("""COMPUTED_VALUE"""),44837.66666666667)</f>
        <v>44837.66667</v>
      </c>
      <c r="B190" s="1">
        <f>IFERROR(__xludf.DUMMYFUNCTION("""COMPUTED_VALUE"""),82.45)</f>
        <v>82.45</v>
      </c>
      <c r="C190" s="1">
        <f>IFERROR(__xludf.DUMMYFUNCTION("""COMPUTED_VALUE"""),84.12)</f>
        <v>84.12</v>
      </c>
      <c r="D190" s="1">
        <f>IFERROR(__xludf.DUMMYFUNCTION("""COMPUTED_VALUE"""),82.03)</f>
        <v>82.03</v>
      </c>
      <c r="E190" s="1">
        <f>IFERROR(__xludf.DUMMYFUNCTION("""COMPUTED_VALUE"""),83.94)</f>
        <v>83.94</v>
      </c>
      <c r="F190" s="1">
        <f>IFERROR(__xludf.DUMMYFUNCTION("""COMPUTED_VALUE"""),1686660.0)</f>
        <v>1686660</v>
      </c>
      <c r="G190" s="2" t="s">
        <v>11</v>
      </c>
    </row>
    <row r="191">
      <c r="A191" s="3">
        <f>IFERROR(__xludf.DUMMYFUNCTION("""COMPUTED_VALUE"""),44838.66666666667)</f>
        <v>44838.66667</v>
      </c>
      <c r="B191" s="1">
        <f>IFERROR(__xludf.DUMMYFUNCTION("""COMPUTED_VALUE"""),86.82)</f>
        <v>86.82</v>
      </c>
      <c r="C191" s="1">
        <f>IFERROR(__xludf.DUMMYFUNCTION("""COMPUTED_VALUE"""),88.35)</f>
        <v>88.35</v>
      </c>
      <c r="D191" s="1">
        <f>IFERROR(__xludf.DUMMYFUNCTION("""COMPUTED_VALUE"""),86.54)</f>
        <v>86.54</v>
      </c>
      <c r="E191" s="1">
        <f>IFERROR(__xludf.DUMMYFUNCTION("""COMPUTED_VALUE"""),88.04)</f>
        <v>88.04</v>
      </c>
      <c r="F191" s="1">
        <f>IFERROR(__xludf.DUMMYFUNCTION("""COMPUTED_VALUE"""),1626555.0)</f>
        <v>1626555</v>
      </c>
      <c r="G191" s="2" t="s">
        <v>11</v>
      </c>
    </row>
    <row r="192">
      <c r="A192" s="3">
        <f>IFERROR(__xludf.DUMMYFUNCTION("""COMPUTED_VALUE"""),44839.66666666667)</f>
        <v>44839.66667</v>
      </c>
      <c r="B192" s="1">
        <f>IFERROR(__xludf.DUMMYFUNCTION("""COMPUTED_VALUE"""),86.19)</f>
        <v>86.19</v>
      </c>
      <c r="C192" s="1">
        <f>IFERROR(__xludf.DUMMYFUNCTION("""COMPUTED_VALUE"""),87.45)</f>
        <v>87.45</v>
      </c>
      <c r="D192" s="1">
        <f>IFERROR(__xludf.DUMMYFUNCTION("""COMPUTED_VALUE"""),85.59)</f>
        <v>85.59</v>
      </c>
      <c r="E192" s="1">
        <f>IFERROR(__xludf.DUMMYFUNCTION("""COMPUTED_VALUE"""),87.18)</f>
        <v>87.18</v>
      </c>
      <c r="F192" s="1">
        <f>IFERROR(__xludf.DUMMYFUNCTION("""COMPUTED_VALUE"""),1225243.0)</f>
        <v>1225243</v>
      </c>
      <c r="G192" s="2" t="s">
        <v>11</v>
      </c>
    </row>
    <row r="193">
      <c r="A193" s="3">
        <f>IFERROR(__xludf.DUMMYFUNCTION("""COMPUTED_VALUE"""),44840.66666666667)</f>
        <v>44840.66667</v>
      </c>
      <c r="B193" s="1">
        <f>IFERROR(__xludf.DUMMYFUNCTION("""COMPUTED_VALUE"""),86.59)</f>
        <v>86.59</v>
      </c>
      <c r="C193" s="1">
        <f>IFERROR(__xludf.DUMMYFUNCTION("""COMPUTED_VALUE"""),87.22)</f>
        <v>87.22</v>
      </c>
      <c r="D193" s="1">
        <f>IFERROR(__xludf.DUMMYFUNCTION("""COMPUTED_VALUE"""),86.17)</f>
        <v>86.17</v>
      </c>
      <c r="E193" s="1">
        <f>IFERROR(__xludf.DUMMYFUNCTION("""COMPUTED_VALUE"""),86.36)</f>
        <v>86.36</v>
      </c>
      <c r="F193" s="1">
        <f>IFERROR(__xludf.DUMMYFUNCTION("""COMPUTED_VALUE"""),1249734.0)</f>
        <v>1249734</v>
      </c>
      <c r="G193" s="2" t="s">
        <v>11</v>
      </c>
    </row>
    <row r="194">
      <c r="A194" s="3">
        <f>IFERROR(__xludf.DUMMYFUNCTION("""COMPUTED_VALUE"""),44841.66666666667)</f>
        <v>44841.66667</v>
      </c>
      <c r="B194" s="1">
        <f>IFERROR(__xludf.DUMMYFUNCTION("""COMPUTED_VALUE"""),85.39)</f>
        <v>85.39</v>
      </c>
      <c r="C194" s="1">
        <f>IFERROR(__xludf.DUMMYFUNCTION("""COMPUTED_VALUE"""),85.52)</f>
        <v>85.52</v>
      </c>
      <c r="D194" s="1">
        <f>IFERROR(__xludf.DUMMYFUNCTION("""COMPUTED_VALUE"""),84.15)</f>
        <v>84.15</v>
      </c>
      <c r="E194" s="1">
        <f>IFERROR(__xludf.DUMMYFUNCTION("""COMPUTED_VALUE"""),84.53)</f>
        <v>84.53</v>
      </c>
      <c r="F194" s="1">
        <f>IFERROR(__xludf.DUMMYFUNCTION("""COMPUTED_VALUE"""),1140736.0)</f>
        <v>1140736</v>
      </c>
      <c r="G194" s="2" t="s">
        <v>11</v>
      </c>
    </row>
    <row r="195">
      <c r="A195" s="3">
        <f>IFERROR(__xludf.DUMMYFUNCTION("""COMPUTED_VALUE"""),44844.66666666667)</f>
        <v>44844.66667</v>
      </c>
      <c r="B195" s="1">
        <f>IFERROR(__xludf.DUMMYFUNCTION("""COMPUTED_VALUE"""),84.46)</f>
        <v>84.46</v>
      </c>
      <c r="C195" s="1">
        <f>IFERROR(__xludf.DUMMYFUNCTION("""COMPUTED_VALUE"""),84.53)</f>
        <v>84.53</v>
      </c>
      <c r="D195" s="1">
        <f>IFERROR(__xludf.DUMMYFUNCTION("""COMPUTED_VALUE"""),83.38)</f>
        <v>83.38</v>
      </c>
      <c r="E195" s="1">
        <f>IFERROR(__xludf.DUMMYFUNCTION("""COMPUTED_VALUE"""),84.05)</f>
        <v>84.05</v>
      </c>
      <c r="F195" s="1">
        <f>IFERROR(__xludf.DUMMYFUNCTION("""COMPUTED_VALUE"""),1263895.0)</f>
        <v>1263895</v>
      </c>
      <c r="G195" s="2" t="s">
        <v>11</v>
      </c>
    </row>
    <row r="196">
      <c r="A196" s="3">
        <f>IFERROR(__xludf.DUMMYFUNCTION("""COMPUTED_VALUE"""),44845.66666666667)</f>
        <v>44845.66667</v>
      </c>
      <c r="B196" s="1">
        <f>IFERROR(__xludf.DUMMYFUNCTION("""COMPUTED_VALUE"""),83.64)</f>
        <v>83.64</v>
      </c>
      <c r="C196" s="1">
        <f>IFERROR(__xludf.DUMMYFUNCTION("""COMPUTED_VALUE"""),84.52)</f>
        <v>84.52</v>
      </c>
      <c r="D196" s="1">
        <f>IFERROR(__xludf.DUMMYFUNCTION("""COMPUTED_VALUE"""),82.77)</f>
        <v>82.77</v>
      </c>
      <c r="E196" s="1">
        <f>IFERROR(__xludf.DUMMYFUNCTION("""COMPUTED_VALUE"""),83.01)</f>
        <v>83.01</v>
      </c>
      <c r="F196" s="1">
        <f>IFERROR(__xludf.DUMMYFUNCTION("""COMPUTED_VALUE"""),1287302.0)</f>
        <v>1287302</v>
      </c>
      <c r="G196" s="2" t="s">
        <v>11</v>
      </c>
    </row>
    <row r="197">
      <c r="A197" s="3">
        <f>IFERROR(__xludf.DUMMYFUNCTION("""COMPUTED_VALUE"""),44846.66666666667)</f>
        <v>44846.66667</v>
      </c>
      <c r="B197" s="1">
        <f>IFERROR(__xludf.DUMMYFUNCTION("""COMPUTED_VALUE"""),83.27)</f>
        <v>83.27</v>
      </c>
      <c r="C197" s="1">
        <f>IFERROR(__xludf.DUMMYFUNCTION("""COMPUTED_VALUE"""),83.89)</f>
        <v>83.89</v>
      </c>
      <c r="D197" s="1">
        <f>IFERROR(__xludf.DUMMYFUNCTION("""COMPUTED_VALUE"""),82.5)</f>
        <v>82.5</v>
      </c>
      <c r="E197" s="1">
        <f>IFERROR(__xludf.DUMMYFUNCTION("""COMPUTED_VALUE"""),82.51)</f>
        <v>82.51</v>
      </c>
      <c r="F197" s="1">
        <f>IFERROR(__xludf.DUMMYFUNCTION("""COMPUTED_VALUE"""),1115579.0)</f>
        <v>1115579</v>
      </c>
      <c r="G197" s="2" t="s">
        <v>11</v>
      </c>
    </row>
    <row r="198">
      <c r="A198" s="3">
        <f>IFERROR(__xludf.DUMMYFUNCTION("""COMPUTED_VALUE"""),44847.66666666667)</f>
        <v>44847.66667</v>
      </c>
      <c r="B198" s="1">
        <f>IFERROR(__xludf.DUMMYFUNCTION("""COMPUTED_VALUE"""),80.98)</f>
        <v>80.98</v>
      </c>
      <c r="C198" s="1">
        <f>IFERROR(__xludf.DUMMYFUNCTION("""COMPUTED_VALUE"""),85.38)</f>
        <v>85.38</v>
      </c>
      <c r="D198" s="1">
        <f>IFERROR(__xludf.DUMMYFUNCTION("""COMPUTED_VALUE"""),80.5)</f>
        <v>80.5</v>
      </c>
      <c r="E198" s="1">
        <f>IFERROR(__xludf.DUMMYFUNCTION("""COMPUTED_VALUE"""),85.15)</f>
        <v>85.15</v>
      </c>
      <c r="F198" s="1">
        <f>IFERROR(__xludf.DUMMYFUNCTION("""COMPUTED_VALUE"""),1515186.0)</f>
        <v>1515186</v>
      </c>
      <c r="G198" s="2" t="s">
        <v>11</v>
      </c>
    </row>
    <row r="199">
      <c r="A199" s="3">
        <f>IFERROR(__xludf.DUMMYFUNCTION("""COMPUTED_VALUE"""),44848.66666666667)</f>
        <v>44848.66667</v>
      </c>
      <c r="B199" s="1">
        <f>IFERROR(__xludf.DUMMYFUNCTION("""COMPUTED_VALUE"""),86.7)</f>
        <v>86.7</v>
      </c>
      <c r="C199" s="1">
        <f>IFERROR(__xludf.DUMMYFUNCTION("""COMPUTED_VALUE"""),87.58)</f>
        <v>87.58</v>
      </c>
      <c r="D199" s="1">
        <f>IFERROR(__xludf.DUMMYFUNCTION("""COMPUTED_VALUE"""),84.52)</f>
        <v>84.52</v>
      </c>
      <c r="E199" s="1">
        <f>IFERROR(__xludf.DUMMYFUNCTION("""COMPUTED_VALUE"""),84.61)</f>
        <v>84.61</v>
      </c>
      <c r="F199" s="1">
        <f>IFERROR(__xludf.DUMMYFUNCTION("""COMPUTED_VALUE"""),1207758.0)</f>
        <v>1207758</v>
      </c>
      <c r="G199" s="2" t="s">
        <v>11</v>
      </c>
    </row>
    <row r="200">
      <c r="A200" s="3">
        <f>IFERROR(__xludf.DUMMYFUNCTION("""COMPUTED_VALUE"""),44851.66666666667)</f>
        <v>44851.66667</v>
      </c>
      <c r="B200" s="1">
        <f>IFERROR(__xludf.DUMMYFUNCTION("""COMPUTED_VALUE"""),86.41)</f>
        <v>86.41</v>
      </c>
      <c r="C200" s="1">
        <f>IFERROR(__xludf.DUMMYFUNCTION("""COMPUTED_VALUE"""),87.53)</f>
        <v>87.53</v>
      </c>
      <c r="D200" s="1">
        <f>IFERROR(__xludf.DUMMYFUNCTION("""COMPUTED_VALUE"""),86.36)</f>
        <v>86.36</v>
      </c>
      <c r="E200" s="1">
        <f>IFERROR(__xludf.DUMMYFUNCTION("""COMPUTED_VALUE"""),86.85)</f>
        <v>86.85</v>
      </c>
      <c r="F200" s="1">
        <f>IFERROR(__xludf.DUMMYFUNCTION("""COMPUTED_VALUE"""),1362674.0)</f>
        <v>1362674</v>
      </c>
      <c r="G200" s="2" t="s">
        <v>11</v>
      </c>
    </row>
    <row r="201">
      <c r="A201" s="3">
        <f>IFERROR(__xludf.DUMMYFUNCTION("""COMPUTED_VALUE"""),44852.66666666667)</f>
        <v>44852.66667</v>
      </c>
      <c r="B201" s="1">
        <f>IFERROR(__xludf.DUMMYFUNCTION("""COMPUTED_VALUE"""),90.22)</f>
        <v>90.22</v>
      </c>
      <c r="C201" s="1">
        <f>IFERROR(__xludf.DUMMYFUNCTION("""COMPUTED_VALUE"""),90.31)</f>
        <v>90.31</v>
      </c>
      <c r="D201" s="1">
        <f>IFERROR(__xludf.DUMMYFUNCTION("""COMPUTED_VALUE"""),88.33)</f>
        <v>88.33</v>
      </c>
      <c r="E201" s="1">
        <f>IFERROR(__xludf.DUMMYFUNCTION("""COMPUTED_VALUE"""),89.02)</f>
        <v>89.02</v>
      </c>
      <c r="F201" s="1">
        <f>IFERROR(__xludf.DUMMYFUNCTION("""COMPUTED_VALUE"""),1526752.0)</f>
        <v>1526752</v>
      </c>
      <c r="G201" s="2" t="s">
        <v>11</v>
      </c>
    </row>
    <row r="202">
      <c r="A202" s="3">
        <f>IFERROR(__xludf.DUMMYFUNCTION("""COMPUTED_VALUE"""),44853.66666666667)</f>
        <v>44853.66667</v>
      </c>
      <c r="B202" s="1">
        <f>IFERROR(__xludf.DUMMYFUNCTION("""COMPUTED_VALUE"""),87.71)</f>
        <v>87.71</v>
      </c>
      <c r="C202" s="1">
        <f>IFERROR(__xludf.DUMMYFUNCTION("""COMPUTED_VALUE"""),87.97)</f>
        <v>87.97</v>
      </c>
      <c r="D202" s="1">
        <f>IFERROR(__xludf.DUMMYFUNCTION("""COMPUTED_VALUE"""),86.3)</f>
        <v>86.3</v>
      </c>
      <c r="E202" s="1">
        <f>IFERROR(__xludf.DUMMYFUNCTION("""COMPUTED_VALUE"""),86.73)</f>
        <v>86.73</v>
      </c>
      <c r="F202" s="1">
        <f>IFERROR(__xludf.DUMMYFUNCTION("""COMPUTED_VALUE"""),1086425.0)</f>
        <v>1086425</v>
      </c>
      <c r="G202" s="2" t="s">
        <v>11</v>
      </c>
    </row>
    <row r="203">
      <c r="A203" s="3">
        <f>IFERROR(__xludf.DUMMYFUNCTION("""COMPUTED_VALUE"""),44854.66666666667)</f>
        <v>44854.66667</v>
      </c>
      <c r="B203" s="1">
        <f>IFERROR(__xludf.DUMMYFUNCTION("""COMPUTED_VALUE"""),86.91)</f>
        <v>86.91</v>
      </c>
      <c r="C203" s="1">
        <f>IFERROR(__xludf.DUMMYFUNCTION("""COMPUTED_VALUE"""),88.46)</f>
        <v>88.46</v>
      </c>
      <c r="D203" s="1">
        <f>IFERROR(__xludf.DUMMYFUNCTION("""COMPUTED_VALUE"""),86.71)</f>
        <v>86.71</v>
      </c>
      <c r="E203" s="1">
        <f>IFERROR(__xludf.DUMMYFUNCTION("""COMPUTED_VALUE"""),86.91)</f>
        <v>86.91</v>
      </c>
      <c r="F203" s="1">
        <f>IFERROR(__xludf.DUMMYFUNCTION("""COMPUTED_VALUE"""),1103436.0)</f>
        <v>1103436</v>
      </c>
      <c r="G203" s="2" t="s">
        <v>11</v>
      </c>
    </row>
    <row r="204">
      <c r="A204" s="3">
        <f>IFERROR(__xludf.DUMMYFUNCTION("""COMPUTED_VALUE"""),44855.66666666667)</f>
        <v>44855.66667</v>
      </c>
      <c r="B204" s="1">
        <f>IFERROR(__xludf.DUMMYFUNCTION("""COMPUTED_VALUE"""),88.44)</f>
        <v>88.44</v>
      </c>
      <c r="C204" s="1">
        <f>IFERROR(__xludf.DUMMYFUNCTION("""COMPUTED_VALUE"""),90.96)</f>
        <v>90.96</v>
      </c>
      <c r="D204" s="1">
        <f>IFERROR(__xludf.DUMMYFUNCTION("""COMPUTED_VALUE"""),88.02)</f>
        <v>88.02</v>
      </c>
      <c r="E204" s="1">
        <f>IFERROR(__xludf.DUMMYFUNCTION("""COMPUTED_VALUE"""),90.88)</f>
        <v>90.88</v>
      </c>
      <c r="F204" s="1">
        <f>IFERROR(__xludf.DUMMYFUNCTION("""COMPUTED_VALUE"""),1722413.0)</f>
        <v>1722413</v>
      </c>
      <c r="G204" s="2" t="s">
        <v>11</v>
      </c>
    </row>
    <row r="205">
      <c r="A205" s="3">
        <f>IFERROR(__xludf.DUMMYFUNCTION("""COMPUTED_VALUE"""),44858.66666666667)</f>
        <v>44858.66667</v>
      </c>
      <c r="B205" s="1">
        <f>IFERROR(__xludf.DUMMYFUNCTION("""COMPUTED_VALUE"""),90.62)</f>
        <v>90.62</v>
      </c>
      <c r="C205" s="1">
        <f>IFERROR(__xludf.DUMMYFUNCTION("""COMPUTED_VALUE"""),91.19)</f>
        <v>91.19</v>
      </c>
      <c r="D205" s="1">
        <f>IFERROR(__xludf.DUMMYFUNCTION("""COMPUTED_VALUE"""),89.19)</f>
        <v>89.19</v>
      </c>
      <c r="E205" s="1">
        <f>IFERROR(__xludf.DUMMYFUNCTION("""COMPUTED_VALUE"""),91.01)</f>
        <v>91.01</v>
      </c>
      <c r="F205" s="1">
        <f>IFERROR(__xludf.DUMMYFUNCTION("""COMPUTED_VALUE"""),1447806.0)</f>
        <v>1447806</v>
      </c>
      <c r="G205" s="2" t="s">
        <v>11</v>
      </c>
    </row>
    <row r="206">
      <c r="A206" s="3">
        <f>IFERROR(__xludf.DUMMYFUNCTION("""COMPUTED_VALUE"""),44859.66666666667)</f>
        <v>44859.66667</v>
      </c>
      <c r="B206" s="1">
        <f>IFERROR(__xludf.DUMMYFUNCTION("""COMPUTED_VALUE"""),96.58)</f>
        <v>96.58</v>
      </c>
      <c r="C206" s="1">
        <f>IFERROR(__xludf.DUMMYFUNCTION("""COMPUTED_VALUE"""),97.29)</f>
        <v>97.29</v>
      </c>
      <c r="D206" s="1">
        <f>IFERROR(__xludf.DUMMYFUNCTION("""COMPUTED_VALUE"""),96.03)</f>
        <v>96.03</v>
      </c>
      <c r="E206" s="1">
        <f>IFERROR(__xludf.DUMMYFUNCTION("""COMPUTED_VALUE"""),96.32)</f>
        <v>96.32</v>
      </c>
      <c r="F206" s="1">
        <f>IFERROR(__xludf.DUMMYFUNCTION("""COMPUTED_VALUE"""),2401430.0)</f>
        <v>2401430</v>
      </c>
      <c r="G206" s="2" t="s">
        <v>11</v>
      </c>
    </row>
    <row r="207">
      <c r="A207" s="3">
        <f>IFERROR(__xludf.DUMMYFUNCTION("""COMPUTED_VALUE"""),44860.66666666667)</f>
        <v>44860.66667</v>
      </c>
      <c r="B207" s="1">
        <f>IFERROR(__xludf.DUMMYFUNCTION("""COMPUTED_VALUE"""),96.23)</f>
        <v>96.23</v>
      </c>
      <c r="C207" s="1">
        <f>IFERROR(__xludf.DUMMYFUNCTION("""COMPUTED_VALUE"""),99.14)</f>
        <v>99.14</v>
      </c>
      <c r="D207" s="1">
        <f>IFERROR(__xludf.DUMMYFUNCTION("""COMPUTED_VALUE"""),96.15)</f>
        <v>96.15</v>
      </c>
      <c r="E207" s="1">
        <f>IFERROR(__xludf.DUMMYFUNCTION("""COMPUTED_VALUE"""),97.76)</f>
        <v>97.76</v>
      </c>
      <c r="F207" s="1">
        <f>IFERROR(__xludf.DUMMYFUNCTION("""COMPUTED_VALUE"""),1991300.0)</f>
        <v>1991300</v>
      </c>
      <c r="G207" s="2" t="s">
        <v>11</v>
      </c>
    </row>
    <row r="208">
      <c r="A208" s="3">
        <f>IFERROR(__xludf.DUMMYFUNCTION("""COMPUTED_VALUE"""),44861.66666666667)</f>
        <v>44861.66667</v>
      </c>
      <c r="B208" s="1">
        <f>IFERROR(__xludf.DUMMYFUNCTION("""COMPUTED_VALUE"""),97.73)</f>
        <v>97.73</v>
      </c>
      <c r="C208" s="1">
        <f>IFERROR(__xludf.DUMMYFUNCTION("""COMPUTED_VALUE"""),98.9)</f>
        <v>98.9</v>
      </c>
      <c r="D208" s="1">
        <f>IFERROR(__xludf.DUMMYFUNCTION("""COMPUTED_VALUE"""),97.23)</f>
        <v>97.23</v>
      </c>
      <c r="E208" s="1">
        <f>IFERROR(__xludf.DUMMYFUNCTION("""COMPUTED_VALUE"""),97.44)</f>
        <v>97.44</v>
      </c>
      <c r="F208" s="1">
        <f>IFERROR(__xludf.DUMMYFUNCTION("""COMPUTED_VALUE"""),1024867.0)</f>
        <v>1024867</v>
      </c>
      <c r="G208" s="2" t="s">
        <v>11</v>
      </c>
    </row>
    <row r="209">
      <c r="A209" s="3">
        <f>IFERROR(__xludf.DUMMYFUNCTION("""COMPUTED_VALUE"""),44862.66666666667)</f>
        <v>44862.66667</v>
      </c>
      <c r="B209" s="1">
        <f>IFERROR(__xludf.DUMMYFUNCTION("""COMPUTED_VALUE"""),96.58)</f>
        <v>96.58</v>
      </c>
      <c r="C209" s="1">
        <f>IFERROR(__xludf.DUMMYFUNCTION("""COMPUTED_VALUE"""),97.86)</f>
        <v>97.86</v>
      </c>
      <c r="D209" s="1">
        <f>IFERROR(__xludf.DUMMYFUNCTION("""COMPUTED_VALUE"""),96.55)</f>
        <v>96.55</v>
      </c>
      <c r="E209" s="1">
        <f>IFERROR(__xludf.DUMMYFUNCTION("""COMPUTED_VALUE"""),97.71)</f>
        <v>97.71</v>
      </c>
      <c r="F209" s="1">
        <f>IFERROR(__xludf.DUMMYFUNCTION("""COMPUTED_VALUE"""),1437980.0)</f>
        <v>1437980</v>
      </c>
      <c r="G209" s="2" t="s">
        <v>11</v>
      </c>
    </row>
    <row r="210">
      <c r="A210" s="3">
        <f>IFERROR(__xludf.DUMMYFUNCTION("""COMPUTED_VALUE"""),44865.66666666667)</f>
        <v>44865.66667</v>
      </c>
      <c r="B210" s="1">
        <f>IFERROR(__xludf.DUMMYFUNCTION("""COMPUTED_VALUE"""),96.48)</f>
        <v>96.48</v>
      </c>
      <c r="C210" s="1">
        <f>IFERROR(__xludf.DUMMYFUNCTION("""COMPUTED_VALUE"""),96.89)</f>
        <v>96.89</v>
      </c>
      <c r="D210" s="1">
        <f>IFERROR(__xludf.DUMMYFUNCTION("""COMPUTED_VALUE"""),96.05)</f>
        <v>96.05</v>
      </c>
      <c r="E210" s="1">
        <f>IFERROR(__xludf.DUMMYFUNCTION("""COMPUTED_VALUE"""),96.06)</f>
        <v>96.06</v>
      </c>
      <c r="F210" s="1">
        <f>IFERROR(__xludf.DUMMYFUNCTION("""COMPUTED_VALUE"""),986162.0)</f>
        <v>986162</v>
      </c>
      <c r="G210" s="2" t="s">
        <v>11</v>
      </c>
    </row>
    <row r="211">
      <c r="A211" s="3">
        <f>IFERROR(__xludf.DUMMYFUNCTION("""COMPUTED_VALUE"""),44866.66666666667)</f>
        <v>44866.66667</v>
      </c>
      <c r="B211" s="1">
        <f>IFERROR(__xludf.DUMMYFUNCTION("""COMPUTED_VALUE"""),97.21)</f>
        <v>97.21</v>
      </c>
      <c r="C211" s="1">
        <f>IFERROR(__xludf.DUMMYFUNCTION("""COMPUTED_VALUE"""),97.39)</f>
        <v>97.39</v>
      </c>
      <c r="D211" s="1">
        <f>IFERROR(__xludf.DUMMYFUNCTION("""COMPUTED_VALUE"""),95.17)</f>
        <v>95.17</v>
      </c>
      <c r="E211" s="1">
        <f>IFERROR(__xludf.DUMMYFUNCTION("""COMPUTED_VALUE"""),95.84)</f>
        <v>95.84</v>
      </c>
      <c r="F211" s="1">
        <f>IFERROR(__xludf.DUMMYFUNCTION("""COMPUTED_VALUE"""),831339.0)</f>
        <v>831339</v>
      </c>
      <c r="G211" s="2" t="s">
        <v>11</v>
      </c>
    </row>
    <row r="212">
      <c r="A212" s="3">
        <f>IFERROR(__xludf.DUMMYFUNCTION("""COMPUTED_VALUE"""),44867.66666666667)</f>
        <v>44867.66667</v>
      </c>
      <c r="B212" s="1">
        <f>IFERROR(__xludf.DUMMYFUNCTION("""COMPUTED_VALUE"""),96.66)</f>
        <v>96.66</v>
      </c>
      <c r="C212" s="1">
        <f>IFERROR(__xludf.DUMMYFUNCTION("""COMPUTED_VALUE"""),97.16)</f>
        <v>97.16</v>
      </c>
      <c r="D212" s="1">
        <f>IFERROR(__xludf.DUMMYFUNCTION("""COMPUTED_VALUE"""),93.97)</f>
        <v>93.97</v>
      </c>
      <c r="E212" s="1">
        <f>IFERROR(__xludf.DUMMYFUNCTION("""COMPUTED_VALUE"""),93.97)</f>
        <v>93.97</v>
      </c>
      <c r="F212" s="1">
        <f>IFERROR(__xludf.DUMMYFUNCTION("""COMPUTED_VALUE"""),1372379.0)</f>
        <v>1372379</v>
      </c>
      <c r="G212" s="2" t="s">
        <v>11</v>
      </c>
    </row>
    <row r="213">
      <c r="A213" s="3">
        <f>IFERROR(__xludf.DUMMYFUNCTION("""COMPUTED_VALUE"""),44868.66666666667)</f>
        <v>44868.66667</v>
      </c>
      <c r="B213" s="1">
        <f>IFERROR(__xludf.DUMMYFUNCTION("""COMPUTED_VALUE"""),93.31)</f>
        <v>93.31</v>
      </c>
      <c r="C213" s="1">
        <f>IFERROR(__xludf.DUMMYFUNCTION("""COMPUTED_VALUE"""),94.32)</f>
        <v>94.32</v>
      </c>
      <c r="D213" s="1">
        <f>IFERROR(__xludf.DUMMYFUNCTION("""COMPUTED_VALUE"""),92.67)</f>
        <v>92.67</v>
      </c>
      <c r="E213" s="1">
        <f>IFERROR(__xludf.DUMMYFUNCTION("""COMPUTED_VALUE"""),92.69)</f>
        <v>92.69</v>
      </c>
      <c r="F213" s="1">
        <f>IFERROR(__xludf.DUMMYFUNCTION("""COMPUTED_VALUE"""),1126704.0)</f>
        <v>1126704</v>
      </c>
      <c r="G213" s="2" t="s">
        <v>11</v>
      </c>
    </row>
    <row r="214">
      <c r="A214" s="3">
        <f>IFERROR(__xludf.DUMMYFUNCTION("""COMPUTED_VALUE"""),44869.66666666667)</f>
        <v>44869.66667</v>
      </c>
      <c r="B214" s="1">
        <f>IFERROR(__xludf.DUMMYFUNCTION("""COMPUTED_VALUE"""),95.68)</f>
        <v>95.68</v>
      </c>
      <c r="C214" s="1">
        <f>IFERROR(__xludf.DUMMYFUNCTION("""COMPUTED_VALUE"""),96.18)</f>
        <v>96.18</v>
      </c>
      <c r="D214" s="1">
        <f>IFERROR(__xludf.DUMMYFUNCTION("""COMPUTED_VALUE"""),94.54)</f>
        <v>94.54</v>
      </c>
      <c r="E214" s="1">
        <f>IFERROR(__xludf.DUMMYFUNCTION("""COMPUTED_VALUE"""),96.02)</f>
        <v>96.02</v>
      </c>
      <c r="F214" s="1">
        <f>IFERROR(__xludf.DUMMYFUNCTION("""COMPUTED_VALUE"""),1221337.0)</f>
        <v>1221337</v>
      </c>
      <c r="G214" s="2" t="s">
        <v>11</v>
      </c>
    </row>
    <row r="215">
      <c r="A215" s="3">
        <f>IFERROR(__xludf.DUMMYFUNCTION("""COMPUTED_VALUE"""),44872.66666666667)</f>
        <v>44872.66667</v>
      </c>
      <c r="B215" s="1">
        <f>IFERROR(__xludf.DUMMYFUNCTION("""COMPUTED_VALUE"""),96.95)</f>
        <v>96.95</v>
      </c>
      <c r="C215" s="1">
        <f>IFERROR(__xludf.DUMMYFUNCTION("""COMPUTED_VALUE"""),97.74)</f>
        <v>97.74</v>
      </c>
      <c r="D215" s="1">
        <f>IFERROR(__xludf.DUMMYFUNCTION("""COMPUTED_VALUE"""),96.14)</f>
        <v>96.14</v>
      </c>
      <c r="E215" s="1">
        <f>IFERROR(__xludf.DUMMYFUNCTION("""COMPUTED_VALUE"""),97.57)</f>
        <v>97.57</v>
      </c>
      <c r="F215" s="1">
        <f>IFERROR(__xludf.DUMMYFUNCTION("""COMPUTED_VALUE"""),1213203.0)</f>
        <v>1213203</v>
      </c>
      <c r="G215" s="2" t="s">
        <v>11</v>
      </c>
    </row>
    <row r="216">
      <c r="A216" s="3">
        <f>IFERROR(__xludf.DUMMYFUNCTION("""COMPUTED_VALUE"""),44873.66666666667)</f>
        <v>44873.66667</v>
      </c>
      <c r="B216" s="1">
        <f>IFERROR(__xludf.DUMMYFUNCTION("""COMPUTED_VALUE"""),97.87)</f>
        <v>97.87</v>
      </c>
      <c r="C216" s="1">
        <f>IFERROR(__xludf.DUMMYFUNCTION("""COMPUTED_VALUE"""),99.26)</f>
        <v>99.26</v>
      </c>
      <c r="D216" s="1">
        <f>IFERROR(__xludf.DUMMYFUNCTION("""COMPUTED_VALUE"""),96.74)</f>
        <v>96.74</v>
      </c>
      <c r="E216" s="1">
        <f>IFERROR(__xludf.DUMMYFUNCTION("""COMPUTED_VALUE"""),97.97)</f>
        <v>97.97</v>
      </c>
      <c r="F216" s="1">
        <f>IFERROR(__xludf.DUMMYFUNCTION("""COMPUTED_VALUE"""),1403750.0)</f>
        <v>1403750</v>
      </c>
      <c r="G216" s="2" t="s">
        <v>11</v>
      </c>
    </row>
    <row r="217">
      <c r="A217" s="3">
        <f>IFERROR(__xludf.DUMMYFUNCTION("""COMPUTED_VALUE"""),44874.66666666667)</f>
        <v>44874.66667</v>
      </c>
      <c r="B217" s="1">
        <f>IFERROR(__xludf.DUMMYFUNCTION("""COMPUTED_VALUE"""),97.94)</f>
        <v>97.94</v>
      </c>
      <c r="C217" s="1">
        <f>IFERROR(__xludf.DUMMYFUNCTION("""COMPUTED_VALUE"""),98.62)</f>
        <v>98.62</v>
      </c>
      <c r="D217" s="1">
        <f>IFERROR(__xludf.DUMMYFUNCTION("""COMPUTED_VALUE"""),97.47)</f>
        <v>97.47</v>
      </c>
      <c r="E217" s="1">
        <f>IFERROR(__xludf.DUMMYFUNCTION("""COMPUTED_VALUE"""),97.55)</f>
        <v>97.55</v>
      </c>
      <c r="F217" s="1">
        <f>IFERROR(__xludf.DUMMYFUNCTION("""COMPUTED_VALUE"""),947809.0)</f>
        <v>947809</v>
      </c>
      <c r="G217" s="2" t="s">
        <v>11</v>
      </c>
    </row>
    <row r="218">
      <c r="A218" s="3">
        <f>IFERROR(__xludf.DUMMYFUNCTION("""COMPUTED_VALUE"""),44875.66666666667)</f>
        <v>44875.66667</v>
      </c>
      <c r="B218" s="1">
        <f>IFERROR(__xludf.DUMMYFUNCTION("""COMPUTED_VALUE"""),103.81)</f>
        <v>103.81</v>
      </c>
      <c r="C218" s="1">
        <f>IFERROR(__xludf.DUMMYFUNCTION("""COMPUTED_VALUE"""),107.19)</f>
        <v>107.19</v>
      </c>
      <c r="D218" s="1">
        <f>IFERROR(__xludf.DUMMYFUNCTION("""COMPUTED_VALUE"""),103.56)</f>
        <v>103.56</v>
      </c>
      <c r="E218" s="1">
        <f>IFERROR(__xludf.DUMMYFUNCTION("""COMPUTED_VALUE"""),107.18)</f>
        <v>107.18</v>
      </c>
      <c r="F218" s="1">
        <f>IFERROR(__xludf.DUMMYFUNCTION("""COMPUTED_VALUE"""),2371170.0)</f>
        <v>2371170</v>
      </c>
      <c r="G218" s="2" t="s">
        <v>11</v>
      </c>
    </row>
    <row r="219">
      <c r="A219" s="3">
        <f>IFERROR(__xludf.DUMMYFUNCTION("""COMPUTED_VALUE"""),44876.66666666667)</f>
        <v>44876.66667</v>
      </c>
      <c r="B219" s="1">
        <f>IFERROR(__xludf.DUMMYFUNCTION("""COMPUTED_VALUE"""),109.04)</f>
        <v>109.04</v>
      </c>
      <c r="C219" s="1">
        <f>IFERROR(__xludf.DUMMYFUNCTION("""COMPUTED_VALUE"""),110.55)</f>
        <v>110.55</v>
      </c>
      <c r="D219" s="1">
        <f>IFERROR(__xludf.DUMMYFUNCTION("""COMPUTED_VALUE"""),108.54)</f>
        <v>108.54</v>
      </c>
      <c r="E219" s="1">
        <f>IFERROR(__xludf.DUMMYFUNCTION("""COMPUTED_VALUE"""),110.17)</f>
        <v>110.17</v>
      </c>
      <c r="F219" s="1">
        <f>IFERROR(__xludf.DUMMYFUNCTION("""COMPUTED_VALUE"""),1997216.0)</f>
        <v>1997216</v>
      </c>
      <c r="G219" s="2" t="s">
        <v>11</v>
      </c>
    </row>
    <row r="220">
      <c r="A220" s="3">
        <f>IFERROR(__xludf.DUMMYFUNCTION("""COMPUTED_VALUE"""),44879.66666666667)</f>
        <v>44879.66667</v>
      </c>
      <c r="B220" s="1">
        <f>IFERROR(__xludf.DUMMYFUNCTION("""COMPUTED_VALUE"""),109.1)</f>
        <v>109.1</v>
      </c>
      <c r="C220" s="1">
        <f>IFERROR(__xludf.DUMMYFUNCTION("""COMPUTED_VALUE"""),109.81)</f>
        <v>109.81</v>
      </c>
      <c r="D220" s="1">
        <f>IFERROR(__xludf.DUMMYFUNCTION("""COMPUTED_VALUE"""),108.36)</f>
        <v>108.36</v>
      </c>
      <c r="E220" s="1">
        <f>IFERROR(__xludf.DUMMYFUNCTION("""COMPUTED_VALUE"""),108.83)</f>
        <v>108.83</v>
      </c>
      <c r="F220" s="1">
        <f>IFERROR(__xludf.DUMMYFUNCTION("""COMPUTED_VALUE"""),1133713.0)</f>
        <v>1133713</v>
      </c>
      <c r="G220" s="2" t="s">
        <v>11</v>
      </c>
    </row>
    <row r="221">
      <c r="A221" s="3">
        <f>IFERROR(__xludf.DUMMYFUNCTION("""COMPUTED_VALUE"""),44880.66666666667)</f>
        <v>44880.66667</v>
      </c>
      <c r="B221" s="1">
        <f>IFERROR(__xludf.DUMMYFUNCTION("""COMPUTED_VALUE"""),110.33)</f>
        <v>110.33</v>
      </c>
      <c r="C221" s="1">
        <f>IFERROR(__xludf.DUMMYFUNCTION("""COMPUTED_VALUE"""),111.04)</f>
        <v>111.04</v>
      </c>
      <c r="D221" s="1">
        <f>IFERROR(__xludf.DUMMYFUNCTION("""COMPUTED_VALUE"""),108.08)</f>
        <v>108.08</v>
      </c>
      <c r="E221" s="1">
        <f>IFERROR(__xludf.DUMMYFUNCTION("""COMPUTED_VALUE"""),109.81)</f>
        <v>109.81</v>
      </c>
      <c r="F221" s="1">
        <f>IFERROR(__xludf.DUMMYFUNCTION("""COMPUTED_VALUE"""),1627550.0)</f>
        <v>1627550</v>
      </c>
      <c r="G221" s="2" t="s">
        <v>11</v>
      </c>
    </row>
    <row r="222">
      <c r="A222" s="3">
        <f>IFERROR(__xludf.DUMMYFUNCTION("""COMPUTED_VALUE"""),44881.66666666667)</f>
        <v>44881.66667</v>
      </c>
      <c r="B222" s="1">
        <f>IFERROR(__xludf.DUMMYFUNCTION("""COMPUTED_VALUE"""),111.18)</f>
        <v>111.18</v>
      </c>
      <c r="C222" s="1">
        <f>IFERROR(__xludf.DUMMYFUNCTION("""COMPUTED_VALUE"""),111.43)</f>
        <v>111.43</v>
      </c>
      <c r="D222" s="1">
        <f>IFERROR(__xludf.DUMMYFUNCTION("""COMPUTED_VALUE"""),109.87)</f>
        <v>109.87</v>
      </c>
      <c r="E222" s="1">
        <f>IFERROR(__xludf.DUMMYFUNCTION("""COMPUTED_VALUE"""),111.06)</f>
        <v>111.06</v>
      </c>
      <c r="F222" s="1">
        <f>IFERROR(__xludf.DUMMYFUNCTION("""COMPUTED_VALUE"""),1226335.0)</f>
        <v>1226335</v>
      </c>
      <c r="G222" s="2" t="s">
        <v>11</v>
      </c>
    </row>
    <row r="223">
      <c r="A223" s="3">
        <f>IFERROR(__xludf.DUMMYFUNCTION("""COMPUTED_VALUE"""),44882.66666666667)</f>
        <v>44882.66667</v>
      </c>
      <c r="B223" s="1">
        <f>IFERROR(__xludf.DUMMYFUNCTION("""COMPUTED_VALUE"""),110.5)</f>
        <v>110.5</v>
      </c>
      <c r="C223" s="1">
        <f>IFERROR(__xludf.DUMMYFUNCTION("""COMPUTED_VALUE"""),112.18)</f>
        <v>112.18</v>
      </c>
      <c r="D223" s="1">
        <f>IFERROR(__xludf.DUMMYFUNCTION("""COMPUTED_VALUE"""),110.44)</f>
        <v>110.44</v>
      </c>
      <c r="E223" s="1">
        <f>IFERROR(__xludf.DUMMYFUNCTION("""COMPUTED_VALUE"""),111.82)</f>
        <v>111.82</v>
      </c>
      <c r="F223" s="1">
        <f>IFERROR(__xludf.DUMMYFUNCTION("""COMPUTED_VALUE"""),2140673.0)</f>
        <v>2140673</v>
      </c>
      <c r="G223" s="2" t="s">
        <v>11</v>
      </c>
    </row>
    <row r="224">
      <c r="A224" s="3">
        <f>IFERROR(__xludf.DUMMYFUNCTION("""COMPUTED_VALUE"""),44883.66666666667)</f>
        <v>44883.66667</v>
      </c>
      <c r="B224" s="1">
        <f>IFERROR(__xludf.DUMMYFUNCTION("""COMPUTED_VALUE"""),109.71)</f>
        <v>109.71</v>
      </c>
      <c r="C224" s="1">
        <f>IFERROR(__xludf.DUMMYFUNCTION("""COMPUTED_VALUE"""),109.73)</f>
        <v>109.73</v>
      </c>
      <c r="D224" s="1">
        <f>IFERROR(__xludf.DUMMYFUNCTION("""COMPUTED_VALUE"""),108.25)</f>
        <v>108.25</v>
      </c>
      <c r="E224" s="1">
        <f>IFERROR(__xludf.DUMMYFUNCTION("""COMPUTED_VALUE"""),108.79)</f>
        <v>108.79</v>
      </c>
      <c r="F224" s="1">
        <f>IFERROR(__xludf.DUMMYFUNCTION("""COMPUTED_VALUE"""),1213963.0)</f>
        <v>1213963</v>
      </c>
      <c r="G224" s="2" t="s">
        <v>11</v>
      </c>
    </row>
    <row r="225">
      <c r="A225" s="3">
        <f>IFERROR(__xludf.DUMMYFUNCTION("""COMPUTED_VALUE"""),44886.66666666667)</f>
        <v>44886.66667</v>
      </c>
      <c r="B225" s="1">
        <f>IFERROR(__xludf.DUMMYFUNCTION("""COMPUTED_VALUE"""),109.47)</f>
        <v>109.47</v>
      </c>
      <c r="C225" s="1">
        <f>IFERROR(__xludf.DUMMYFUNCTION("""COMPUTED_VALUE"""),109.85)</f>
        <v>109.85</v>
      </c>
      <c r="D225" s="1">
        <f>IFERROR(__xludf.DUMMYFUNCTION("""COMPUTED_VALUE"""),108.47)</f>
        <v>108.47</v>
      </c>
      <c r="E225" s="1">
        <f>IFERROR(__xludf.DUMMYFUNCTION("""COMPUTED_VALUE"""),108.5)</f>
        <v>108.5</v>
      </c>
      <c r="F225" s="1">
        <f>IFERROR(__xludf.DUMMYFUNCTION("""COMPUTED_VALUE"""),889787.0)</f>
        <v>889787</v>
      </c>
      <c r="G225" s="2" t="s">
        <v>11</v>
      </c>
    </row>
    <row r="226">
      <c r="A226" s="3">
        <f>IFERROR(__xludf.DUMMYFUNCTION("""COMPUTED_VALUE"""),44887.66666666667)</f>
        <v>44887.66667</v>
      </c>
      <c r="B226" s="1">
        <f>IFERROR(__xludf.DUMMYFUNCTION("""COMPUTED_VALUE"""),108.45)</f>
        <v>108.45</v>
      </c>
      <c r="C226" s="1">
        <f>IFERROR(__xludf.DUMMYFUNCTION("""COMPUTED_VALUE"""),109.67)</f>
        <v>109.67</v>
      </c>
      <c r="D226" s="1">
        <f>IFERROR(__xludf.DUMMYFUNCTION("""COMPUTED_VALUE"""),107.98)</f>
        <v>107.98</v>
      </c>
      <c r="E226" s="1">
        <f>IFERROR(__xludf.DUMMYFUNCTION("""COMPUTED_VALUE"""),109.62)</f>
        <v>109.62</v>
      </c>
      <c r="F226" s="1">
        <f>IFERROR(__xludf.DUMMYFUNCTION("""COMPUTED_VALUE"""),735501.0)</f>
        <v>735501</v>
      </c>
      <c r="G226" s="2" t="s">
        <v>11</v>
      </c>
    </row>
    <row r="227">
      <c r="A227" s="3">
        <f>IFERROR(__xludf.DUMMYFUNCTION("""COMPUTED_VALUE"""),44888.66666666667)</f>
        <v>44888.66667</v>
      </c>
      <c r="B227" s="1">
        <f>IFERROR(__xludf.DUMMYFUNCTION("""COMPUTED_VALUE"""),109.06)</f>
        <v>109.06</v>
      </c>
      <c r="C227" s="1">
        <f>IFERROR(__xludf.DUMMYFUNCTION("""COMPUTED_VALUE"""),110.04)</f>
        <v>110.04</v>
      </c>
      <c r="D227" s="1">
        <f>IFERROR(__xludf.DUMMYFUNCTION("""COMPUTED_VALUE"""),108.97)</f>
        <v>108.97</v>
      </c>
      <c r="E227" s="1">
        <f>IFERROR(__xludf.DUMMYFUNCTION("""COMPUTED_VALUE"""),109.85)</f>
        <v>109.85</v>
      </c>
      <c r="F227" s="1">
        <f>IFERROR(__xludf.DUMMYFUNCTION("""COMPUTED_VALUE"""),931638.0)</f>
        <v>931638</v>
      </c>
      <c r="G227" s="2" t="s">
        <v>11</v>
      </c>
    </row>
    <row r="228">
      <c r="A228" s="3">
        <f>IFERROR(__xludf.DUMMYFUNCTION("""COMPUTED_VALUE"""),44890.54166666667)</f>
        <v>44890.54167</v>
      </c>
      <c r="B228" s="1">
        <f>IFERROR(__xludf.DUMMYFUNCTION("""COMPUTED_VALUE"""),109.82)</f>
        <v>109.82</v>
      </c>
      <c r="C228" s="1">
        <f>IFERROR(__xludf.DUMMYFUNCTION("""COMPUTED_VALUE"""),110.66)</f>
        <v>110.66</v>
      </c>
      <c r="D228" s="1">
        <f>IFERROR(__xludf.DUMMYFUNCTION("""COMPUTED_VALUE"""),109.79)</f>
        <v>109.79</v>
      </c>
      <c r="E228" s="1">
        <f>IFERROR(__xludf.DUMMYFUNCTION("""COMPUTED_VALUE"""),110.65)</f>
        <v>110.65</v>
      </c>
      <c r="F228" s="1">
        <f>IFERROR(__xludf.DUMMYFUNCTION("""COMPUTED_VALUE"""),411187.0)</f>
        <v>411187</v>
      </c>
      <c r="G228" s="2" t="s">
        <v>11</v>
      </c>
    </row>
    <row r="229">
      <c r="A229" s="3">
        <f>IFERROR(__xludf.DUMMYFUNCTION("""COMPUTED_VALUE"""),44893.66666666667)</f>
        <v>44893.66667</v>
      </c>
      <c r="B229" s="1">
        <f>IFERROR(__xludf.DUMMYFUNCTION("""COMPUTED_VALUE"""),109.62)</f>
        <v>109.62</v>
      </c>
      <c r="C229" s="1">
        <f>IFERROR(__xludf.DUMMYFUNCTION("""COMPUTED_VALUE"""),110.19)</f>
        <v>110.19</v>
      </c>
      <c r="D229" s="1">
        <f>IFERROR(__xludf.DUMMYFUNCTION("""COMPUTED_VALUE"""),107.8)</f>
        <v>107.8</v>
      </c>
      <c r="E229" s="1">
        <f>IFERROR(__xludf.DUMMYFUNCTION("""COMPUTED_VALUE"""),108.0)</f>
        <v>108</v>
      </c>
      <c r="F229" s="1">
        <f>IFERROR(__xludf.DUMMYFUNCTION("""COMPUTED_VALUE"""),808837.0)</f>
        <v>808837</v>
      </c>
      <c r="G229" s="2" t="s">
        <v>11</v>
      </c>
    </row>
    <row r="230">
      <c r="A230" s="3">
        <f>IFERROR(__xludf.DUMMYFUNCTION("""COMPUTED_VALUE"""),44894.66666666667)</f>
        <v>44894.66667</v>
      </c>
      <c r="B230" s="1">
        <f>IFERROR(__xludf.DUMMYFUNCTION("""COMPUTED_VALUE"""),107.34)</f>
        <v>107.34</v>
      </c>
      <c r="C230" s="1">
        <f>IFERROR(__xludf.DUMMYFUNCTION("""COMPUTED_VALUE"""),107.49)</f>
        <v>107.49</v>
      </c>
      <c r="D230" s="1">
        <f>IFERROR(__xludf.DUMMYFUNCTION("""COMPUTED_VALUE"""),106.39)</f>
        <v>106.39</v>
      </c>
      <c r="E230" s="1">
        <f>IFERROR(__xludf.DUMMYFUNCTION("""COMPUTED_VALUE"""),106.92)</f>
        <v>106.92</v>
      </c>
      <c r="F230" s="1">
        <f>IFERROR(__xludf.DUMMYFUNCTION("""COMPUTED_VALUE"""),831317.0)</f>
        <v>831317</v>
      </c>
      <c r="G230" s="2" t="s">
        <v>11</v>
      </c>
    </row>
    <row r="231">
      <c r="A231" s="3">
        <f>IFERROR(__xludf.DUMMYFUNCTION("""COMPUTED_VALUE"""),44895.66666666667)</f>
        <v>44895.66667</v>
      </c>
      <c r="B231" s="1">
        <f>IFERROR(__xludf.DUMMYFUNCTION("""COMPUTED_VALUE"""),107.92)</f>
        <v>107.92</v>
      </c>
      <c r="C231" s="1">
        <f>IFERROR(__xludf.DUMMYFUNCTION("""COMPUTED_VALUE"""),110.93)</f>
        <v>110.93</v>
      </c>
      <c r="D231" s="1">
        <f>IFERROR(__xludf.DUMMYFUNCTION("""COMPUTED_VALUE"""),107.5)</f>
        <v>107.5</v>
      </c>
      <c r="E231" s="1">
        <f>IFERROR(__xludf.DUMMYFUNCTION("""COMPUTED_VALUE"""),110.87)</f>
        <v>110.87</v>
      </c>
      <c r="F231" s="1">
        <f>IFERROR(__xludf.DUMMYFUNCTION("""COMPUTED_VALUE"""),1019534.0)</f>
        <v>1019534</v>
      </c>
      <c r="G231" s="2" t="s">
        <v>11</v>
      </c>
    </row>
    <row r="232">
      <c r="A232" s="3">
        <f>IFERROR(__xludf.DUMMYFUNCTION("""COMPUTED_VALUE"""),44896.66666666667)</f>
        <v>44896.66667</v>
      </c>
      <c r="B232" s="1">
        <f>IFERROR(__xludf.DUMMYFUNCTION("""COMPUTED_VALUE"""),111.59)</f>
        <v>111.59</v>
      </c>
      <c r="C232" s="1">
        <f>IFERROR(__xludf.DUMMYFUNCTION("""COMPUTED_VALUE"""),112.39)</f>
        <v>112.39</v>
      </c>
      <c r="D232" s="1">
        <f>IFERROR(__xludf.DUMMYFUNCTION("""COMPUTED_VALUE"""),111.02)</f>
        <v>111.02</v>
      </c>
      <c r="E232" s="1">
        <f>IFERROR(__xludf.DUMMYFUNCTION("""COMPUTED_VALUE"""),112.01)</f>
        <v>112.01</v>
      </c>
      <c r="F232" s="1">
        <f>IFERROR(__xludf.DUMMYFUNCTION("""COMPUTED_VALUE"""),1000860.0)</f>
        <v>1000860</v>
      </c>
      <c r="G232" s="2" t="s">
        <v>11</v>
      </c>
    </row>
    <row r="233">
      <c r="A233" s="3">
        <f>IFERROR(__xludf.DUMMYFUNCTION("""COMPUTED_VALUE"""),44897.66666666667)</f>
        <v>44897.66667</v>
      </c>
      <c r="B233" s="1">
        <f>IFERROR(__xludf.DUMMYFUNCTION("""COMPUTED_VALUE"""),111.16)</f>
        <v>111.16</v>
      </c>
      <c r="C233" s="1">
        <f>IFERROR(__xludf.DUMMYFUNCTION("""COMPUTED_VALUE"""),112.49)</f>
        <v>112.49</v>
      </c>
      <c r="D233" s="1">
        <f>IFERROR(__xludf.DUMMYFUNCTION("""COMPUTED_VALUE"""),110.64)</f>
        <v>110.64</v>
      </c>
      <c r="E233" s="1">
        <f>IFERROR(__xludf.DUMMYFUNCTION("""COMPUTED_VALUE"""),112.03)</f>
        <v>112.03</v>
      </c>
      <c r="F233" s="1">
        <f>IFERROR(__xludf.DUMMYFUNCTION("""COMPUTED_VALUE"""),906897.0)</f>
        <v>906897</v>
      </c>
      <c r="G233" s="2" t="s">
        <v>11</v>
      </c>
    </row>
    <row r="234">
      <c r="A234" s="3">
        <f>IFERROR(__xludf.DUMMYFUNCTION("""COMPUTED_VALUE"""),44900.66666666667)</f>
        <v>44900.66667</v>
      </c>
      <c r="B234" s="1">
        <f>IFERROR(__xludf.DUMMYFUNCTION("""COMPUTED_VALUE"""),110.76)</f>
        <v>110.76</v>
      </c>
      <c r="C234" s="1">
        <f>IFERROR(__xludf.DUMMYFUNCTION("""COMPUTED_VALUE"""),111.25)</f>
        <v>111.25</v>
      </c>
      <c r="D234" s="1">
        <f>IFERROR(__xludf.DUMMYFUNCTION("""COMPUTED_VALUE"""),109.95)</f>
        <v>109.95</v>
      </c>
      <c r="E234" s="1">
        <f>IFERROR(__xludf.DUMMYFUNCTION("""COMPUTED_VALUE"""),110.27)</f>
        <v>110.27</v>
      </c>
      <c r="F234" s="1">
        <f>IFERROR(__xludf.DUMMYFUNCTION("""COMPUTED_VALUE"""),661183.0)</f>
        <v>661183</v>
      </c>
      <c r="G234" s="2" t="s">
        <v>11</v>
      </c>
    </row>
    <row r="235">
      <c r="A235" s="3">
        <f>IFERROR(__xludf.DUMMYFUNCTION("""COMPUTED_VALUE"""),44901.66666666667)</f>
        <v>44901.66667</v>
      </c>
      <c r="B235" s="1">
        <f>IFERROR(__xludf.DUMMYFUNCTION("""COMPUTED_VALUE"""),109.49)</f>
        <v>109.49</v>
      </c>
      <c r="C235" s="1">
        <f>IFERROR(__xludf.DUMMYFUNCTION("""COMPUTED_VALUE"""),109.49)</f>
        <v>109.49</v>
      </c>
      <c r="D235" s="1">
        <f>IFERROR(__xludf.DUMMYFUNCTION("""COMPUTED_VALUE"""),107.28)</f>
        <v>107.28</v>
      </c>
      <c r="E235" s="1">
        <f>IFERROR(__xludf.DUMMYFUNCTION("""COMPUTED_VALUE"""),107.77)</f>
        <v>107.77</v>
      </c>
      <c r="F235" s="1">
        <f>IFERROR(__xludf.DUMMYFUNCTION("""COMPUTED_VALUE"""),870997.0)</f>
        <v>870997</v>
      </c>
      <c r="G235" s="2" t="s">
        <v>11</v>
      </c>
    </row>
    <row r="236">
      <c r="A236" s="3">
        <f>IFERROR(__xludf.DUMMYFUNCTION("""COMPUTED_VALUE"""),44902.66666666667)</f>
        <v>44902.66667</v>
      </c>
      <c r="B236" s="1">
        <f>IFERROR(__xludf.DUMMYFUNCTION("""COMPUTED_VALUE"""),107.49)</f>
        <v>107.49</v>
      </c>
      <c r="C236" s="1">
        <f>IFERROR(__xludf.DUMMYFUNCTION("""COMPUTED_VALUE"""),108.06)</f>
        <v>108.06</v>
      </c>
      <c r="D236" s="1">
        <f>IFERROR(__xludf.DUMMYFUNCTION("""COMPUTED_VALUE"""),106.75)</f>
        <v>106.75</v>
      </c>
      <c r="E236" s="1">
        <f>IFERROR(__xludf.DUMMYFUNCTION("""COMPUTED_VALUE"""),107.87)</f>
        <v>107.87</v>
      </c>
      <c r="F236" s="1">
        <f>IFERROR(__xludf.DUMMYFUNCTION("""COMPUTED_VALUE"""),1010535.0)</f>
        <v>1010535</v>
      </c>
      <c r="G236" s="2" t="s">
        <v>11</v>
      </c>
    </row>
    <row r="237">
      <c r="A237" s="3">
        <f>IFERROR(__xludf.DUMMYFUNCTION("""COMPUTED_VALUE"""),44903.66666666667)</f>
        <v>44903.66667</v>
      </c>
      <c r="B237" s="1">
        <f>IFERROR(__xludf.DUMMYFUNCTION("""COMPUTED_VALUE"""),107.16)</f>
        <v>107.16</v>
      </c>
      <c r="C237" s="1">
        <f>IFERROR(__xludf.DUMMYFUNCTION("""COMPUTED_VALUE"""),108.36)</f>
        <v>108.36</v>
      </c>
      <c r="D237" s="1">
        <f>IFERROR(__xludf.DUMMYFUNCTION("""COMPUTED_VALUE"""),106.55)</f>
        <v>106.55</v>
      </c>
      <c r="E237" s="1">
        <f>IFERROR(__xludf.DUMMYFUNCTION("""COMPUTED_VALUE"""),107.82)</f>
        <v>107.82</v>
      </c>
      <c r="F237" s="1">
        <f>IFERROR(__xludf.DUMMYFUNCTION("""COMPUTED_VALUE"""),902639.0)</f>
        <v>902639</v>
      </c>
      <c r="G237" s="2" t="s">
        <v>11</v>
      </c>
    </row>
    <row r="238">
      <c r="A238" s="3">
        <f>IFERROR(__xludf.DUMMYFUNCTION("""COMPUTED_VALUE"""),44904.66666666667)</f>
        <v>44904.66667</v>
      </c>
      <c r="B238" s="1">
        <f>IFERROR(__xludf.DUMMYFUNCTION("""COMPUTED_VALUE"""),107.47)</f>
        <v>107.47</v>
      </c>
      <c r="C238" s="1">
        <f>IFERROR(__xludf.DUMMYFUNCTION("""COMPUTED_VALUE"""),108.05)</f>
        <v>108.05</v>
      </c>
      <c r="D238" s="1">
        <f>IFERROR(__xludf.DUMMYFUNCTION("""COMPUTED_VALUE"""),107.23)</f>
        <v>107.23</v>
      </c>
      <c r="E238" s="1">
        <f>IFERROR(__xludf.DUMMYFUNCTION("""COMPUTED_VALUE"""),107.29)</f>
        <v>107.29</v>
      </c>
      <c r="F238" s="1">
        <f>IFERROR(__xludf.DUMMYFUNCTION("""COMPUTED_VALUE"""),543207.0)</f>
        <v>543207</v>
      </c>
      <c r="G238" s="2" t="s">
        <v>11</v>
      </c>
    </row>
    <row r="239">
      <c r="A239" s="3">
        <f>IFERROR(__xludf.DUMMYFUNCTION("""COMPUTED_VALUE"""),44907.66666666667)</f>
        <v>44907.66667</v>
      </c>
      <c r="B239" s="1">
        <f>IFERROR(__xludf.DUMMYFUNCTION("""COMPUTED_VALUE"""),107.22)</f>
        <v>107.22</v>
      </c>
      <c r="C239" s="1">
        <f>IFERROR(__xludf.DUMMYFUNCTION("""COMPUTED_VALUE"""),108.38)</f>
        <v>108.38</v>
      </c>
      <c r="D239" s="1">
        <f>IFERROR(__xludf.DUMMYFUNCTION("""COMPUTED_VALUE"""),107.17)</f>
        <v>107.17</v>
      </c>
      <c r="E239" s="1">
        <f>IFERROR(__xludf.DUMMYFUNCTION("""COMPUTED_VALUE"""),108.36)</f>
        <v>108.36</v>
      </c>
      <c r="F239" s="1">
        <f>IFERROR(__xludf.DUMMYFUNCTION("""COMPUTED_VALUE"""),951715.0)</f>
        <v>951715</v>
      </c>
      <c r="G239" s="2" t="s">
        <v>11</v>
      </c>
    </row>
    <row r="240">
      <c r="A240" s="3">
        <f>IFERROR(__xludf.DUMMYFUNCTION("""COMPUTED_VALUE"""),44908.66666666667)</f>
        <v>44908.66667</v>
      </c>
      <c r="B240" s="1">
        <f>IFERROR(__xludf.DUMMYFUNCTION("""COMPUTED_VALUE"""),112.22)</f>
        <v>112.22</v>
      </c>
      <c r="C240" s="1">
        <f>IFERROR(__xludf.DUMMYFUNCTION("""COMPUTED_VALUE"""),112.82)</f>
        <v>112.82</v>
      </c>
      <c r="D240" s="1">
        <f>IFERROR(__xludf.DUMMYFUNCTION("""COMPUTED_VALUE"""),109.31)</f>
        <v>109.31</v>
      </c>
      <c r="E240" s="1">
        <f>IFERROR(__xludf.DUMMYFUNCTION("""COMPUTED_VALUE"""),109.81)</f>
        <v>109.81</v>
      </c>
      <c r="F240" s="1">
        <f>IFERROR(__xludf.DUMMYFUNCTION("""COMPUTED_VALUE"""),1050870.0)</f>
        <v>1050870</v>
      </c>
      <c r="G240" s="2" t="s">
        <v>11</v>
      </c>
    </row>
    <row r="241">
      <c r="A241" s="3">
        <f>IFERROR(__xludf.DUMMYFUNCTION("""COMPUTED_VALUE"""),44909.66666666667)</f>
        <v>44909.66667</v>
      </c>
      <c r="B241" s="1">
        <f>IFERROR(__xludf.DUMMYFUNCTION("""COMPUTED_VALUE"""),109.88)</f>
        <v>109.88</v>
      </c>
      <c r="C241" s="1">
        <f>IFERROR(__xludf.DUMMYFUNCTION("""COMPUTED_VALUE"""),111.0)</f>
        <v>111</v>
      </c>
      <c r="D241" s="1">
        <f>IFERROR(__xludf.DUMMYFUNCTION("""COMPUTED_VALUE"""),109.01)</f>
        <v>109.01</v>
      </c>
      <c r="E241" s="1">
        <f>IFERROR(__xludf.DUMMYFUNCTION("""COMPUTED_VALUE"""),109.71)</f>
        <v>109.71</v>
      </c>
      <c r="F241" s="1">
        <f>IFERROR(__xludf.DUMMYFUNCTION("""COMPUTED_VALUE"""),707480.0)</f>
        <v>707480</v>
      </c>
      <c r="G241" s="2" t="s">
        <v>11</v>
      </c>
    </row>
    <row r="242">
      <c r="A242" s="3">
        <f>IFERROR(__xludf.DUMMYFUNCTION("""COMPUTED_VALUE"""),44910.66666666667)</f>
        <v>44910.66667</v>
      </c>
      <c r="B242" s="1">
        <f>IFERROR(__xludf.DUMMYFUNCTION("""COMPUTED_VALUE"""),107.89)</f>
        <v>107.89</v>
      </c>
      <c r="C242" s="1">
        <f>IFERROR(__xludf.DUMMYFUNCTION("""COMPUTED_VALUE"""),108.08)</f>
        <v>108.08</v>
      </c>
      <c r="D242" s="1">
        <f>IFERROR(__xludf.DUMMYFUNCTION("""COMPUTED_VALUE"""),105.35)</f>
        <v>105.35</v>
      </c>
      <c r="E242" s="1">
        <f>IFERROR(__xludf.DUMMYFUNCTION("""COMPUTED_VALUE"""),105.58)</f>
        <v>105.58</v>
      </c>
      <c r="F242" s="1">
        <f>IFERROR(__xludf.DUMMYFUNCTION("""COMPUTED_VALUE"""),928369.0)</f>
        <v>928369</v>
      </c>
      <c r="G242" s="2" t="s">
        <v>11</v>
      </c>
    </row>
    <row r="243">
      <c r="A243" s="3">
        <f>IFERROR(__xludf.DUMMYFUNCTION("""COMPUTED_VALUE"""),44911.66666666667)</f>
        <v>44911.66667</v>
      </c>
      <c r="B243" s="1">
        <f>IFERROR(__xludf.DUMMYFUNCTION("""COMPUTED_VALUE"""),104.71)</f>
        <v>104.71</v>
      </c>
      <c r="C243" s="1">
        <f>IFERROR(__xludf.DUMMYFUNCTION("""COMPUTED_VALUE"""),105.5)</f>
        <v>105.5</v>
      </c>
      <c r="D243" s="1">
        <f>IFERROR(__xludf.DUMMYFUNCTION("""COMPUTED_VALUE"""),104.11)</f>
        <v>104.11</v>
      </c>
      <c r="E243" s="1">
        <f>IFERROR(__xludf.DUMMYFUNCTION("""COMPUTED_VALUE"""),105.36)</f>
        <v>105.36</v>
      </c>
      <c r="F243" s="1">
        <f>IFERROR(__xludf.DUMMYFUNCTION("""COMPUTED_VALUE"""),1505621.0)</f>
        <v>1505621</v>
      </c>
      <c r="G243" s="2" t="s">
        <v>11</v>
      </c>
    </row>
    <row r="244">
      <c r="A244" s="3">
        <f>IFERROR(__xludf.DUMMYFUNCTION("""COMPUTED_VALUE"""),44914.66666666667)</f>
        <v>44914.66667</v>
      </c>
      <c r="B244" s="1">
        <f>IFERROR(__xludf.DUMMYFUNCTION("""COMPUTED_VALUE"""),105.37)</f>
        <v>105.37</v>
      </c>
      <c r="C244" s="1">
        <f>IFERROR(__xludf.DUMMYFUNCTION("""COMPUTED_VALUE"""),105.5)</f>
        <v>105.5</v>
      </c>
      <c r="D244" s="1">
        <f>IFERROR(__xludf.DUMMYFUNCTION("""COMPUTED_VALUE"""),103.97)</f>
        <v>103.97</v>
      </c>
      <c r="E244" s="1">
        <f>IFERROR(__xludf.DUMMYFUNCTION("""COMPUTED_VALUE"""),104.3)</f>
        <v>104.3</v>
      </c>
      <c r="F244" s="1">
        <f>IFERROR(__xludf.DUMMYFUNCTION("""COMPUTED_VALUE"""),886153.0)</f>
        <v>886153</v>
      </c>
      <c r="G244" s="2" t="s">
        <v>11</v>
      </c>
    </row>
    <row r="245">
      <c r="A245" s="3">
        <f>IFERROR(__xludf.DUMMYFUNCTION("""COMPUTED_VALUE"""),44915.66666666667)</f>
        <v>44915.66667</v>
      </c>
      <c r="B245" s="1">
        <f>IFERROR(__xludf.DUMMYFUNCTION("""COMPUTED_VALUE"""),103.91)</f>
        <v>103.91</v>
      </c>
      <c r="C245" s="1">
        <f>IFERROR(__xludf.DUMMYFUNCTION("""COMPUTED_VALUE"""),104.54)</f>
        <v>104.54</v>
      </c>
      <c r="D245" s="1">
        <f>IFERROR(__xludf.DUMMYFUNCTION("""COMPUTED_VALUE"""),103.6)</f>
        <v>103.6</v>
      </c>
      <c r="E245" s="1">
        <f>IFERROR(__xludf.DUMMYFUNCTION("""COMPUTED_VALUE"""),104.49)</f>
        <v>104.49</v>
      </c>
      <c r="F245" s="1">
        <f>IFERROR(__xludf.DUMMYFUNCTION("""COMPUTED_VALUE"""),1162332.0)</f>
        <v>1162332</v>
      </c>
      <c r="G245" s="2" t="s">
        <v>11</v>
      </c>
    </row>
    <row r="246">
      <c r="A246" s="3">
        <f>IFERROR(__xludf.DUMMYFUNCTION("""COMPUTED_VALUE"""),44916.66666666667)</f>
        <v>44916.66667</v>
      </c>
      <c r="B246" s="1">
        <f>IFERROR(__xludf.DUMMYFUNCTION("""COMPUTED_VALUE"""),104.81)</f>
        <v>104.81</v>
      </c>
      <c r="C246" s="1">
        <f>IFERROR(__xludf.DUMMYFUNCTION("""COMPUTED_VALUE"""),105.56)</f>
        <v>105.56</v>
      </c>
      <c r="D246" s="1">
        <f>IFERROR(__xludf.DUMMYFUNCTION("""COMPUTED_VALUE"""),104.49)</f>
        <v>104.49</v>
      </c>
      <c r="E246" s="1">
        <f>IFERROR(__xludf.DUMMYFUNCTION("""COMPUTED_VALUE"""),104.8)</f>
        <v>104.8</v>
      </c>
      <c r="F246" s="1">
        <f>IFERROR(__xludf.DUMMYFUNCTION("""COMPUTED_VALUE"""),756724.0)</f>
        <v>756724</v>
      </c>
      <c r="G246" s="2" t="s">
        <v>11</v>
      </c>
    </row>
    <row r="247">
      <c r="A247" s="3">
        <f>IFERROR(__xludf.DUMMYFUNCTION("""COMPUTED_VALUE"""),44917.66666666667)</f>
        <v>44917.66667</v>
      </c>
      <c r="B247" s="1">
        <f>IFERROR(__xludf.DUMMYFUNCTION("""COMPUTED_VALUE"""),104.18)</f>
        <v>104.18</v>
      </c>
      <c r="C247" s="1">
        <f>IFERROR(__xludf.DUMMYFUNCTION("""COMPUTED_VALUE"""),104.23)</f>
        <v>104.23</v>
      </c>
      <c r="D247" s="1">
        <f>IFERROR(__xludf.DUMMYFUNCTION("""COMPUTED_VALUE"""),102.65)</f>
        <v>102.65</v>
      </c>
      <c r="E247" s="1">
        <f>IFERROR(__xludf.DUMMYFUNCTION("""COMPUTED_VALUE"""),103.98)</f>
        <v>103.98</v>
      </c>
      <c r="F247" s="1">
        <f>IFERROR(__xludf.DUMMYFUNCTION("""COMPUTED_VALUE"""),981584.0)</f>
        <v>981584</v>
      </c>
      <c r="G247" s="2" t="s">
        <v>11</v>
      </c>
    </row>
    <row r="248">
      <c r="A248" s="3">
        <f>IFERROR(__xludf.DUMMYFUNCTION("""COMPUTED_VALUE"""),44918.66666666667)</f>
        <v>44918.66667</v>
      </c>
      <c r="B248" s="1">
        <f>IFERROR(__xludf.DUMMYFUNCTION("""COMPUTED_VALUE"""),103.22)</f>
        <v>103.22</v>
      </c>
      <c r="C248" s="1">
        <f>IFERROR(__xludf.DUMMYFUNCTION("""COMPUTED_VALUE"""),103.71)</f>
        <v>103.71</v>
      </c>
      <c r="D248" s="1">
        <f>IFERROR(__xludf.DUMMYFUNCTION("""COMPUTED_VALUE"""),102.66)</f>
        <v>102.66</v>
      </c>
      <c r="E248" s="1">
        <f>IFERROR(__xludf.DUMMYFUNCTION("""COMPUTED_VALUE"""),103.5)</f>
        <v>103.5</v>
      </c>
      <c r="F248" s="1">
        <f>IFERROR(__xludf.DUMMYFUNCTION("""COMPUTED_VALUE"""),760582.0)</f>
        <v>760582</v>
      </c>
      <c r="G248" s="2" t="s">
        <v>11</v>
      </c>
    </row>
    <row r="249">
      <c r="A249" s="3">
        <f>IFERROR(__xludf.DUMMYFUNCTION("""COMPUTED_VALUE"""),44922.66666666667)</f>
        <v>44922.66667</v>
      </c>
      <c r="B249" s="1">
        <f>IFERROR(__xludf.DUMMYFUNCTION("""COMPUTED_VALUE"""),103.33)</f>
        <v>103.33</v>
      </c>
      <c r="C249" s="1">
        <f>IFERROR(__xludf.DUMMYFUNCTION("""COMPUTED_VALUE"""),103.88)</f>
        <v>103.88</v>
      </c>
      <c r="D249" s="1">
        <f>IFERROR(__xludf.DUMMYFUNCTION("""COMPUTED_VALUE"""),102.77)</f>
        <v>102.77</v>
      </c>
      <c r="E249" s="1">
        <f>IFERROR(__xludf.DUMMYFUNCTION("""COMPUTED_VALUE"""),103.34)</f>
        <v>103.34</v>
      </c>
      <c r="F249" s="1">
        <f>IFERROR(__xludf.DUMMYFUNCTION("""COMPUTED_VALUE"""),523535.0)</f>
        <v>523535</v>
      </c>
      <c r="G249" s="2" t="s">
        <v>11</v>
      </c>
    </row>
    <row r="250">
      <c r="A250" s="3">
        <f>IFERROR(__xludf.DUMMYFUNCTION("""COMPUTED_VALUE"""),44923.66666666667)</f>
        <v>44923.66667</v>
      </c>
      <c r="B250" s="1">
        <f>IFERROR(__xludf.DUMMYFUNCTION("""COMPUTED_VALUE"""),102.87)</f>
        <v>102.87</v>
      </c>
      <c r="C250" s="1">
        <f>IFERROR(__xludf.DUMMYFUNCTION("""COMPUTED_VALUE"""),103.43)</f>
        <v>103.43</v>
      </c>
      <c r="D250" s="1">
        <f>IFERROR(__xludf.DUMMYFUNCTION("""COMPUTED_VALUE"""),101.78)</f>
        <v>101.78</v>
      </c>
      <c r="E250" s="1">
        <f>IFERROR(__xludf.DUMMYFUNCTION("""COMPUTED_VALUE"""),101.81)</f>
        <v>101.81</v>
      </c>
      <c r="F250" s="1">
        <f>IFERROR(__xludf.DUMMYFUNCTION("""COMPUTED_VALUE"""),635395.0)</f>
        <v>635395</v>
      </c>
      <c r="G250" s="2" t="s">
        <v>11</v>
      </c>
    </row>
    <row r="251">
      <c r="A251" s="3">
        <f>IFERROR(__xludf.DUMMYFUNCTION("""COMPUTED_VALUE"""),44924.66666666667)</f>
        <v>44924.66667</v>
      </c>
      <c r="B251" s="1">
        <f>IFERROR(__xludf.DUMMYFUNCTION("""COMPUTED_VALUE"""),103.39)</f>
        <v>103.39</v>
      </c>
      <c r="C251" s="1">
        <f>IFERROR(__xludf.DUMMYFUNCTION("""COMPUTED_VALUE"""),104.35)</f>
        <v>104.35</v>
      </c>
      <c r="D251" s="1">
        <f>IFERROR(__xludf.DUMMYFUNCTION("""COMPUTED_VALUE"""),103.28)</f>
        <v>103.28</v>
      </c>
      <c r="E251" s="1">
        <f>IFERROR(__xludf.DUMMYFUNCTION("""COMPUTED_VALUE"""),104.11)</f>
        <v>104.11</v>
      </c>
      <c r="F251" s="1">
        <f>IFERROR(__xludf.DUMMYFUNCTION("""COMPUTED_VALUE"""),546766.0)</f>
        <v>546766</v>
      </c>
      <c r="G251" s="2" t="s">
        <v>11</v>
      </c>
    </row>
    <row r="252">
      <c r="A252" s="3">
        <f>IFERROR(__xludf.DUMMYFUNCTION("""COMPUTED_VALUE"""),44925.66666666667)</f>
        <v>44925.66667</v>
      </c>
      <c r="B252" s="1">
        <f>IFERROR(__xludf.DUMMYFUNCTION("""COMPUTED_VALUE"""),102.81)</f>
        <v>102.81</v>
      </c>
      <c r="C252" s="1">
        <f>IFERROR(__xludf.DUMMYFUNCTION("""COMPUTED_VALUE"""),103.29)</f>
        <v>103.29</v>
      </c>
      <c r="D252" s="1">
        <f>IFERROR(__xludf.DUMMYFUNCTION("""COMPUTED_VALUE"""),102.36)</f>
        <v>102.36</v>
      </c>
      <c r="E252" s="1">
        <f>IFERROR(__xludf.DUMMYFUNCTION("""COMPUTED_VALUE"""),103.19)</f>
        <v>103.19</v>
      </c>
      <c r="F252" s="1">
        <f>IFERROR(__xludf.DUMMYFUNCTION("""COMPUTED_VALUE"""),442585.0)</f>
        <v>442585</v>
      </c>
      <c r="G252" s="2" t="s">
        <v>11</v>
      </c>
    </row>
    <row r="253">
      <c r="A253" s="3">
        <f>IFERROR(__xludf.DUMMYFUNCTION("""COMPUTED_VALUE"""),44929.66666666667)</f>
        <v>44929.66667</v>
      </c>
      <c r="B253" s="1">
        <f>IFERROR(__xludf.DUMMYFUNCTION("""COMPUTED_VALUE"""),104.04)</f>
        <v>104.04</v>
      </c>
      <c r="C253" s="1">
        <f>IFERROR(__xludf.DUMMYFUNCTION("""COMPUTED_VALUE"""),105.07)</f>
        <v>105.07</v>
      </c>
      <c r="D253" s="1">
        <f>IFERROR(__xludf.DUMMYFUNCTION("""COMPUTED_VALUE"""),103.28)</f>
        <v>103.28</v>
      </c>
      <c r="E253" s="1">
        <f>IFERROR(__xludf.DUMMYFUNCTION("""COMPUTED_VALUE"""),103.98)</f>
        <v>103.98</v>
      </c>
      <c r="F253" s="1">
        <f>IFERROR(__xludf.DUMMYFUNCTION("""COMPUTED_VALUE"""),928761.0)</f>
        <v>928761</v>
      </c>
      <c r="G253" s="2" t="s">
        <v>11</v>
      </c>
    </row>
    <row r="254">
      <c r="A254" s="3">
        <f>IFERROR(__xludf.DUMMYFUNCTION("""COMPUTED_VALUE"""),44930.66666666667)</f>
        <v>44930.66667</v>
      </c>
      <c r="B254" s="1">
        <f>IFERROR(__xludf.DUMMYFUNCTION("""COMPUTED_VALUE"""),107.12)</f>
        <v>107.12</v>
      </c>
      <c r="C254" s="1">
        <f>IFERROR(__xludf.DUMMYFUNCTION("""COMPUTED_VALUE"""),107.17)</f>
        <v>107.17</v>
      </c>
      <c r="D254" s="1">
        <f>IFERROR(__xludf.DUMMYFUNCTION("""COMPUTED_VALUE"""),105.72)</f>
        <v>105.72</v>
      </c>
      <c r="E254" s="1">
        <f>IFERROR(__xludf.DUMMYFUNCTION("""COMPUTED_VALUE"""),106.89)</f>
        <v>106.89</v>
      </c>
      <c r="F254" s="1">
        <f>IFERROR(__xludf.DUMMYFUNCTION("""COMPUTED_VALUE"""),819234.0)</f>
        <v>819234</v>
      </c>
      <c r="G254" s="2" t="s">
        <v>11</v>
      </c>
    </row>
    <row r="255">
      <c r="A255" s="3">
        <f>IFERROR(__xludf.DUMMYFUNCTION("""COMPUTED_VALUE"""),44931.66666666667)</f>
        <v>44931.66667</v>
      </c>
      <c r="B255" s="1">
        <f>IFERROR(__xludf.DUMMYFUNCTION("""COMPUTED_VALUE"""),107.31)</f>
        <v>107.31</v>
      </c>
      <c r="C255" s="1">
        <f>IFERROR(__xludf.DUMMYFUNCTION("""COMPUTED_VALUE"""),107.34)</f>
        <v>107.34</v>
      </c>
      <c r="D255" s="1">
        <f>IFERROR(__xludf.DUMMYFUNCTION("""COMPUTED_VALUE"""),106.0)</f>
        <v>106</v>
      </c>
      <c r="E255" s="1">
        <f>IFERROR(__xludf.DUMMYFUNCTION("""COMPUTED_VALUE"""),106.16)</f>
        <v>106.16</v>
      </c>
      <c r="F255" s="1">
        <f>IFERROR(__xludf.DUMMYFUNCTION("""COMPUTED_VALUE"""),853435.0)</f>
        <v>853435</v>
      </c>
      <c r="G255" s="2" t="s">
        <v>11</v>
      </c>
    </row>
    <row r="256">
      <c r="A256" s="3">
        <f>IFERROR(__xludf.DUMMYFUNCTION("""COMPUTED_VALUE"""),44932.66666666667)</f>
        <v>44932.66667</v>
      </c>
      <c r="B256" s="1">
        <f>IFERROR(__xludf.DUMMYFUNCTION("""COMPUTED_VALUE"""),106.58)</f>
        <v>106.58</v>
      </c>
      <c r="C256" s="1">
        <f>IFERROR(__xludf.DUMMYFUNCTION("""COMPUTED_VALUE"""),109.38)</f>
        <v>109.38</v>
      </c>
      <c r="D256" s="1">
        <f>IFERROR(__xludf.DUMMYFUNCTION("""COMPUTED_VALUE"""),105.5)</f>
        <v>105.5</v>
      </c>
      <c r="E256" s="1">
        <f>IFERROR(__xludf.DUMMYFUNCTION("""COMPUTED_VALUE"""),109.11)</f>
        <v>109.11</v>
      </c>
      <c r="F256" s="1">
        <f>IFERROR(__xludf.DUMMYFUNCTION("""COMPUTED_VALUE"""),821046.0)</f>
        <v>821046</v>
      </c>
      <c r="G256" s="2" t="s">
        <v>11</v>
      </c>
    </row>
    <row r="257">
      <c r="A257" s="3">
        <f>IFERROR(__xludf.DUMMYFUNCTION("""COMPUTED_VALUE"""),44935.66666666667)</f>
        <v>44935.66667</v>
      </c>
      <c r="B257" s="1">
        <f>IFERROR(__xludf.DUMMYFUNCTION("""COMPUTED_VALUE"""),110.7)</f>
        <v>110.7</v>
      </c>
      <c r="C257" s="1">
        <f>IFERROR(__xludf.DUMMYFUNCTION("""COMPUTED_VALUE"""),112.88)</f>
        <v>112.88</v>
      </c>
      <c r="D257" s="1">
        <f>IFERROR(__xludf.DUMMYFUNCTION("""COMPUTED_VALUE"""),110.7)</f>
        <v>110.7</v>
      </c>
      <c r="E257" s="1">
        <f>IFERROR(__xludf.DUMMYFUNCTION("""COMPUTED_VALUE"""),111.44)</f>
        <v>111.44</v>
      </c>
      <c r="F257" s="1">
        <f>IFERROR(__xludf.DUMMYFUNCTION("""COMPUTED_VALUE"""),1481813.0)</f>
        <v>1481813</v>
      </c>
      <c r="G257" s="2" t="s">
        <v>11</v>
      </c>
    </row>
    <row r="258">
      <c r="A258" s="3">
        <f>IFERROR(__xludf.DUMMYFUNCTION("""COMPUTED_VALUE"""),44936.66666666667)</f>
        <v>44936.66667</v>
      </c>
      <c r="B258" s="1">
        <f>IFERROR(__xludf.DUMMYFUNCTION("""COMPUTED_VALUE"""),112.31)</f>
        <v>112.31</v>
      </c>
      <c r="C258" s="1">
        <f>IFERROR(__xludf.DUMMYFUNCTION("""COMPUTED_VALUE"""),113.43)</f>
        <v>113.43</v>
      </c>
      <c r="D258" s="1">
        <f>IFERROR(__xludf.DUMMYFUNCTION("""COMPUTED_VALUE"""),112.02)</f>
        <v>112.02</v>
      </c>
      <c r="E258" s="1">
        <f>IFERROR(__xludf.DUMMYFUNCTION("""COMPUTED_VALUE"""),113.42)</f>
        <v>113.42</v>
      </c>
      <c r="F258" s="1">
        <f>IFERROR(__xludf.DUMMYFUNCTION("""COMPUTED_VALUE"""),1093438.0)</f>
        <v>1093438</v>
      </c>
      <c r="G258" s="2" t="s">
        <v>11</v>
      </c>
    </row>
    <row r="259">
      <c r="A259" s="3">
        <f>IFERROR(__xludf.DUMMYFUNCTION("""COMPUTED_VALUE"""),44937.66666666667)</f>
        <v>44937.66667</v>
      </c>
      <c r="B259" s="1">
        <f>IFERROR(__xludf.DUMMYFUNCTION("""COMPUTED_VALUE"""),114.21)</f>
        <v>114.21</v>
      </c>
      <c r="C259" s="1">
        <f>IFERROR(__xludf.DUMMYFUNCTION("""COMPUTED_VALUE"""),114.92)</f>
        <v>114.92</v>
      </c>
      <c r="D259" s="1">
        <f>IFERROR(__xludf.DUMMYFUNCTION("""COMPUTED_VALUE"""),113.99)</f>
        <v>113.99</v>
      </c>
      <c r="E259" s="1">
        <f>IFERROR(__xludf.DUMMYFUNCTION("""COMPUTED_VALUE"""),114.87)</f>
        <v>114.87</v>
      </c>
      <c r="F259" s="1">
        <f>IFERROR(__xludf.DUMMYFUNCTION("""COMPUTED_VALUE"""),785947.0)</f>
        <v>785947</v>
      </c>
      <c r="G259" s="2" t="s">
        <v>11</v>
      </c>
    </row>
    <row r="260">
      <c r="A260" s="3">
        <f>IFERROR(__xludf.DUMMYFUNCTION("""COMPUTED_VALUE"""),44938.66666666667)</f>
        <v>44938.66667</v>
      </c>
      <c r="B260" s="1">
        <f>IFERROR(__xludf.DUMMYFUNCTION("""COMPUTED_VALUE"""),115.31)</f>
        <v>115.31</v>
      </c>
      <c r="C260" s="1">
        <f>IFERROR(__xludf.DUMMYFUNCTION("""COMPUTED_VALUE"""),116.69)</f>
        <v>116.69</v>
      </c>
      <c r="D260" s="1">
        <f>IFERROR(__xludf.DUMMYFUNCTION("""COMPUTED_VALUE"""),114.13)</f>
        <v>114.13</v>
      </c>
      <c r="E260" s="1">
        <f>IFERROR(__xludf.DUMMYFUNCTION("""COMPUTED_VALUE"""),116.68)</f>
        <v>116.68</v>
      </c>
      <c r="F260" s="1">
        <f>IFERROR(__xludf.DUMMYFUNCTION("""COMPUTED_VALUE"""),1082805.0)</f>
        <v>1082805</v>
      </c>
      <c r="G260" s="2" t="s">
        <v>11</v>
      </c>
    </row>
    <row r="261">
      <c r="A261" s="3">
        <f>IFERROR(__xludf.DUMMYFUNCTION("""COMPUTED_VALUE"""),44939.66666666667)</f>
        <v>44939.66667</v>
      </c>
      <c r="B261" s="1">
        <f>IFERROR(__xludf.DUMMYFUNCTION("""COMPUTED_VALUE"""),115.72)</f>
        <v>115.72</v>
      </c>
      <c r="C261" s="1">
        <f>IFERROR(__xludf.DUMMYFUNCTION("""COMPUTED_VALUE"""),117.15)</f>
        <v>117.15</v>
      </c>
      <c r="D261" s="1">
        <f>IFERROR(__xludf.DUMMYFUNCTION("""COMPUTED_VALUE"""),115.71)</f>
        <v>115.71</v>
      </c>
      <c r="E261" s="1">
        <f>IFERROR(__xludf.DUMMYFUNCTION("""COMPUTED_VALUE"""),117.01)</f>
        <v>117.01</v>
      </c>
      <c r="F261" s="1">
        <f>IFERROR(__xludf.DUMMYFUNCTION("""COMPUTED_VALUE"""),755604.0)</f>
        <v>755604</v>
      </c>
      <c r="G261" s="2" t="s">
        <v>11</v>
      </c>
    </row>
    <row r="262">
      <c r="A262" s="3">
        <f>IFERROR(__xludf.DUMMYFUNCTION("""COMPUTED_VALUE"""),44943.66666666667)</f>
        <v>44943.66667</v>
      </c>
      <c r="B262" s="1">
        <f>IFERROR(__xludf.DUMMYFUNCTION("""COMPUTED_VALUE"""),116.22)</f>
        <v>116.22</v>
      </c>
      <c r="C262" s="1">
        <f>IFERROR(__xludf.DUMMYFUNCTION("""COMPUTED_VALUE"""),117.44)</f>
        <v>117.44</v>
      </c>
      <c r="D262" s="1">
        <f>IFERROR(__xludf.DUMMYFUNCTION("""COMPUTED_VALUE"""),115.74)</f>
        <v>115.74</v>
      </c>
      <c r="E262" s="1">
        <f>IFERROR(__xludf.DUMMYFUNCTION("""COMPUTED_VALUE"""),116.21)</f>
        <v>116.21</v>
      </c>
      <c r="F262" s="1">
        <f>IFERROR(__xludf.DUMMYFUNCTION("""COMPUTED_VALUE"""),826789.0)</f>
        <v>826789</v>
      </c>
      <c r="G262" s="2" t="s">
        <v>11</v>
      </c>
    </row>
    <row r="263">
      <c r="A263" s="3">
        <f>IFERROR(__xludf.DUMMYFUNCTION("""COMPUTED_VALUE"""),44944.66666666667)</f>
        <v>44944.66667</v>
      </c>
      <c r="B263" s="1">
        <f>IFERROR(__xludf.DUMMYFUNCTION("""COMPUTED_VALUE"""),118.06)</f>
        <v>118.06</v>
      </c>
      <c r="C263" s="1">
        <f>IFERROR(__xludf.DUMMYFUNCTION("""COMPUTED_VALUE"""),118.8)</f>
        <v>118.8</v>
      </c>
      <c r="D263" s="1">
        <f>IFERROR(__xludf.DUMMYFUNCTION("""COMPUTED_VALUE"""),116.92)</f>
        <v>116.92</v>
      </c>
      <c r="E263" s="1">
        <f>IFERROR(__xludf.DUMMYFUNCTION("""COMPUTED_VALUE"""),117.08)</f>
        <v>117.08</v>
      </c>
      <c r="F263" s="1">
        <f>IFERROR(__xludf.DUMMYFUNCTION("""COMPUTED_VALUE"""),1394903.0)</f>
        <v>1394903</v>
      </c>
      <c r="G263" s="2" t="s">
        <v>11</v>
      </c>
    </row>
    <row r="264">
      <c r="A264" s="3">
        <f>IFERROR(__xludf.DUMMYFUNCTION("""COMPUTED_VALUE"""),44945.66666666667)</f>
        <v>44945.66667</v>
      </c>
      <c r="B264" s="1">
        <f>IFERROR(__xludf.DUMMYFUNCTION("""COMPUTED_VALUE"""),114.85)</f>
        <v>114.85</v>
      </c>
      <c r="C264" s="1">
        <f>IFERROR(__xludf.DUMMYFUNCTION("""COMPUTED_VALUE"""),116.13)</f>
        <v>116.13</v>
      </c>
      <c r="D264" s="1">
        <f>IFERROR(__xludf.DUMMYFUNCTION("""COMPUTED_VALUE"""),114.65)</f>
        <v>114.65</v>
      </c>
      <c r="E264" s="1">
        <f>IFERROR(__xludf.DUMMYFUNCTION("""COMPUTED_VALUE"""),115.67)</f>
        <v>115.67</v>
      </c>
      <c r="F264" s="1">
        <f>IFERROR(__xludf.DUMMYFUNCTION("""COMPUTED_VALUE"""),891052.0)</f>
        <v>891052</v>
      </c>
      <c r="G264" s="2" t="s">
        <v>11</v>
      </c>
    </row>
    <row r="265">
      <c r="A265" s="3">
        <f>IFERROR(__xludf.DUMMYFUNCTION("""COMPUTED_VALUE"""),44946.66666666667)</f>
        <v>44946.66667</v>
      </c>
      <c r="B265" s="1">
        <f>IFERROR(__xludf.DUMMYFUNCTION("""COMPUTED_VALUE"""),115.56)</f>
        <v>115.56</v>
      </c>
      <c r="C265" s="1">
        <f>IFERROR(__xludf.DUMMYFUNCTION("""COMPUTED_VALUE"""),117.15)</f>
        <v>117.15</v>
      </c>
      <c r="D265" s="1">
        <f>IFERROR(__xludf.DUMMYFUNCTION("""COMPUTED_VALUE"""),115.21)</f>
        <v>115.21</v>
      </c>
      <c r="E265" s="1">
        <f>IFERROR(__xludf.DUMMYFUNCTION("""COMPUTED_VALUE"""),117.12)</f>
        <v>117.12</v>
      </c>
      <c r="F265" s="1">
        <f>IFERROR(__xludf.DUMMYFUNCTION("""COMPUTED_VALUE"""),728454.0)</f>
        <v>728454</v>
      </c>
      <c r="G265" s="2" t="s">
        <v>11</v>
      </c>
    </row>
    <row r="266">
      <c r="A266" s="3">
        <f>IFERROR(__xludf.DUMMYFUNCTION("""COMPUTED_VALUE"""),44949.66666666667)</f>
        <v>44949.66667</v>
      </c>
      <c r="B266" s="1">
        <f>IFERROR(__xludf.DUMMYFUNCTION("""COMPUTED_VALUE"""),115.64)</f>
        <v>115.64</v>
      </c>
      <c r="C266" s="1">
        <f>IFERROR(__xludf.DUMMYFUNCTION("""COMPUTED_VALUE"""),117.02)</f>
        <v>117.02</v>
      </c>
      <c r="D266" s="1">
        <f>IFERROR(__xludf.DUMMYFUNCTION("""COMPUTED_VALUE"""),115.6)</f>
        <v>115.6</v>
      </c>
      <c r="E266" s="1">
        <f>IFERROR(__xludf.DUMMYFUNCTION("""COMPUTED_VALUE"""),116.71)</f>
        <v>116.71</v>
      </c>
      <c r="F266" s="1">
        <f>IFERROR(__xludf.DUMMYFUNCTION("""COMPUTED_VALUE"""),1059925.0)</f>
        <v>1059925</v>
      </c>
      <c r="G266" s="2" t="s">
        <v>11</v>
      </c>
    </row>
    <row r="267">
      <c r="A267" s="3">
        <f>IFERROR(__xludf.DUMMYFUNCTION("""COMPUTED_VALUE"""),44950.66666666667)</f>
        <v>44950.66667</v>
      </c>
      <c r="B267" s="1">
        <f>IFERROR(__xludf.DUMMYFUNCTION("""COMPUTED_VALUE"""),116.04)</f>
        <v>116.04</v>
      </c>
      <c r="C267" s="1">
        <f>IFERROR(__xludf.DUMMYFUNCTION("""COMPUTED_VALUE"""),116.57)</f>
        <v>116.57</v>
      </c>
      <c r="D267" s="1">
        <f>IFERROR(__xludf.DUMMYFUNCTION("""COMPUTED_VALUE"""),115.79)</f>
        <v>115.79</v>
      </c>
      <c r="E267" s="1">
        <f>IFERROR(__xludf.DUMMYFUNCTION("""COMPUTED_VALUE"""),116.19)</f>
        <v>116.19</v>
      </c>
      <c r="F267" s="1">
        <f>IFERROR(__xludf.DUMMYFUNCTION("""COMPUTED_VALUE"""),1022067.0)</f>
        <v>1022067</v>
      </c>
      <c r="G267" s="2" t="s">
        <v>11</v>
      </c>
    </row>
    <row r="268">
      <c r="A268" s="3">
        <f>IFERROR(__xludf.DUMMYFUNCTION("""COMPUTED_VALUE"""),44951.66666666667)</f>
        <v>44951.66667</v>
      </c>
      <c r="B268" s="1">
        <f>IFERROR(__xludf.DUMMYFUNCTION("""COMPUTED_VALUE"""),115.42)</f>
        <v>115.42</v>
      </c>
      <c r="C268" s="1">
        <f>IFERROR(__xludf.DUMMYFUNCTION("""COMPUTED_VALUE"""),116.52)</f>
        <v>116.52</v>
      </c>
      <c r="D268" s="1">
        <f>IFERROR(__xludf.DUMMYFUNCTION("""COMPUTED_VALUE"""),114.51)</f>
        <v>114.51</v>
      </c>
      <c r="E268" s="1">
        <f>IFERROR(__xludf.DUMMYFUNCTION("""COMPUTED_VALUE"""),116.16)</f>
        <v>116.16</v>
      </c>
      <c r="F268" s="1">
        <f>IFERROR(__xludf.DUMMYFUNCTION("""COMPUTED_VALUE"""),1310862.0)</f>
        <v>1310862</v>
      </c>
      <c r="G268" s="2" t="s">
        <v>11</v>
      </c>
    </row>
    <row r="269">
      <c r="A269" s="3">
        <f>IFERROR(__xludf.DUMMYFUNCTION("""COMPUTED_VALUE"""),44952.66666666667)</f>
        <v>44952.66667</v>
      </c>
      <c r="B269" s="1">
        <f>IFERROR(__xludf.DUMMYFUNCTION("""COMPUTED_VALUE"""),112.75)</f>
        <v>112.75</v>
      </c>
      <c r="C269" s="1">
        <f>IFERROR(__xludf.DUMMYFUNCTION("""COMPUTED_VALUE"""),114.69)</f>
        <v>114.69</v>
      </c>
      <c r="D269" s="1">
        <f>IFERROR(__xludf.DUMMYFUNCTION("""COMPUTED_VALUE"""),112.3)</f>
        <v>112.3</v>
      </c>
      <c r="E269" s="1">
        <f>IFERROR(__xludf.DUMMYFUNCTION("""COMPUTED_VALUE"""),114.1)</f>
        <v>114.1</v>
      </c>
      <c r="F269" s="1">
        <f>IFERROR(__xludf.DUMMYFUNCTION("""COMPUTED_VALUE"""),1869697.0)</f>
        <v>1869697</v>
      </c>
      <c r="G269" s="2" t="s">
        <v>11</v>
      </c>
    </row>
    <row r="270">
      <c r="A270" s="3">
        <f>IFERROR(__xludf.DUMMYFUNCTION("""COMPUTED_VALUE"""),44953.66666666667)</f>
        <v>44953.66667</v>
      </c>
      <c r="B270" s="1">
        <f>IFERROR(__xludf.DUMMYFUNCTION("""COMPUTED_VALUE"""),112.55)</f>
        <v>112.55</v>
      </c>
      <c r="C270" s="1">
        <f>IFERROR(__xludf.DUMMYFUNCTION("""COMPUTED_VALUE"""),114.02)</f>
        <v>114.02</v>
      </c>
      <c r="D270" s="1">
        <f>IFERROR(__xludf.DUMMYFUNCTION("""COMPUTED_VALUE"""),112.25)</f>
        <v>112.25</v>
      </c>
      <c r="E270" s="1">
        <f>IFERROR(__xludf.DUMMYFUNCTION("""COMPUTED_VALUE"""),113.21)</f>
        <v>113.21</v>
      </c>
      <c r="F270" s="1">
        <f>IFERROR(__xludf.DUMMYFUNCTION("""COMPUTED_VALUE"""),957898.0)</f>
        <v>957898</v>
      </c>
      <c r="G270" s="2" t="s">
        <v>11</v>
      </c>
    </row>
    <row r="271">
      <c r="A271" s="3">
        <f>IFERROR(__xludf.DUMMYFUNCTION("""COMPUTED_VALUE"""),44956.66666666667)</f>
        <v>44956.66667</v>
      </c>
      <c r="B271" s="1">
        <f>IFERROR(__xludf.DUMMYFUNCTION("""COMPUTED_VALUE"""),116.51)</f>
        <v>116.51</v>
      </c>
      <c r="C271" s="1">
        <f>IFERROR(__xludf.DUMMYFUNCTION("""COMPUTED_VALUE"""),117.06)</f>
        <v>117.06</v>
      </c>
      <c r="D271" s="1">
        <f>IFERROR(__xludf.DUMMYFUNCTION("""COMPUTED_VALUE"""),115.71)</f>
        <v>115.71</v>
      </c>
      <c r="E271" s="1">
        <f>IFERROR(__xludf.DUMMYFUNCTION("""COMPUTED_VALUE"""),116.09)</f>
        <v>116.09</v>
      </c>
      <c r="F271" s="1">
        <f>IFERROR(__xludf.DUMMYFUNCTION("""COMPUTED_VALUE"""),1587784.0)</f>
        <v>1587784</v>
      </c>
      <c r="G271" s="2" t="s">
        <v>11</v>
      </c>
    </row>
    <row r="272">
      <c r="A272" s="3">
        <f>IFERROR(__xludf.DUMMYFUNCTION("""COMPUTED_VALUE"""),44957.66666666667)</f>
        <v>44957.66667</v>
      </c>
      <c r="B272" s="1">
        <f>IFERROR(__xludf.DUMMYFUNCTION("""COMPUTED_VALUE"""),116.63)</f>
        <v>116.63</v>
      </c>
      <c r="C272" s="1">
        <f>IFERROR(__xludf.DUMMYFUNCTION("""COMPUTED_VALUE"""),118.57)</f>
        <v>118.57</v>
      </c>
      <c r="D272" s="1">
        <f>IFERROR(__xludf.DUMMYFUNCTION("""COMPUTED_VALUE"""),116.57)</f>
        <v>116.57</v>
      </c>
      <c r="E272" s="1">
        <f>IFERROR(__xludf.DUMMYFUNCTION("""COMPUTED_VALUE"""),118.53)</f>
        <v>118.53</v>
      </c>
      <c r="F272" s="1">
        <f>IFERROR(__xludf.DUMMYFUNCTION("""COMPUTED_VALUE"""),1270407.0)</f>
        <v>1270407</v>
      </c>
      <c r="G272" s="2" t="s">
        <v>11</v>
      </c>
    </row>
    <row r="273">
      <c r="A273" s="3">
        <f>IFERROR(__xludf.DUMMYFUNCTION("""COMPUTED_VALUE"""),44958.66666666667)</f>
        <v>44958.66667</v>
      </c>
      <c r="B273" s="1">
        <f>IFERROR(__xludf.DUMMYFUNCTION("""COMPUTED_VALUE"""),119.37)</f>
        <v>119.37</v>
      </c>
      <c r="C273" s="1">
        <f>IFERROR(__xludf.DUMMYFUNCTION("""COMPUTED_VALUE"""),121.42)</f>
        <v>121.42</v>
      </c>
      <c r="D273" s="1">
        <f>IFERROR(__xludf.DUMMYFUNCTION("""COMPUTED_VALUE"""),118.3)</f>
        <v>118.3</v>
      </c>
      <c r="E273" s="1">
        <f>IFERROR(__xludf.DUMMYFUNCTION("""COMPUTED_VALUE"""),121.03)</f>
        <v>121.03</v>
      </c>
      <c r="F273" s="1">
        <f>IFERROR(__xludf.DUMMYFUNCTION("""COMPUTED_VALUE"""),853971.0)</f>
        <v>853971</v>
      </c>
      <c r="G273" s="2" t="s">
        <v>11</v>
      </c>
    </row>
    <row r="274">
      <c r="A274" s="3">
        <f>IFERROR(__xludf.DUMMYFUNCTION("""COMPUTED_VALUE"""),44959.66666666667)</f>
        <v>44959.66667</v>
      </c>
      <c r="B274" s="1">
        <f>IFERROR(__xludf.DUMMYFUNCTION("""COMPUTED_VALUE"""),122.71)</f>
        <v>122.71</v>
      </c>
      <c r="C274" s="1">
        <f>IFERROR(__xludf.DUMMYFUNCTION("""COMPUTED_VALUE"""),123.28)</f>
        <v>123.28</v>
      </c>
      <c r="D274" s="1">
        <f>IFERROR(__xludf.DUMMYFUNCTION("""COMPUTED_VALUE"""),122.19)</f>
        <v>122.19</v>
      </c>
      <c r="E274" s="1">
        <f>IFERROR(__xludf.DUMMYFUNCTION("""COMPUTED_VALUE"""),122.97)</f>
        <v>122.97</v>
      </c>
      <c r="F274" s="1">
        <f>IFERROR(__xludf.DUMMYFUNCTION("""COMPUTED_VALUE"""),866463.0)</f>
        <v>866463</v>
      </c>
      <c r="G274" s="2" t="s">
        <v>11</v>
      </c>
    </row>
    <row r="275">
      <c r="A275" s="3">
        <f>IFERROR(__xludf.DUMMYFUNCTION("""COMPUTED_VALUE"""),44960.66666666667)</f>
        <v>44960.66667</v>
      </c>
      <c r="B275" s="1">
        <f>IFERROR(__xludf.DUMMYFUNCTION("""COMPUTED_VALUE"""),120.18)</f>
        <v>120.18</v>
      </c>
      <c r="C275" s="1">
        <f>IFERROR(__xludf.DUMMYFUNCTION("""COMPUTED_VALUE"""),121.91)</f>
        <v>121.91</v>
      </c>
      <c r="D275" s="1">
        <f>IFERROR(__xludf.DUMMYFUNCTION("""COMPUTED_VALUE"""),120.09)</f>
        <v>120.09</v>
      </c>
      <c r="E275" s="1">
        <f>IFERROR(__xludf.DUMMYFUNCTION("""COMPUTED_VALUE"""),120.63)</f>
        <v>120.63</v>
      </c>
      <c r="F275" s="1">
        <f>IFERROR(__xludf.DUMMYFUNCTION("""COMPUTED_VALUE"""),1098469.0)</f>
        <v>1098469</v>
      </c>
      <c r="G275" s="2" t="s">
        <v>11</v>
      </c>
    </row>
    <row r="276">
      <c r="A276" s="3">
        <f>IFERROR(__xludf.DUMMYFUNCTION("""COMPUTED_VALUE"""),44963.66666666667)</f>
        <v>44963.66667</v>
      </c>
      <c r="B276" s="1">
        <f>IFERROR(__xludf.DUMMYFUNCTION("""COMPUTED_VALUE"""),119.95)</f>
        <v>119.95</v>
      </c>
      <c r="C276" s="1">
        <f>IFERROR(__xludf.DUMMYFUNCTION("""COMPUTED_VALUE"""),120.29)</f>
        <v>120.29</v>
      </c>
      <c r="D276" s="1">
        <f>IFERROR(__xludf.DUMMYFUNCTION("""COMPUTED_VALUE"""),119.35)</f>
        <v>119.35</v>
      </c>
      <c r="E276" s="1">
        <f>IFERROR(__xludf.DUMMYFUNCTION("""COMPUTED_VALUE"""),119.72)</f>
        <v>119.72</v>
      </c>
      <c r="F276" s="1">
        <f>IFERROR(__xludf.DUMMYFUNCTION("""COMPUTED_VALUE"""),519551.0)</f>
        <v>519551</v>
      </c>
      <c r="G276" s="2" t="s">
        <v>11</v>
      </c>
    </row>
    <row r="277">
      <c r="A277" s="3">
        <f>IFERROR(__xludf.DUMMYFUNCTION("""COMPUTED_VALUE"""),44964.66666666667)</f>
        <v>44964.66667</v>
      </c>
      <c r="B277" s="1">
        <f>IFERROR(__xludf.DUMMYFUNCTION("""COMPUTED_VALUE"""),118.11)</f>
        <v>118.11</v>
      </c>
      <c r="C277" s="1">
        <f>IFERROR(__xludf.DUMMYFUNCTION("""COMPUTED_VALUE"""),120.19)</f>
        <v>120.19</v>
      </c>
      <c r="D277" s="1">
        <f>IFERROR(__xludf.DUMMYFUNCTION("""COMPUTED_VALUE"""),117.82)</f>
        <v>117.82</v>
      </c>
      <c r="E277" s="1">
        <f>IFERROR(__xludf.DUMMYFUNCTION("""COMPUTED_VALUE"""),119.84)</f>
        <v>119.84</v>
      </c>
      <c r="F277" s="1">
        <f>IFERROR(__xludf.DUMMYFUNCTION("""COMPUTED_VALUE"""),538364.0)</f>
        <v>538364</v>
      </c>
      <c r="G277" s="2" t="s">
        <v>11</v>
      </c>
    </row>
    <row r="278">
      <c r="A278" s="3">
        <f>IFERROR(__xludf.DUMMYFUNCTION("""COMPUTED_VALUE"""),44965.66666666667)</f>
        <v>44965.66667</v>
      </c>
      <c r="B278" s="1">
        <f>IFERROR(__xludf.DUMMYFUNCTION("""COMPUTED_VALUE"""),118.64)</f>
        <v>118.64</v>
      </c>
      <c r="C278" s="1">
        <f>IFERROR(__xludf.DUMMYFUNCTION("""COMPUTED_VALUE"""),119.51)</f>
        <v>119.51</v>
      </c>
      <c r="D278" s="1">
        <f>IFERROR(__xludf.DUMMYFUNCTION("""COMPUTED_VALUE"""),118.22)</f>
        <v>118.22</v>
      </c>
      <c r="E278" s="1">
        <f>IFERROR(__xludf.DUMMYFUNCTION("""COMPUTED_VALUE"""),118.61)</f>
        <v>118.61</v>
      </c>
      <c r="F278" s="1">
        <f>IFERROR(__xludf.DUMMYFUNCTION("""COMPUTED_VALUE"""),872221.0)</f>
        <v>872221</v>
      </c>
      <c r="G278" s="2" t="s">
        <v>11</v>
      </c>
    </row>
    <row r="279">
      <c r="A279" s="3">
        <f>IFERROR(__xludf.DUMMYFUNCTION("""COMPUTED_VALUE"""),44966.66666666667)</f>
        <v>44966.66667</v>
      </c>
      <c r="B279" s="1">
        <f>IFERROR(__xludf.DUMMYFUNCTION("""COMPUTED_VALUE"""),120.53)</f>
        <v>120.53</v>
      </c>
      <c r="C279" s="1">
        <f>IFERROR(__xludf.DUMMYFUNCTION("""COMPUTED_VALUE"""),120.64)</f>
        <v>120.64</v>
      </c>
      <c r="D279" s="1">
        <f>IFERROR(__xludf.DUMMYFUNCTION("""COMPUTED_VALUE"""),118.18)</f>
        <v>118.18</v>
      </c>
      <c r="E279" s="1">
        <f>IFERROR(__xludf.DUMMYFUNCTION("""COMPUTED_VALUE"""),118.7)</f>
        <v>118.7</v>
      </c>
      <c r="F279" s="1">
        <f>IFERROR(__xludf.DUMMYFUNCTION("""COMPUTED_VALUE"""),635978.0)</f>
        <v>635978</v>
      </c>
      <c r="G279" s="2" t="s">
        <v>11</v>
      </c>
    </row>
    <row r="280">
      <c r="A280" s="3">
        <f>IFERROR(__xludf.DUMMYFUNCTION("""COMPUTED_VALUE"""),44967.66666666667)</f>
        <v>44967.66667</v>
      </c>
      <c r="B280" s="1">
        <f>IFERROR(__xludf.DUMMYFUNCTION("""COMPUTED_VALUE"""),117.55)</f>
        <v>117.55</v>
      </c>
      <c r="C280" s="1">
        <f>IFERROR(__xludf.DUMMYFUNCTION("""COMPUTED_VALUE"""),117.85)</f>
        <v>117.85</v>
      </c>
      <c r="D280" s="1">
        <f>IFERROR(__xludf.DUMMYFUNCTION("""COMPUTED_VALUE"""),116.8)</f>
        <v>116.8</v>
      </c>
      <c r="E280" s="1">
        <f>IFERROR(__xludf.DUMMYFUNCTION("""COMPUTED_VALUE"""),117.35)</f>
        <v>117.35</v>
      </c>
      <c r="F280" s="1">
        <f>IFERROR(__xludf.DUMMYFUNCTION("""COMPUTED_VALUE"""),661962.0)</f>
        <v>661962</v>
      </c>
      <c r="G280" s="2" t="s">
        <v>11</v>
      </c>
    </row>
    <row r="281">
      <c r="A281" s="3">
        <f>IFERROR(__xludf.DUMMYFUNCTION("""COMPUTED_VALUE"""),44970.66666666667)</f>
        <v>44970.66667</v>
      </c>
      <c r="B281" s="1">
        <f>IFERROR(__xludf.DUMMYFUNCTION("""COMPUTED_VALUE"""),117.53)</f>
        <v>117.53</v>
      </c>
      <c r="C281" s="1">
        <f>IFERROR(__xludf.DUMMYFUNCTION("""COMPUTED_VALUE"""),118.51)</f>
        <v>118.51</v>
      </c>
      <c r="D281" s="1">
        <f>IFERROR(__xludf.DUMMYFUNCTION("""COMPUTED_VALUE"""),117.45)</f>
        <v>117.45</v>
      </c>
      <c r="E281" s="1">
        <f>IFERROR(__xludf.DUMMYFUNCTION("""COMPUTED_VALUE"""),118.48)</f>
        <v>118.48</v>
      </c>
      <c r="F281" s="1">
        <f>IFERROR(__xludf.DUMMYFUNCTION("""COMPUTED_VALUE"""),374226.0)</f>
        <v>374226</v>
      </c>
      <c r="G281" s="2" t="s">
        <v>11</v>
      </c>
    </row>
    <row r="282">
      <c r="A282" s="3">
        <f>IFERROR(__xludf.DUMMYFUNCTION("""COMPUTED_VALUE"""),44971.66666666667)</f>
        <v>44971.66667</v>
      </c>
      <c r="B282" s="1">
        <f>IFERROR(__xludf.DUMMYFUNCTION("""COMPUTED_VALUE"""),117.99)</f>
        <v>117.99</v>
      </c>
      <c r="C282" s="1">
        <f>IFERROR(__xludf.DUMMYFUNCTION("""COMPUTED_VALUE"""),119.64)</f>
        <v>119.64</v>
      </c>
      <c r="D282" s="1">
        <f>IFERROR(__xludf.DUMMYFUNCTION("""COMPUTED_VALUE"""),117.64)</f>
        <v>117.64</v>
      </c>
      <c r="E282" s="1">
        <f>IFERROR(__xludf.DUMMYFUNCTION("""COMPUTED_VALUE"""),118.76)</f>
        <v>118.76</v>
      </c>
      <c r="F282" s="1">
        <f>IFERROR(__xludf.DUMMYFUNCTION("""COMPUTED_VALUE"""),616018.0)</f>
        <v>616018</v>
      </c>
      <c r="G282" s="2" t="s">
        <v>11</v>
      </c>
    </row>
    <row r="283">
      <c r="A283" s="3">
        <f>IFERROR(__xludf.DUMMYFUNCTION("""COMPUTED_VALUE"""),44972.66666666667)</f>
        <v>44972.66667</v>
      </c>
      <c r="B283" s="1">
        <f>IFERROR(__xludf.DUMMYFUNCTION("""COMPUTED_VALUE"""),117.8)</f>
        <v>117.8</v>
      </c>
      <c r="C283" s="1">
        <f>IFERROR(__xludf.DUMMYFUNCTION("""COMPUTED_VALUE"""),119.31)</f>
        <v>119.31</v>
      </c>
      <c r="D283" s="1">
        <f>IFERROR(__xludf.DUMMYFUNCTION("""COMPUTED_VALUE"""),117.73)</f>
        <v>117.73</v>
      </c>
      <c r="E283" s="1">
        <f>IFERROR(__xludf.DUMMYFUNCTION("""COMPUTED_VALUE"""),119.27)</f>
        <v>119.27</v>
      </c>
      <c r="F283" s="1">
        <f>IFERROR(__xludf.DUMMYFUNCTION("""COMPUTED_VALUE"""),669453.0)</f>
        <v>669453</v>
      </c>
      <c r="G283" s="2" t="s">
        <v>11</v>
      </c>
    </row>
    <row r="284">
      <c r="A284" s="3">
        <f>IFERROR(__xludf.DUMMYFUNCTION("""COMPUTED_VALUE"""),44973.66666666667)</f>
        <v>44973.66667</v>
      </c>
      <c r="B284" s="1">
        <f>IFERROR(__xludf.DUMMYFUNCTION("""COMPUTED_VALUE"""),117.58)</f>
        <v>117.58</v>
      </c>
      <c r="C284" s="1">
        <f>IFERROR(__xludf.DUMMYFUNCTION("""COMPUTED_VALUE"""),118.62)</f>
        <v>118.62</v>
      </c>
      <c r="D284" s="1">
        <f>IFERROR(__xludf.DUMMYFUNCTION("""COMPUTED_VALUE"""),117.12)</f>
        <v>117.12</v>
      </c>
      <c r="E284" s="1">
        <f>IFERROR(__xludf.DUMMYFUNCTION("""COMPUTED_VALUE"""),117.96)</f>
        <v>117.96</v>
      </c>
      <c r="F284" s="1">
        <f>IFERROR(__xludf.DUMMYFUNCTION("""COMPUTED_VALUE"""),505005.0)</f>
        <v>505005</v>
      </c>
      <c r="G284" s="2" t="s">
        <v>11</v>
      </c>
    </row>
    <row r="285">
      <c r="A285" s="3">
        <f>IFERROR(__xludf.DUMMYFUNCTION("""COMPUTED_VALUE"""),44974.66666666667)</f>
        <v>44974.66667</v>
      </c>
      <c r="B285" s="1">
        <f>IFERROR(__xludf.DUMMYFUNCTION("""COMPUTED_VALUE"""),116.51)</f>
        <v>116.51</v>
      </c>
      <c r="C285" s="1">
        <f>IFERROR(__xludf.DUMMYFUNCTION("""COMPUTED_VALUE"""),117.44)</f>
        <v>117.44</v>
      </c>
      <c r="D285" s="1">
        <f>IFERROR(__xludf.DUMMYFUNCTION("""COMPUTED_VALUE"""),116.17)</f>
        <v>116.17</v>
      </c>
      <c r="E285" s="1">
        <f>IFERROR(__xludf.DUMMYFUNCTION("""COMPUTED_VALUE"""),117.35)</f>
        <v>117.35</v>
      </c>
      <c r="F285" s="1">
        <f>IFERROR(__xludf.DUMMYFUNCTION("""COMPUTED_VALUE"""),411030.0)</f>
        <v>411030</v>
      </c>
      <c r="G285" s="2" t="s">
        <v>11</v>
      </c>
    </row>
    <row r="286">
      <c r="A286" s="3">
        <f>IFERROR(__xludf.DUMMYFUNCTION("""COMPUTED_VALUE"""),44978.66666666667)</f>
        <v>44978.66667</v>
      </c>
      <c r="B286" s="1">
        <f>IFERROR(__xludf.DUMMYFUNCTION("""COMPUTED_VALUE"""),115.16)</f>
        <v>115.16</v>
      </c>
      <c r="C286" s="1">
        <f>IFERROR(__xludf.DUMMYFUNCTION("""COMPUTED_VALUE"""),115.76)</f>
        <v>115.76</v>
      </c>
      <c r="D286" s="1">
        <f>IFERROR(__xludf.DUMMYFUNCTION("""COMPUTED_VALUE"""),114.72)</f>
        <v>114.72</v>
      </c>
      <c r="E286" s="1">
        <f>IFERROR(__xludf.DUMMYFUNCTION("""COMPUTED_VALUE"""),114.78)</f>
        <v>114.78</v>
      </c>
      <c r="F286" s="1">
        <f>IFERROR(__xludf.DUMMYFUNCTION("""COMPUTED_VALUE"""),867009.0)</f>
        <v>867009</v>
      </c>
      <c r="G286" s="2" t="s">
        <v>11</v>
      </c>
    </row>
    <row r="287">
      <c r="A287" s="3">
        <f>IFERROR(__xludf.DUMMYFUNCTION("""COMPUTED_VALUE"""),44979.66666666667)</f>
        <v>44979.66667</v>
      </c>
      <c r="B287" s="1">
        <f>IFERROR(__xludf.DUMMYFUNCTION("""COMPUTED_VALUE"""),115.53)</f>
        <v>115.53</v>
      </c>
      <c r="C287" s="1">
        <f>IFERROR(__xludf.DUMMYFUNCTION("""COMPUTED_VALUE"""),115.89)</f>
        <v>115.89</v>
      </c>
      <c r="D287" s="1">
        <f>IFERROR(__xludf.DUMMYFUNCTION("""COMPUTED_VALUE"""),114.79)</f>
        <v>114.79</v>
      </c>
      <c r="E287" s="1">
        <f>IFERROR(__xludf.DUMMYFUNCTION("""COMPUTED_VALUE"""),115.26)</f>
        <v>115.26</v>
      </c>
      <c r="F287" s="1">
        <f>IFERROR(__xludf.DUMMYFUNCTION("""COMPUTED_VALUE"""),510583.0)</f>
        <v>510583</v>
      </c>
      <c r="G287" s="2" t="s">
        <v>11</v>
      </c>
    </row>
    <row r="288">
      <c r="A288" s="3">
        <f>IFERROR(__xludf.DUMMYFUNCTION("""COMPUTED_VALUE"""),44980.66666666667)</f>
        <v>44980.66667</v>
      </c>
      <c r="B288" s="1">
        <f>IFERROR(__xludf.DUMMYFUNCTION("""COMPUTED_VALUE"""),116.31)</f>
        <v>116.31</v>
      </c>
      <c r="C288" s="1">
        <f>IFERROR(__xludf.DUMMYFUNCTION("""COMPUTED_VALUE"""),116.77)</f>
        <v>116.77</v>
      </c>
      <c r="D288" s="1">
        <f>IFERROR(__xludf.DUMMYFUNCTION("""COMPUTED_VALUE"""),114.86)</f>
        <v>114.86</v>
      </c>
      <c r="E288" s="1">
        <f>IFERROR(__xludf.DUMMYFUNCTION("""COMPUTED_VALUE"""),116.01)</f>
        <v>116.01</v>
      </c>
      <c r="F288" s="1">
        <f>IFERROR(__xludf.DUMMYFUNCTION("""COMPUTED_VALUE"""),784533.0)</f>
        <v>784533</v>
      </c>
      <c r="G288" s="2" t="s">
        <v>11</v>
      </c>
    </row>
    <row r="289">
      <c r="A289" s="3">
        <f>IFERROR(__xludf.DUMMYFUNCTION("""COMPUTED_VALUE"""),44981.66666666667)</f>
        <v>44981.66667</v>
      </c>
      <c r="B289" s="1">
        <f>IFERROR(__xludf.DUMMYFUNCTION("""COMPUTED_VALUE"""),113.96)</f>
        <v>113.96</v>
      </c>
      <c r="C289" s="1">
        <f>IFERROR(__xludf.DUMMYFUNCTION("""COMPUTED_VALUE"""),114.36)</f>
        <v>114.36</v>
      </c>
      <c r="D289" s="1">
        <f>IFERROR(__xludf.DUMMYFUNCTION("""COMPUTED_VALUE"""),112.57)</f>
        <v>112.57</v>
      </c>
      <c r="E289" s="1">
        <f>IFERROR(__xludf.DUMMYFUNCTION("""COMPUTED_VALUE"""),113.18)</f>
        <v>113.18</v>
      </c>
      <c r="F289" s="1">
        <f>IFERROR(__xludf.DUMMYFUNCTION("""COMPUTED_VALUE"""),991723.0)</f>
        <v>991723</v>
      </c>
      <c r="G289" s="2" t="s">
        <v>11</v>
      </c>
    </row>
    <row r="290">
      <c r="A290" s="3">
        <f>IFERROR(__xludf.DUMMYFUNCTION("""COMPUTED_VALUE"""),44984.66666666667)</f>
        <v>44984.66667</v>
      </c>
      <c r="B290" s="1">
        <f>IFERROR(__xludf.DUMMYFUNCTION("""COMPUTED_VALUE"""),115.18)</f>
        <v>115.18</v>
      </c>
      <c r="C290" s="1">
        <f>IFERROR(__xludf.DUMMYFUNCTION("""COMPUTED_VALUE"""),115.54)</f>
        <v>115.54</v>
      </c>
      <c r="D290" s="1">
        <f>IFERROR(__xludf.DUMMYFUNCTION("""COMPUTED_VALUE"""),114.74)</f>
        <v>114.74</v>
      </c>
      <c r="E290" s="1">
        <f>IFERROR(__xludf.DUMMYFUNCTION("""COMPUTED_VALUE"""),115.13)</f>
        <v>115.13</v>
      </c>
      <c r="F290" s="1">
        <f>IFERROR(__xludf.DUMMYFUNCTION("""COMPUTED_VALUE"""),579932.0)</f>
        <v>579932</v>
      </c>
      <c r="G290" s="2" t="s">
        <v>11</v>
      </c>
    </row>
    <row r="291">
      <c r="A291" s="3">
        <f>IFERROR(__xludf.DUMMYFUNCTION("""COMPUTED_VALUE"""),44985.66666666667)</f>
        <v>44985.66667</v>
      </c>
      <c r="B291" s="1">
        <f>IFERROR(__xludf.DUMMYFUNCTION("""COMPUTED_VALUE"""),114.07)</f>
        <v>114.07</v>
      </c>
      <c r="C291" s="1">
        <f>IFERROR(__xludf.DUMMYFUNCTION("""COMPUTED_VALUE"""),114.84)</f>
        <v>114.84</v>
      </c>
      <c r="D291" s="1">
        <f>IFERROR(__xludf.DUMMYFUNCTION("""COMPUTED_VALUE"""),113.76)</f>
        <v>113.76</v>
      </c>
      <c r="E291" s="1">
        <f>IFERROR(__xludf.DUMMYFUNCTION("""COMPUTED_VALUE"""),113.82)</f>
        <v>113.82</v>
      </c>
      <c r="F291" s="1">
        <f>IFERROR(__xludf.DUMMYFUNCTION("""COMPUTED_VALUE"""),693494.0)</f>
        <v>693494</v>
      </c>
      <c r="G291" s="2" t="s">
        <v>11</v>
      </c>
    </row>
    <row r="292">
      <c r="A292" s="3">
        <f>IFERROR(__xludf.DUMMYFUNCTION("""COMPUTED_VALUE"""),44986.66666666667)</f>
        <v>44986.66667</v>
      </c>
      <c r="B292" s="1">
        <f>IFERROR(__xludf.DUMMYFUNCTION("""COMPUTED_VALUE"""),115.12)</f>
        <v>115.12</v>
      </c>
      <c r="C292" s="1">
        <f>IFERROR(__xludf.DUMMYFUNCTION("""COMPUTED_VALUE"""),115.12)</f>
        <v>115.12</v>
      </c>
      <c r="D292" s="1">
        <f>IFERROR(__xludf.DUMMYFUNCTION("""COMPUTED_VALUE"""),113.4)</f>
        <v>113.4</v>
      </c>
      <c r="E292" s="1">
        <f>IFERROR(__xludf.DUMMYFUNCTION("""COMPUTED_VALUE"""),114.23)</f>
        <v>114.23</v>
      </c>
      <c r="F292" s="1">
        <f>IFERROR(__xludf.DUMMYFUNCTION("""COMPUTED_VALUE"""),848854.0)</f>
        <v>848854</v>
      </c>
      <c r="G292" s="2" t="s">
        <v>11</v>
      </c>
    </row>
    <row r="293">
      <c r="A293" s="3">
        <f>IFERROR(__xludf.DUMMYFUNCTION("""COMPUTED_VALUE"""),44987.66666666667)</f>
        <v>44987.66667</v>
      </c>
      <c r="B293" s="1">
        <f>IFERROR(__xludf.DUMMYFUNCTION("""COMPUTED_VALUE"""),113.05)</f>
        <v>113.05</v>
      </c>
      <c r="C293" s="1">
        <f>IFERROR(__xludf.DUMMYFUNCTION("""COMPUTED_VALUE"""),114.64)</f>
        <v>114.64</v>
      </c>
      <c r="D293" s="1">
        <f>IFERROR(__xludf.DUMMYFUNCTION("""COMPUTED_VALUE"""),113.0)</f>
        <v>113</v>
      </c>
      <c r="E293" s="1">
        <f>IFERROR(__xludf.DUMMYFUNCTION("""COMPUTED_VALUE"""),114.53)</f>
        <v>114.53</v>
      </c>
      <c r="F293" s="1">
        <f>IFERROR(__xludf.DUMMYFUNCTION("""COMPUTED_VALUE"""),664916.0)</f>
        <v>664916</v>
      </c>
      <c r="G293" s="2" t="s">
        <v>11</v>
      </c>
    </row>
    <row r="294">
      <c r="A294" s="3">
        <f>IFERROR(__xludf.DUMMYFUNCTION("""COMPUTED_VALUE"""),44988.66666666667)</f>
        <v>44988.66667</v>
      </c>
      <c r="B294" s="1">
        <f>IFERROR(__xludf.DUMMYFUNCTION("""COMPUTED_VALUE"""),115.86)</f>
        <v>115.86</v>
      </c>
      <c r="C294" s="1">
        <f>IFERROR(__xludf.DUMMYFUNCTION("""COMPUTED_VALUE"""),116.97)</f>
        <v>116.97</v>
      </c>
      <c r="D294" s="1">
        <f>IFERROR(__xludf.DUMMYFUNCTION("""COMPUTED_VALUE"""),115.78)</f>
        <v>115.78</v>
      </c>
      <c r="E294" s="1">
        <f>IFERROR(__xludf.DUMMYFUNCTION("""COMPUTED_VALUE"""),116.9)</f>
        <v>116.9</v>
      </c>
      <c r="F294" s="1">
        <f>IFERROR(__xludf.DUMMYFUNCTION("""COMPUTED_VALUE"""),694527.0)</f>
        <v>694527</v>
      </c>
      <c r="G294" s="2" t="s">
        <v>11</v>
      </c>
    </row>
    <row r="295">
      <c r="A295" s="3">
        <f>IFERROR(__xludf.DUMMYFUNCTION("""COMPUTED_VALUE"""),44991.66666666667)</f>
        <v>44991.66667</v>
      </c>
      <c r="B295" s="1">
        <f>IFERROR(__xludf.DUMMYFUNCTION("""COMPUTED_VALUE"""),119.5)</f>
        <v>119.5</v>
      </c>
      <c r="C295" s="1">
        <f>IFERROR(__xludf.DUMMYFUNCTION("""COMPUTED_VALUE"""),120.21)</f>
        <v>120.21</v>
      </c>
      <c r="D295" s="1">
        <f>IFERROR(__xludf.DUMMYFUNCTION("""COMPUTED_VALUE"""),119.04)</f>
        <v>119.04</v>
      </c>
      <c r="E295" s="1">
        <f>IFERROR(__xludf.DUMMYFUNCTION("""COMPUTED_VALUE"""),119.73)</f>
        <v>119.73</v>
      </c>
      <c r="F295" s="1">
        <f>IFERROR(__xludf.DUMMYFUNCTION("""COMPUTED_VALUE"""),953744.0)</f>
        <v>953744</v>
      </c>
      <c r="G295" s="2" t="s">
        <v>11</v>
      </c>
    </row>
    <row r="296">
      <c r="A296" s="3">
        <f>IFERROR(__xludf.DUMMYFUNCTION("""COMPUTED_VALUE"""),44992.66666666667)</f>
        <v>44992.66667</v>
      </c>
      <c r="B296" s="1">
        <f>IFERROR(__xludf.DUMMYFUNCTION("""COMPUTED_VALUE"""),118.86)</f>
        <v>118.86</v>
      </c>
      <c r="C296" s="1">
        <f>IFERROR(__xludf.DUMMYFUNCTION("""COMPUTED_VALUE"""),118.94)</f>
        <v>118.94</v>
      </c>
      <c r="D296" s="1">
        <f>IFERROR(__xludf.DUMMYFUNCTION("""COMPUTED_VALUE"""),116.6)</f>
        <v>116.6</v>
      </c>
      <c r="E296" s="1">
        <f>IFERROR(__xludf.DUMMYFUNCTION("""COMPUTED_VALUE"""),116.89)</f>
        <v>116.89</v>
      </c>
      <c r="F296" s="1">
        <f>IFERROR(__xludf.DUMMYFUNCTION("""COMPUTED_VALUE"""),469634.0)</f>
        <v>469634</v>
      </c>
      <c r="G296" s="2" t="s">
        <v>11</v>
      </c>
    </row>
    <row r="297">
      <c r="A297" s="3">
        <f>IFERROR(__xludf.DUMMYFUNCTION("""COMPUTED_VALUE"""),44993.66666666667)</f>
        <v>44993.66667</v>
      </c>
      <c r="B297" s="1">
        <f>IFERROR(__xludf.DUMMYFUNCTION("""COMPUTED_VALUE"""),116.72)</f>
        <v>116.72</v>
      </c>
      <c r="C297" s="1">
        <f>IFERROR(__xludf.DUMMYFUNCTION("""COMPUTED_VALUE"""),117.55)</f>
        <v>117.55</v>
      </c>
      <c r="D297" s="1">
        <f>IFERROR(__xludf.DUMMYFUNCTION("""COMPUTED_VALUE"""),116.2)</f>
        <v>116.2</v>
      </c>
      <c r="E297" s="1">
        <f>IFERROR(__xludf.DUMMYFUNCTION("""COMPUTED_VALUE"""),117.41)</f>
        <v>117.41</v>
      </c>
      <c r="F297" s="1">
        <f>IFERROR(__xludf.DUMMYFUNCTION("""COMPUTED_VALUE"""),730066.0)</f>
        <v>730066</v>
      </c>
      <c r="G297" s="2" t="s">
        <v>11</v>
      </c>
    </row>
    <row r="298">
      <c r="A298" s="3">
        <f>IFERROR(__xludf.DUMMYFUNCTION("""COMPUTED_VALUE"""),44994.66666666667)</f>
        <v>44994.66667</v>
      </c>
      <c r="B298" s="1">
        <f>IFERROR(__xludf.DUMMYFUNCTION("""COMPUTED_VALUE"""),117.4)</f>
        <v>117.4</v>
      </c>
      <c r="C298" s="1">
        <f>IFERROR(__xludf.DUMMYFUNCTION("""COMPUTED_VALUE"""),118.5)</f>
        <v>118.5</v>
      </c>
      <c r="D298" s="1">
        <f>IFERROR(__xludf.DUMMYFUNCTION("""COMPUTED_VALUE"""),115.95)</f>
        <v>115.95</v>
      </c>
      <c r="E298" s="1">
        <f>IFERROR(__xludf.DUMMYFUNCTION("""COMPUTED_VALUE"""),115.99)</f>
        <v>115.99</v>
      </c>
      <c r="F298" s="1">
        <f>IFERROR(__xludf.DUMMYFUNCTION("""COMPUTED_VALUE"""),691873.0)</f>
        <v>691873</v>
      </c>
      <c r="G298" s="2" t="s">
        <v>11</v>
      </c>
    </row>
    <row r="299">
      <c r="A299" s="3">
        <f>IFERROR(__xludf.DUMMYFUNCTION("""COMPUTED_VALUE"""),44995.66666666667)</f>
        <v>44995.66667</v>
      </c>
      <c r="B299" s="1">
        <f>IFERROR(__xludf.DUMMYFUNCTION("""COMPUTED_VALUE"""),117.97)</f>
        <v>117.97</v>
      </c>
      <c r="C299" s="1">
        <f>IFERROR(__xludf.DUMMYFUNCTION("""COMPUTED_VALUE"""),118.02)</f>
        <v>118.02</v>
      </c>
      <c r="D299" s="1">
        <f>IFERROR(__xludf.DUMMYFUNCTION("""COMPUTED_VALUE"""),115.23)</f>
        <v>115.23</v>
      </c>
      <c r="E299" s="1">
        <f>IFERROR(__xludf.DUMMYFUNCTION("""COMPUTED_VALUE"""),115.46)</f>
        <v>115.46</v>
      </c>
      <c r="F299" s="1">
        <f>IFERROR(__xludf.DUMMYFUNCTION("""COMPUTED_VALUE"""),1005261.0)</f>
        <v>1005261</v>
      </c>
      <c r="G299" s="2" t="s">
        <v>11</v>
      </c>
    </row>
    <row r="300">
      <c r="A300" s="3">
        <f>IFERROR(__xludf.DUMMYFUNCTION("""COMPUTED_VALUE"""),44998.66666666667)</f>
        <v>44998.66667</v>
      </c>
      <c r="B300" s="1">
        <f>IFERROR(__xludf.DUMMYFUNCTION("""COMPUTED_VALUE"""),114.31)</f>
        <v>114.31</v>
      </c>
      <c r="C300" s="1">
        <f>IFERROR(__xludf.DUMMYFUNCTION("""COMPUTED_VALUE"""),115.81)</f>
        <v>115.81</v>
      </c>
      <c r="D300" s="1">
        <f>IFERROR(__xludf.DUMMYFUNCTION("""COMPUTED_VALUE"""),113.64)</f>
        <v>113.64</v>
      </c>
      <c r="E300" s="1">
        <f>IFERROR(__xludf.DUMMYFUNCTION("""COMPUTED_VALUE"""),115.03)</f>
        <v>115.03</v>
      </c>
      <c r="F300" s="1">
        <f>IFERROR(__xludf.DUMMYFUNCTION("""COMPUTED_VALUE"""),1144659.0)</f>
        <v>1144659</v>
      </c>
      <c r="G300" s="2" t="s">
        <v>11</v>
      </c>
    </row>
    <row r="301">
      <c r="A301" s="3">
        <f>IFERROR(__xludf.DUMMYFUNCTION("""COMPUTED_VALUE"""),44999.66666666667)</f>
        <v>44999.66667</v>
      </c>
      <c r="B301" s="1">
        <f>IFERROR(__xludf.DUMMYFUNCTION("""COMPUTED_VALUE"""),118.07)</f>
        <v>118.07</v>
      </c>
      <c r="C301" s="1">
        <f>IFERROR(__xludf.DUMMYFUNCTION("""COMPUTED_VALUE"""),118.49)</f>
        <v>118.49</v>
      </c>
      <c r="D301" s="1">
        <f>IFERROR(__xludf.DUMMYFUNCTION("""COMPUTED_VALUE"""),117.15)</f>
        <v>117.15</v>
      </c>
      <c r="E301" s="1">
        <f>IFERROR(__xludf.DUMMYFUNCTION("""COMPUTED_VALUE"""),118.12)</f>
        <v>118.12</v>
      </c>
      <c r="F301" s="1">
        <f>IFERROR(__xludf.DUMMYFUNCTION("""COMPUTED_VALUE"""),861994.0)</f>
        <v>861994</v>
      </c>
      <c r="G301" s="2" t="s">
        <v>11</v>
      </c>
    </row>
    <row r="302">
      <c r="A302" s="3">
        <f>IFERROR(__xludf.DUMMYFUNCTION("""COMPUTED_VALUE"""),45000.66666666667)</f>
        <v>45000.66667</v>
      </c>
      <c r="B302" s="1">
        <f>IFERROR(__xludf.DUMMYFUNCTION("""COMPUTED_VALUE"""),114.34)</f>
        <v>114.34</v>
      </c>
      <c r="C302" s="1">
        <f>IFERROR(__xludf.DUMMYFUNCTION("""COMPUTED_VALUE"""),115.7)</f>
        <v>115.7</v>
      </c>
      <c r="D302" s="1">
        <f>IFERROR(__xludf.DUMMYFUNCTION("""COMPUTED_VALUE"""),113.7)</f>
        <v>113.7</v>
      </c>
      <c r="E302" s="1">
        <f>IFERROR(__xludf.DUMMYFUNCTION("""COMPUTED_VALUE"""),115.6)</f>
        <v>115.6</v>
      </c>
      <c r="F302" s="1">
        <f>IFERROR(__xludf.DUMMYFUNCTION("""COMPUTED_VALUE"""),1111311.0)</f>
        <v>1111311</v>
      </c>
      <c r="G302" s="2" t="s">
        <v>11</v>
      </c>
    </row>
    <row r="303">
      <c r="A303" s="3">
        <f>IFERROR(__xludf.DUMMYFUNCTION("""COMPUTED_VALUE"""),45001.66666666667)</f>
        <v>45001.66667</v>
      </c>
      <c r="B303" s="1">
        <f>IFERROR(__xludf.DUMMYFUNCTION("""COMPUTED_VALUE"""),116.38)</f>
        <v>116.38</v>
      </c>
      <c r="C303" s="1">
        <f>IFERROR(__xludf.DUMMYFUNCTION("""COMPUTED_VALUE"""),120.4)</f>
        <v>120.4</v>
      </c>
      <c r="D303" s="1">
        <f>IFERROR(__xludf.DUMMYFUNCTION("""COMPUTED_VALUE"""),116.21)</f>
        <v>116.21</v>
      </c>
      <c r="E303" s="1">
        <f>IFERROR(__xludf.DUMMYFUNCTION("""COMPUTED_VALUE"""),120.3)</f>
        <v>120.3</v>
      </c>
      <c r="F303" s="1">
        <f>IFERROR(__xludf.DUMMYFUNCTION("""COMPUTED_VALUE"""),1054054.0)</f>
        <v>1054054</v>
      </c>
      <c r="G303" s="2" t="s">
        <v>11</v>
      </c>
    </row>
    <row r="304">
      <c r="A304" s="3">
        <f>IFERROR(__xludf.DUMMYFUNCTION("""COMPUTED_VALUE"""),45002.66666666667)</f>
        <v>45002.66667</v>
      </c>
      <c r="B304" s="1">
        <f>IFERROR(__xludf.DUMMYFUNCTION("""COMPUTED_VALUE"""),119.07)</f>
        <v>119.07</v>
      </c>
      <c r="C304" s="1">
        <f>IFERROR(__xludf.DUMMYFUNCTION("""COMPUTED_VALUE"""),120.22)</f>
        <v>120.22</v>
      </c>
      <c r="D304" s="1">
        <f>IFERROR(__xludf.DUMMYFUNCTION("""COMPUTED_VALUE"""),118.09)</f>
        <v>118.09</v>
      </c>
      <c r="E304" s="1">
        <f>IFERROR(__xludf.DUMMYFUNCTION("""COMPUTED_VALUE"""),119.22)</f>
        <v>119.22</v>
      </c>
      <c r="F304" s="1">
        <f>IFERROR(__xludf.DUMMYFUNCTION("""COMPUTED_VALUE"""),1040263.0)</f>
        <v>1040263</v>
      </c>
      <c r="G304" s="2" t="s">
        <v>11</v>
      </c>
    </row>
    <row r="305">
      <c r="A305" s="3">
        <f>IFERROR(__xludf.DUMMYFUNCTION("""COMPUTED_VALUE"""),45005.66666666667)</f>
        <v>45005.66667</v>
      </c>
      <c r="B305" s="1">
        <f>IFERROR(__xludf.DUMMYFUNCTION("""COMPUTED_VALUE"""),121.34)</f>
        <v>121.34</v>
      </c>
      <c r="C305" s="1">
        <f>IFERROR(__xludf.DUMMYFUNCTION("""COMPUTED_VALUE"""),121.48)</f>
        <v>121.48</v>
      </c>
      <c r="D305" s="1">
        <f>IFERROR(__xludf.DUMMYFUNCTION("""COMPUTED_VALUE"""),120.52)</f>
        <v>120.52</v>
      </c>
      <c r="E305" s="1">
        <f>IFERROR(__xludf.DUMMYFUNCTION("""COMPUTED_VALUE"""),121.38)</f>
        <v>121.38</v>
      </c>
      <c r="F305" s="1">
        <f>IFERROR(__xludf.DUMMYFUNCTION("""COMPUTED_VALUE"""),771660.0)</f>
        <v>771660</v>
      </c>
      <c r="G305" s="2" t="s">
        <v>11</v>
      </c>
    </row>
    <row r="306">
      <c r="A306" s="3">
        <f>IFERROR(__xludf.DUMMYFUNCTION("""COMPUTED_VALUE"""),45006.66666666667)</f>
        <v>45006.66667</v>
      </c>
      <c r="B306" s="1">
        <f>IFERROR(__xludf.DUMMYFUNCTION("""COMPUTED_VALUE"""),122.43)</f>
        <v>122.43</v>
      </c>
      <c r="C306" s="1">
        <f>IFERROR(__xludf.DUMMYFUNCTION("""COMPUTED_VALUE"""),123.61)</f>
        <v>123.61</v>
      </c>
      <c r="D306" s="1">
        <f>IFERROR(__xludf.DUMMYFUNCTION("""COMPUTED_VALUE"""),122.12)</f>
        <v>122.12</v>
      </c>
      <c r="E306" s="1">
        <f>IFERROR(__xludf.DUMMYFUNCTION("""COMPUTED_VALUE"""),123.48)</f>
        <v>123.48</v>
      </c>
      <c r="F306" s="1">
        <f>IFERROR(__xludf.DUMMYFUNCTION("""COMPUTED_VALUE"""),594223.0)</f>
        <v>594223</v>
      </c>
      <c r="G306" s="2" t="s">
        <v>11</v>
      </c>
    </row>
    <row r="307">
      <c r="A307" s="3">
        <f>IFERROR(__xludf.DUMMYFUNCTION("""COMPUTED_VALUE"""),45007.66666666667)</f>
        <v>45007.66667</v>
      </c>
      <c r="B307" s="1">
        <f>IFERROR(__xludf.DUMMYFUNCTION("""COMPUTED_VALUE"""),122.82)</f>
        <v>122.82</v>
      </c>
      <c r="C307" s="1">
        <f>IFERROR(__xludf.DUMMYFUNCTION("""COMPUTED_VALUE"""),124.47)</f>
        <v>124.47</v>
      </c>
      <c r="D307" s="1">
        <f>IFERROR(__xludf.DUMMYFUNCTION("""COMPUTED_VALUE"""),122.22)</f>
        <v>122.22</v>
      </c>
      <c r="E307" s="1">
        <f>IFERROR(__xludf.DUMMYFUNCTION("""COMPUTED_VALUE"""),122.24)</f>
        <v>122.24</v>
      </c>
      <c r="F307" s="1">
        <f>IFERROR(__xludf.DUMMYFUNCTION("""COMPUTED_VALUE"""),480554.0)</f>
        <v>480554</v>
      </c>
      <c r="G307" s="2" t="s">
        <v>11</v>
      </c>
    </row>
    <row r="308">
      <c r="A308" s="3">
        <f>IFERROR(__xludf.DUMMYFUNCTION("""COMPUTED_VALUE"""),45008.66666666667)</f>
        <v>45008.66667</v>
      </c>
      <c r="B308" s="1">
        <f>IFERROR(__xludf.DUMMYFUNCTION("""COMPUTED_VALUE"""),124.04)</f>
        <v>124.04</v>
      </c>
      <c r="C308" s="1">
        <f>IFERROR(__xludf.DUMMYFUNCTION("""COMPUTED_VALUE"""),125.28)</f>
        <v>125.28</v>
      </c>
      <c r="D308" s="1">
        <f>IFERROR(__xludf.DUMMYFUNCTION("""COMPUTED_VALUE"""),123.05)</f>
        <v>123.05</v>
      </c>
      <c r="E308" s="1">
        <f>IFERROR(__xludf.DUMMYFUNCTION("""COMPUTED_VALUE"""),123.74)</f>
        <v>123.74</v>
      </c>
      <c r="F308" s="1">
        <f>IFERROR(__xludf.DUMMYFUNCTION("""COMPUTED_VALUE"""),599534.0)</f>
        <v>599534</v>
      </c>
      <c r="G308" s="2" t="s">
        <v>11</v>
      </c>
    </row>
    <row r="309">
      <c r="A309" s="3">
        <f>IFERROR(__xludf.DUMMYFUNCTION("""COMPUTED_VALUE"""),45009.66666666667)</f>
        <v>45009.66667</v>
      </c>
      <c r="B309" s="1">
        <f>IFERROR(__xludf.DUMMYFUNCTION("""COMPUTED_VALUE"""),123.11)</f>
        <v>123.11</v>
      </c>
      <c r="C309" s="1">
        <f>IFERROR(__xludf.DUMMYFUNCTION("""COMPUTED_VALUE"""),123.54)</f>
        <v>123.54</v>
      </c>
      <c r="D309" s="1">
        <f>IFERROR(__xludf.DUMMYFUNCTION("""COMPUTED_VALUE"""),122.03)</f>
        <v>122.03</v>
      </c>
      <c r="E309" s="1">
        <f>IFERROR(__xludf.DUMMYFUNCTION("""COMPUTED_VALUE"""),123.29)</f>
        <v>123.29</v>
      </c>
      <c r="F309" s="1">
        <f>IFERROR(__xludf.DUMMYFUNCTION("""COMPUTED_VALUE"""),907143.0)</f>
        <v>907143</v>
      </c>
      <c r="G309" s="2" t="s">
        <v>11</v>
      </c>
    </row>
    <row r="310">
      <c r="A310" s="3">
        <f>IFERROR(__xludf.DUMMYFUNCTION("""COMPUTED_VALUE"""),45012.66666666667)</f>
        <v>45012.66667</v>
      </c>
      <c r="B310" s="1">
        <f>IFERROR(__xludf.DUMMYFUNCTION("""COMPUTED_VALUE"""),123.85)</f>
        <v>123.85</v>
      </c>
      <c r="C310" s="1">
        <f>IFERROR(__xludf.DUMMYFUNCTION("""COMPUTED_VALUE"""),124.39)</f>
        <v>124.39</v>
      </c>
      <c r="D310" s="1">
        <f>IFERROR(__xludf.DUMMYFUNCTION("""COMPUTED_VALUE"""),122.99)</f>
        <v>122.99</v>
      </c>
      <c r="E310" s="1">
        <f>IFERROR(__xludf.DUMMYFUNCTION("""COMPUTED_VALUE"""),123.25)</f>
        <v>123.25</v>
      </c>
      <c r="F310" s="1">
        <f>IFERROR(__xludf.DUMMYFUNCTION("""COMPUTED_VALUE"""),571071.0)</f>
        <v>571071</v>
      </c>
      <c r="G310" s="2" t="s">
        <v>11</v>
      </c>
    </row>
    <row r="311">
      <c r="A311" s="3">
        <f>IFERROR(__xludf.DUMMYFUNCTION("""COMPUTED_VALUE"""),45013.66666666667)</f>
        <v>45013.66667</v>
      </c>
      <c r="B311" s="1">
        <f>IFERROR(__xludf.DUMMYFUNCTION("""COMPUTED_VALUE"""),123.55)</f>
        <v>123.55</v>
      </c>
      <c r="C311" s="1">
        <f>IFERROR(__xludf.DUMMYFUNCTION("""COMPUTED_VALUE"""),123.65)</f>
        <v>123.65</v>
      </c>
      <c r="D311" s="1">
        <f>IFERROR(__xludf.DUMMYFUNCTION("""COMPUTED_VALUE"""),122.74)</f>
        <v>122.74</v>
      </c>
      <c r="E311" s="1">
        <f>IFERROR(__xludf.DUMMYFUNCTION("""COMPUTED_VALUE"""),123.47)</f>
        <v>123.47</v>
      </c>
      <c r="F311" s="1">
        <f>IFERROR(__xludf.DUMMYFUNCTION("""COMPUTED_VALUE"""),631351.0)</f>
        <v>631351</v>
      </c>
      <c r="G311" s="2" t="s">
        <v>11</v>
      </c>
    </row>
    <row r="312">
      <c r="A312" s="3">
        <f>IFERROR(__xludf.DUMMYFUNCTION("""COMPUTED_VALUE"""),45014.66666666667)</f>
        <v>45014.66667</v>
      </c>
      <c r="B312" s="1">
        <f>IFERROR(__xludf.DUMMYFUNCTION("""COMPUTED_VALUE"""),123.58)</f>
        <v>123.58</v>
      </c>
      <c r="C312" s="1">
        <f>IFERROR(__xludf.DUMMYFUNCTION("""COMPUTED_VALUE"""),124.56)</f>
        <v>124.56</v>
      </c>
      <c r="D312" s="1">
        <f>IFERROR(__xludf.DUMMYFUNCTION("""COMPUTED_VALUE"""),123.54)</f>
        <v>123.54</v>
      </c>
      <c r="E312" s="1">
        <f>IFERROR(__xludf.DUMMYFUNCTION("""COMPUTED_VALUE"""),124.32)</f>
        <v>124.32</v>
      </c>
      <c r="F312" s="1">
        <f>IFERROR(__xludf.DUMMYFUNCTION("""COMPUTED_VALUE"""),915953.0)</f>
        <v>915953</v>
      </c>
      <c r="G312" s="2" t="s">
        <v>11</v>
      </c>
    </row>
    <row r="313">
      <c r="A313" s="3">
        <f>IFERROR(__xludf.DUMMYFUNCTION("""COMPUTED_VALUE"""),45015.66666666667)</f>
        <v>45015.66667</v>
      </c>
      <c r="B313" s="1">
        <f>IFERROR(__xludf.DUMMYFUNCTION("""COMPUTED_VALUE"""),125.51)</f>
        <v>125.51</v>
      </c>
      <c r="C313" s="1">
        <f>IFERROR(__xludf.DUMMYFUNCTION("""COMPUTED_VALUE"""),126.07)</f>
        <v>126.07</v>
      </c>
      <c r="D313" s="1">
        <f>IFERROR(__xludf.DUMMYFUNCTION("""COMPUTED_VALUE"""),125.11)</f>
        <v>125.11</v>
      </c>
      <c r="E313" s="1">
        <f>IFERROR(__xludf.DUMMYFUNCTION("""COMPUTED_VALUE"""),126.07)</f>
        <v>126.07</v>
      </c>
      <c r="F313" s="1">
        <f>IFERROR(__xludf.DUMMYFUNCTION("""COMPUTED_VALUE"""),745979.0)</f>
        <v>745979</v>
      </c>
      <c r="G313" s="2" t="s">
        <v>11</v>
      </c>
    </row>
    <row r="314">
      <c r="A314" s="3">
        <f>IFERROR(__xludf.DUMMYFUNCTION("""COMPUTED_VALUE"""),45016.66666666667)</f>
        <v>45016.66667</v>
      </c>
      <c r="B314" s="1">
        <f>IFERROR(__xludf.DUMMYFUNCTION("""COMPUTED_VALUE"""),125.84)</f>
        <v>125.84</v>
      </c>
      <c r="C314" s="1">
        <f>IFERROR(__xludf.DUMMYFUNCTION("""COMPUTED_VALUE"""),126.77)</f>
        <v>126.77</v>
      </c>
      <c r="D314" s="1">
        <f>IFERROR(__xludf.DUMMYFUNCTION("""COMPUTED_VALUE"""),125.73)</f>
        <v>125.73</v>
      </c>
      <c r="E314" s="1">
        <f>IFERROR(__xludf.DUMMYFUNCTION("""COMPUTED_VALUE"""),126.55)</f>
        <v>126.55</v>
      </c>
      <c r="F314" s="1">
        <f>IFERROR(__xludf.DUMMYFUNCTION("""COMPUTED_VALUE"""),668203.0)</f>
        <v>668203</v>
      </c>
      <c r="G314" s="2" t="s">
        <v>11</v>
      </c>
    </row>
    <row r="315">
      <c r="A315" s="3">
        <f>IFERROR(__xludf.DUMMYFUNCTION("""COMPUTED_VALUE"""),45019.66666666667)</f>
        <v>45019.66667</v>
      </c>
      <c r="B315" s="1">
        <f>IFERROR(__xludf.DUMMYFUNCTION("""COMPUTED_VALUE"""),126.18)</f>
        <v>126.18</v>
      </c>
      <c r="C315" s="1">
        <f>IFERROR(__xludf.DUMMYFUNCTION("""COMPUTED_VALUE"""),126.43)</f>
        <v>126.43</v>
      </c>
      <c r="D315" s="1">
        <f>IFERROR(__xludf.DUMMYFUNCTION("""COMPUTED_VALUE"""),125.57)</f>
        <v>125.57</v>
      </c>
      <c r="E315" s="1">
        <f>IFERROR(__xludf.DUMMYFUNCTION("""COMPUTED_VALUE"""),126.32)</f>
        <v>126.32</v>
      </c>
      <c r="F315" s="1">
        <f>IFERROR(__xludf.DUMMYFUNCTION("""COMPUTED_VALUE"""),876270.0)</f>
        <v>876270</v>
      </c>
      <c r="G315" s="2" t="s">
        <v>11</v>
      </c>
    </row>
    <row r="316">
      <c r="A316" s="3">
        <f>IFERROR(__xludf.DUMMYFUNCTION("""COMPUTED_VALUE"""),45020.66666666667)</f>
        <v>45020.66667</v>
      </c>
      <c r="B316" s="1">
        <f>IFERROR(__xludf.DUMMYFUNCTION("""COMPUTED_VALUE"""),126.95)</f>
        <v>126.95</v>
      </c>
      <c r="C316" s="1">
        <f>IFERROR(__xludf.DUMMYFUNCTION("""COMPUTED_VALUE"""),127.86)</f>
        <v>127.86</v>
      </c>
      <c r="D316" s="1">
        <f>IFERROR(__xludf.DUMMYFUNCTION("""COMPUTED_VALUE"""),126.91)</f>
        <v>126.91</v>
      </c>
      <c r="E316" s="1">
        <f>IFERROR(__xludf.DUMMYFUNCTION("""COMPUTED_VALUE"""),127.81)</f>
        <v>127.81</v>
      </c>
      <c r="F316" s="1">
        <f>IFERROR(__xludf.DUMMYFUNCTION("""COMPUTED_VALUE"""),788170.0)</f>
        <v>788170</v>
      </c>
      <c r="G316" s="2" t="s">
        <v>11</v>
      </c>
    </row>
    <row r="317">
      <c r="A317" s="3">
        <f>IFERROR(__xludf.DUMMYFUNCTION("""COMPUTED_VALUE"""),45021.66666666667)</f>
        <v>45021.66667</v>
      </c>
      <c r="B317" s="1">
        <f>IFERROR(__xludf.DUMMYFUNCTION("""COMPUTED_VALUE"""),128.01)</f>
        <v>128.01</v>
      </c>
      <c r="C317" s="1">
        <f>IFERROR(__xludf.DUMMYFUNCTION("""COMPUTED_VALUE"""),128.23)</f>
        <v>128.23</v>
      </c>
      <c r="D317" s="1">
        <f>IFERROR(__xludf.DUMMYFUNCTION("""COMPUTED_VALUE"""),126.28)</f>
        <v>126.28</v>
      </c>
      <c r="E317" s="1">
        <f>IFERROR(__xludf.DUMMYFUNCTION("""COMPUTED_VALUE"""),126.74)</f>
        <v>126.74</v>
      </c>
      <c r="F317" s="1">
        <f>IFERROR(__xludf.DUMMYFUNCTION("""COMPUTED_VALUE"""),665587.0)</f>
        <v>665587</v>
      </c>
      <c r="G317" s="2" t="s">
        <v>11</v>
      </c>
    </row>
    <row r="318">
      <c r="A318" s="3">
        <f>IFERROR(__xludf.DUMMYFUNCTION("""COMPUTED_VALUE"""),45022.66666666667)</f>
        <v>45022.66667</v>
      </c>
      <c r="B318" s="1">
        <f>IFERROR(__xludf.DUMMYFUNCTION("""COMPUTED_VALUE"""),128.0)</f>
        <v>128</v>
      </c>
      <c r="C318" s="1">
        <f>IFERROR(__xludf.DUMMYFUNCTION("""COMPUTED_VALUE"""),128.88)</f>
        <v>128.88</v>
      </c>
      <c r="D318" s="1">
        <f>IFERROR(__xludf.DUMMYFUNCTION("""COMPUTED_VALUE"""),127.2)</f>
        <v>127.2</v>
      </c>
      <c r="E318" s="1">
        <f>IFERROR(__xludf.DUMMYFUNCTION("""COMPUTED_VALUE"""),128.71)</f>
        <v>128.71</v>
      </c>
      <c r="F318" s="1">
        <f>IFERROR(__xludf.DUMMYFUNCTION("""COMPUTED_VALUE"""),989476.0)</f>
        <v>989476</v>
      </c>
      <c r="G318" s="2" t="s">
        <v>11</v>
      </c>
    </row>
    <row r="319">
      <c r="A319" s="3">
        <f>IFERROR(__xludf.DUMMYFUNCTION("""COMPUTED_VALUE"""),45026.66666666667)</f>
        <v>45026.66667</v>
      </c>
      <c r="B319" s="1">
        <f>IFERROR(__xludf.DUMMYFUNCTION("""COMPUTED_VALUE"""),127.6)</f>
        <v>127.6</v>
      </c>
      <c r="C319" s="1">
        <f>IFERROR(__xludf.DUMMYFUNCTION("""COMPUTED_VALUE"""),127.6)</f>
        <v>127.6</v>
      </c>
      <c r="D319" s="1">
        <f>IFERROR(__xludf.DUMMYFUNCTION("""COMPUTED_VALUE"""),125.8)</f>
        <v>125.8</v>
      </c>
      <c r="E319" s="1">
        <f>IFERROR(__xludf.DUMMYFUNCTION("""COMPUTED_VALUE"""),127.45)</f>
        <v>127.45</v>
      </c>
      <c r="F319" s="1">
        <f>IFERROR(__xludf.DUMMYFUNCTION("""COMPUTED_VALUE"""),604419.0)</f>
        <v>604419</v>
      </c>
      <c r="G319" s="2" t="s">
        <v>11</v>
      </c>
    </row>
    <row r="320">
      <c r="A320" s="3">
        <f>IFERROR(__xludf.DUMMYFUNCTION("""COMPUTED_VALUE"""),45027.66666666667)</f>
        <v>45027.66667</v>
      </c>
      <c r="B320" s="1">
        <f>IFERROR(__xludf.DUMMYFUNCTION("""COMPUTED_VALUE"""),126.69)</f>
        <v>126.69</v>
      </c>
      <c r="C320" s="1">
        <f>IFERROR(__xludf.DUMMYFUNCTION("""COMPUTED_VALUE"""),127.05)</f>
        <v>127.05</v>
      </c>
      <c r="D320" s="1">
        <f>IFERROR(__xludf.DUMMYFUNCTION("""COMPUTED_VALUE"""),126.35)</f>
        <v>126.35</v>
      </c>
      <c r="E320" s="1">
        <f>IFERROR(__xludf.DUMMYFUNCTION("""COMPUTED_VALUE"""),126.54)</f>
        <v>126.54</v>
      </c>
      <c r="F320" s="1">
        <f>IFERROR(__xludf.DUMMYFUNCTION("""COMPUTED_VALUE"""),1146772.0)</f>
        <v>1146772</v>
      </c>
      <c r="G320" s="2" t="s">
        <v>11</v>
      </c>
    </row>
    <row r="321">
      <c r="A321" s="3">
        <f>IFERROR(__xludf.DUMMYFUNCTION("""COMPUTED_VALUE"""),45028.66666666667)</f>
        <v>45028.66667</v>
      </c>
      <c r="B321" s="1">
        <f>IFERROR(__xludf.DUMMYFUNCTION("""COMPUTED_VALUE"""),127.59)</f>
        <v>127.59</v>
      </c>
      <c r="C321" s="1">
        <f>IFERROR(__xludf.DUMMYFUNCTION("""COMPUTED_VALUE"""),128.12)</f>
        <v>128.12</v>
      </c>
      <c r="D321" s="1">
        <f>IFERROR(__xludf.DUMMYFUNCTION("""COMPUTED_VALUE"""),126.79)</f>
        <v>126.79</v>
      </c>
      <c r="E321" s="1">
        <f>IFERROR(__xludf.DUMMYFUNCTION("""COMPUTED_VALUE"""),127.11)</f>
        <v>127.11</v>
      </c>
      <c r="F321" s="1">
        <f>IFERROR(__xludf.DUMMYFUNCTION("""COMPUTED_VALUE"""),1318428.0)</f>
        <v>1318428</v>
      </c>
      <c r="G321" s="2" t="s">
        <v>11</v>
      </c>
    </row>
    <row r="322">
      <c r="A322" s="3">
        <f>IFERROR(__xludf.DUMMYFUNCTION("""COMPUTED_VALUE"""),45029.66666666667)</f>
        <v>45029.66667</v>
      </c>
      <c r="B322" s="1">
        <f>IFERROR(__xludf.DUMMYFUNCTION("""COMPUTED_VALUE"""),127.06)</f>
        <v>127.06</v>
      </c>
      <c r="C322" s="1">
        <f>IFERROR(__xludf.DUMMYFUNCTION("""COMPUTED_VALUE"""),128.49)</f>
        <v>128.49</v>
      </c>
      <c r="D322" s="1">
        <f>IFERROR(__xludf.DUMMYFUNCTION("""COMPUTED_VALUE"""),127.06)</f>
        <v>127.06</v>
      </c>
      <c r="E322" s="1">
        <f>IFERROR(__xludf.DUMMYFUNCTION("""COMPUTED_VALUE"""),128.05)</f>
        <v>128.05</v>
      </c>
      <c r="F322" s="1">
        <f>IFERROR(__xludf.DUMMYFUNCTION("""COMPUTED_VALUE"""),1132137.0)</f>
        <v>1132137</v>
      </c>
      <c r="G322" s="2" t="s">
        <v>11</v>
      </c>
    </row>
    <row r="323">
      <c r="A323" s="3">
        <f>IFERROR(__xludf.DUMMYFUNCTION("""COMPUTED_VALUE"""),45030.66666666667)</f>
        <v>45030.66667</v>
      </c>
      <c r="B323" s="1">
        <f>IFERROR(__xludf.DUMMYFUNCTION("""COMPUTED_VALUE"""),127.72)</f>
        <v>127.72</v>
      </c>
      <c r="C323" s="1">
        <f>IFERROR(__xludf.DUMMYFUNCTION("""COMPUTED_VALUE"""),128.17)</f>
        <v>128.17</v>
      </c>
      <c r="D323" s="1">
        <f>IFERROR(__xludf.DUMMYFUNCTION("""COMPUTED_VALUE"""),126.7)</f>
        <v>126.7</v>
      </c>
      <c r="E323" s="1">
        <f>IFERROR(__xludf.DUMMYFUNCTION("""COMPUTED_VALUE"""),127.42)</f>
        <v>127.42</v>
      </c>
      <c r="F323" s="1">
        <f>IFERROR(__xludf.DUMMYFUNCTION("""COMPUTED_VALUE"""),980031.0)</f>
        <v>980031</v>
      </c>
      <c r="G323" s="2" t="s">
        <v>11</v>
      </c>
    </row>
    <row r="324">
      <c r="A324" s="3">
        <f>IFERROR(__xludf.DUMMYFUNCTION("""COMPUTED_VALUE"""),45033.66666666667)</f>
        <v>45033.66667</v>
      </c>
      <c r="B324" s="1">
        <f>IFERROR(__xludf.DUMMYFUNCTION("""COMPUTED_VALUE"""),127.75)</f>
        <v>127.75</v>
      </c>
      <c r="C324" s="1">
        <f>IFERROR(__xludf.DUMMYFUNCTION("""COMPUTED_VALUE"""),127.95)</f>
        <v>127.95</v>
      </c>
      <c r="D324" s="1">
        <f>IFERROR(__xludf.DUMMYFUNCTION("""COMPUTED_VALUE"""),126.67)</f>
        <v>126.67</v>
      </c>
      <c r="E324" s="1">
        <f>IFERROR(__xludf.DUMMYFUNCTION("""COMPUTED_VALUE"""),127.2)</f>
        <v>127.2</v>
      </c>
      <c r="F324" s="1">
        <f>IFERROR(__xludf.DUMMYFUNCTION("""COMPUTED_VALUE"""),1387851.0)</f>
        <v>1387851</v>
      </c>
      <c r="G324" s="2" t="s">
        <v>11</v>
      </c>
    </row>
    <row r="325">
      <c r="A325" s="3">
        <f>IFERROR(__xludf.DUMMYFUNCTION("""COMPUTED_VALUE"""),45034.66666666667)</f>
        <v>45034.66667</v>
      </c>
      <c r="B325" s="1">
        <f>IFERROR(__xludf.DUMMYFUNCTION("""COMPUTED_VALUE"""),128.13)</f>
        <v>128.13</v>
      </c>
      <c r="C325" s="1">
        <f>IFERROR(__xludf.DUMMYFUNCTION("""COMPUTED_VALUE"""),128.3)</f>
        <v>128.3</v>
      </c>
      <c r="D325" s="1">
        <f>IFERROR(__xludf.DUMMYFUNCTION("""COMPUTED_VALUE"""),127.35)</f>
        <v>127.35</v>
      </c>
      <c r="E325" s="1">
        <f>IFERROR(__xludf.DUMMYFUNCTION("""COMPUTED_VALUE"""),127.64)</f>
        <v>127.64</v>
      </c>
      <c r="F325" s="1">
        <f>IFERROR(__xludf.DUMMYFUNCTION("""COMPUTED_VALUE"""),1417059.0)</f>
        <v>1417059</v>
      </c>
      <c r="G325" s="2" t="s">
        <v>11</v>
      </c>
    </row>
    <row r="326">
      <c r="A326" s="3">
        <f>IFERROR(__xludf.DUMMYFUNCTION("""COMPUTED_VALUE"""),45035.66666666667)</f>
        <v>45035.66667</v>
      </c>
      <c r="B326" s="1">
        <f>IFERROR(__xludf.DUMMYFUNCTION("""COMPUTED_VALUE"""),127.67)</f>
        <v>127.67</v>
      </c>
      <c r="C326" s="1">
        <f>IFERROR(__xludf.DUMMYFUNCTION("""COMPUTED_VALUE"""),127.77)</f>
        <v>127.77</v>
      </c>
      <c r="D326" s="1">
        <f>IFERROR(__xludf.DUMMYFUNCTION("""COMPUTED_VALUE"""),127.06)</f>
        <v>127.06</v>
      </c>
      <c r="E326" s="1">
        <f>IFERROR(__xludf.DUMMYFUNCTION("""COMPUTED_VALUE"""),127.3)</f>
        <v>127.3</v>
      </c>
      <c r="F326" s="1">
        <f>IFERROR(__xludf.DUMMYFUNCTION("""COMPUTED_VALUE"""),1512202.0)</f>
        <v>1512202</v>
      </c>
      <c r="G326" s="2" t="s">
        <v>11</v>
      </c>
    </row>
    <row r="327">
      <c r="A327" s="3">
        <f>IFERROR(__xludf.DUMMYFUNCTION("""COMPUTED_VALUE"""),45036.66666666667)</f>
        <v>45036.66667</v>
      </c>
      <c r="B327" s="1">
        <f>IFERROR(__xludf.DUMMYFUNCTION("""COMPUTED_VALUE"""),126.93)</f>
        <v>126.93</v>
      </c>
      <c r="C327" s="1">
        <f>IFERROR(__xludf.DUMMYFUNCTION("""COMPUTED_VALUE"""),127.72)</f>
        <v>127.72</v>
      </c>
      <c r="D327" s="1">
        <f>IFERROR(__xludf.DUMMYFUNCTION("""COMPUTED_VALUE"""),126.4)</f>
        <v>126.4</v>
      </c>
      <c r="E327" s="1">
        <f>IFERROR(__xludf.DUMMYFUNCTION("""COMPUTED_VALUE"""),126.86)</f>
        <v>126.86</v>
      </c>
      <c r="F327" s="1">
        <f>IFERROR(__xludf.DUMMYFUNCTION("""COMPUTED_VALUE"""),1512413.0)</f>
        <v>1512413</v>
      </c>
      <c r="G327" s="2" t="s">
        <v>11</v>
      </c>
    </row>
    <row r="328">
      <c r="A328" s="3">
        <f>IFERROR(__xludf.DUMMYFUNCTION("""COMPUTED_VALUE"""),45037.66666666667)</f>
        <v>45037.66667</v>
      </c>
      <c r="B328" s="1">
        <f>IFERROR(__xludf.DUMMYFUNCTION("""COMPUTED_VALUE"""),132.13)</f>
        <v>132.13</v>
      </c>
      <c r="C328" s="1">
        <f>IFERROR(__xludf.DUMMYFUNCTION("""COMPUTED_VALUE"""),134.64)</f>
        <v>134.64</v>
      </c>
      <c r="D328" s="1">
        <f>IFERROR(__xludf.DUMMYFUNCTION("""COMPUTED_VALUE"""),131.8)</f>
        <v>131.8</v>
      </c>
      <c r="E328" s="1">
        <f>IFERROR(__xludf.DUMMYFUNCTION("""COMPUTED_VALUE"""),133.95)</f>
        <v>133.95</v>
      </c>
      <c r="F328" s="1">
        <f>IFERROR(__xludf.DUMMYFUNCTION("""COMPUTED_VALUE"""),2742855.0)</f>
        <v>2742855</v>
      </c>
      <c r="G328" s="2" t="s">
        <v>11</v>
      </c>
    </row>
    <row r="329">
      <c r="A329" s="3">
        <f>IFERROR(__xludf.DUMMYFUNCTION("""COMPUTED_VALUE"""),45040.66666666667)</f>
        <v>45040.66667</v>
      </c>
      <c r="B329" s="1">
        <f>IFERROR(__xludf.DUMMYFUNCTION("""COMPUTED_VALUE"""),132.89)</f>
        <v>132.89</v>
      </c>
      <c r="C329" s="1">
        <f>IFERROR(__xludf.DUMMYFUNCTION("""COMPUTED_VALUE"""),133.74)</f>
        <v>133.74</v>
      </c>
      <c r="D329" s="1">
        <f>IFERROR(__xludf.DUMMYFUNCTION("""COMPUTED_VALUE"""),131.92)</f>
        <v>131.92</v>
      </c>
      <c r="E329" s="1">
        <f>IFERROR(__xludf.DUMMYFUNCTION("""COMPUTED_VALUE"""),132.54)</f>
        <v>132.54</v>
      </c>
      <c r="F329" s="1">
        <f>IFERROR(__xludf.DUMMYFUNCTION("""COMPUTED_VALUE"""),1406605.0)</f>
        <v>1406605</v>
      </c>
      <c r="G329" s="2" t="s">
        <v>11</v>
      </c>
    </row>
    <row r="330">
      <c r="A330" s="3">
        <f>IFERROR(__xludf.DUMMYFUNCTION("""COMPUTED_VALUE"""),45041.66666666667)</f>
        <v>45041.66667</v>
      </c>
      <c r="B330" s="1">
        <f>IFERROR(__xludf.DUMMYFUNCTION("""COMPUTED_VALUE"""),134.46)</f>
        <v>134.46</v>
      </c>
      <c r="C330" s="1">
        <f>IFERROR(__xludf.DUMMYFUNCTION("""COMPUTED_VALUE"""),135.67)</f>
        <v>135.67</v>
      </c>
      <c r="D330" s="1">
        <f>IFERROR(__xludf.DUMMYFUNCTION("""COMPUTED_VALUE"""),133.41)</f>
        <v>133.41</v>
      </c>
      <c r="E330" s="1">
        <f>IFERROR(__xludf.DUMMYFUNCTION("""COMPUTED_VALUE"""),133.43)</f>
        <v>133.43</v>
      </c>
      <c r="F330" s="1">
        <f>IFERROR(__xludf.DUMMYFUNCTION("""COMPUTED_VALUE"""),1427161.0)</f>
        <v>1427161</v>
      </c>
      <c r="G330" s="2" t="s">
        <v>11</v>
      </c>
    </row>
    <row r="331">
      <c r="A331" s="3">
        <f>IFERROR(__xludf.DUMMYFUNCTION("""COMPUTED_VALUE"""),45042.66666666667)</f>
        <v>45042.66667</v>
      </c>
      <c r="B331" s="1">
        <f>IFERROR(__xludf.DUMMYFUNCTION("""COMPUTED_VALUE"""),135.61)</f>
        <v>135.61</v>
      </c>
      <c r="C331" s="1">
        <f>IFERROR(__xludf.DUMMYFUNCTION("""COMPUTED_VALUE"""),135.61)</f>
        <v>135.61</v>
      </c>
      <c r="D331" s="1">
        <f>IFERROR(__xludf.DUMMYFUNCTION("""COMPUTED_VALUE"""),133.12)</f>
        <v>133.12</v>
      </c>
      <c r="E331" s="1">
        <f>IFERROR(__xludf.DUMMYFUNCTION("""COMPUTED_VALUE"""),133.35)</f>
        <v>133.35</v>
      </c>
      <c r="F331" s="1">
        <f>IFERROR(__xludf.DUMMYFUNCTION("""COMPUTED_VALUE"""),1346549.0)</f>
        <v>1346549</v>
      </c>
      <c r="G331" s="2" t="s">
        <v>11</v>
      </c>
    </row>
    <row r="332">
      <c r="A332" s="3">
        <f>IFERROR(__xludf.DUMMYFUNCTION("""COMPUTED_VALUE"""),45043.66666666667)</f>
        <v>45043.66667</v>
      </c>
      <c r="B332" s="1">
        <f>IFERROR(__xludf.DUMMYFUNCTION("""COMPUTED_VALUE"""),135.79)</f>
        <v>135.79</v>
      </c>
      <c r="C332" s="1">
        <f>IFERROR(__xludf.DUMMYFUNCTION("""COMPUTED_VALUE"""),136.85)</f>
        <v>136.85</v>
      </c>
      <c r="D332" s="1">
        <f>IFERROR(__xludf.DUMMYFUNCTION("""COMPUTED_VALUE"""),135.01)</f>
        <v>135.01</v>
      </c>
      <c r="E332" s="1">
        <f>IFERROR(__xludf.DUMMYFUNCTION("""COMPUTED_VALUE"""),136.65)</f>
        <v>136.65</v>
      </c>
      <c r="F332" s="1">
        <f>IFERROR(__xludf.DUMMYFUNCTION("""COMPUTED_VALUE"""),967528.0)</f>
        <v>967528</v>
      </c>
      <c r="G332" s="2" t="s">
        <v>11</v>
      </c>
    </row>
    <row r="333">
      <c r="A333" s="3">
        <f>IFERROR(__xludf.DUMMYFUNCTION("""COMPUTED_VALUE"""),45044.66666666667)</f>
        <v>45044.66667</v>
      </c>
      <c r="B333" s="1">
        <f>IFERROR(__xludf.DUMMYFUNCTION("""COMPUTED_VALUE"""),135.34)</f>
        <v>135.34</v>
      </c>
      <c r="C333" s="1">
        <f>IFERROR(__xludf.DUMMYFUNCTION("""COMPUTED_VALUE"""),135.71)</f>
        <v>135.71</v>
      </c>
      <c r="D333" s="1">
        <f>IFERROR(__xludf.DUMMYFUNCTION("""COMPUTED_VALUE"""),134.83)</f>
        <v>134.83</v>
      </c>
      <c r="E333" s="1">
        <f>IFERROR(__xludf.DUMMYFUNCTION("""COMPUTED_VALUE"""),135.27)</f>
        <v>135.27</v>
      </c>
      <c r="F333" s="1">
        <f>IFERROR(__xludf.DUMMYFUNCTION("""COMPUTED_VALUE"""),746813.0)</f>
        <v>746813</v>
      </c>
      <c r="G333" s="2" t="s">
        <v>11</v>
      </c>
    </row>
    <row r="334">
      <c r="A334" s="3">
        <f>IFERROR(__xludf.DUMMYFUNCTION("""COMPUTED_VALUE"""),45047.66666666667)</f>
        <v>45047.66667</v>
      </c>
      <c r="B334" s="1">
        <f>IFERROR(__xludf.DUMMYFUNCTION("""COMPUTED_VALUE"""),135.57)</f>
        <v>135.57</v>
      </c>
      <c r="C334" s="1">
        <f>IFERROR(__xludf.DUMMYFUNCTION("""COMPUTED_VALUE"""),135.57)</f>
        <v>135.57</v>
      </c>
      <c r="D334" s="1">
        <f>IFERROR(__xludf.DUMMYFUNCTION("""COMPUTED_VALUE"""),134.44)</f>
        <v>134.44</v>
      </c>
      <c r="E334" s="1">
        <f>IFERROR(__xludf.DUMMYFUNCTION("""COMPUTED_VALUE"""),134.48)</f>
        <v>134.48</v>
      </c>
      <c r="F334" s="1">
        <f>IFERROR(__xludf.DUMMYFUNCTION("""COMPUTED_VALUE"""),467224.0)</f>
        <v>467224</v>
      </c>
      <c r="G334" s="2" t="s">
        <v>11</v>
      </c>
    </row>
    <row r="335">
      <c r="A335" s="3">
        <f>IFERROR(__xludf.DUMMYFUNCTION("""COMPUTED_VALUE"""),45048.66666666667)</f>
        <v>45048.66667</v>
      </c>
      <c r="B335" s="1">
        <f>IFERROR(__xludf.DUMMYFUNCTION("""COMPUTED_VALUE"""),133.61)</f>
        <v>133.61</v>
      </c>
      <c r="C335" s="1">
        <f>IFERROR(__xludf.DUMMYFUNCTION("""COMPUTED_VALUE"""),134.5)</f>
        <v>134.5</v>
      </c>
      <c r="D335" s="1">
        <f>IFERROR(__xludf.DUMMYFUNCTION("""COMPUTED_VALUE"""),133.49)</f>
        <v>133.49</v>
      </c>
      <c r="E335" s="1">
        <f>IFERROR(__xludf.DUMMYFUNCTION("""COMPUTED_VALUE"""),134.36)</f>
        <v>134.36</v>
      </c>
      <c r="F335" s="1">
        <f>IFERROR(__xludf.DUMMYFUNCTION("""COMPUTED_VALUE"""),867613.0)</f>
        <v>867613</v>
      </c>
      <c r="G335" s="2" t="s">
        <v>11</v>
      </c>
    </row>
    <row r="336">
      <c r="A336" s="3">
        <f>IFERROR(__xludf.DUMMYFUNCTION("""COMPUTED_VALUE"""),45049.66666666667)</f>
        <v>45049.66667</v>
      </c>
      <c r="B336" s="1">
        <f>IFERROR(__xludf.DUMMYFUNCTION("""COMPUTED_VALUE"""),136.08)</f>
        <v>136.08</v>
      </c>
      <c r="C336" s="1">
        <f>IFERROR(__xludf.DUMMYFUNCTION("""COMPUTED_VALUE"""),137.32)</f>
        <v>137.32</v>
      </c>
      <c r="D336" s="1">
        <f>IFERROR(__xludf.DUMMYFUNCTION("""COMPUTED_VALUE"""),135.28)</f>
        <v>135.28</v>
      </c>
      <c r="E336" s="1">
        <f>IFERROR(__xludf.DUMMYFUNCTION("""COMPUTED_VALUE"""),135.78)</f>
        <v>135.78</v>
      </c>
      <c r="F336" s="1">
        <f>IFERROR(__xludf.DUMMYFUNCTION("""COMPUTED_VALUE"""),1414814.0)</f>
        <v>1414814</v>
      </c>
      <c r="G336" s="2" t="s">
        <v>11</v>
      </c>
    </row>
    <row r="337">
      <c r="A337" s="3">
        <f>IFERROR(__xludf.DUMMYFUNCTION("""COMPUTED_VALUE"""),45050.66666666667)</f>
        <v>45050.66667</v>
      </c>
      <c r="B337" s="1">
        <f>IFERROR(__xludf.DUMMYFUNCTION("""COMPUTED_VALUE"""),133.86)</f>
        <v>133.86</v>
      </c>
      <c r="C337" s="1">
        <f>IFERROR(__xludf.DUMMYFUNCTION("""COMPUTED_VALUE"""),134.64)</f>
        <v>134.64</v>
      </c>
      <c r="D337" s="1">
        <f>IFERROR(__xludf.DUMMYFUNCTION("""COMPUTED_VALUE"""),133.44)</f>
        <v>133.44</v>
      </c>
      <c r="E337" s="1">
        <f>IFERROR(__xludf.DUMMYFUNCTION("""COMPUTED_VALUE"""),134.09)</f>
        <v>134.09</v>
      </c>
      <c r="F337" s="1">
        <f>IFERROR(__xludf.DUMMYFUNCTION("""COMPUTED_VALUE"""),692458.0)</f>
        <v>692458</v>
      </c>
      <c r="G337" s="2" t="s">
        <v>11</v>
      </c>
    </row>
    <row r="338">
      <c r="A338" s="3">
        <f>IFERROR(__xludf.DUMMYFUNCTION("""COMPUTED_VALUE"""),45051.66666666667)</f>
        <v>45051.66667</v>
      </c>
      <c r="B338" s="1">
        <f>IFERROR(__xludf.DUMMYFUNCTION("""COMPUTED_VALUE"""),134.13)</f>
        <v>134.13</v>
      </c>
      <c r="C338" s="1">
        <f>IFERROR(__xludf.DUMMYFUNCTION("""COMPUTED_VALUE"""),135.0)</f>
        <v>135</v>
      </c>
      <c r="D338" s="1">
        <f>IFERROR(__xludf.DUMMYFUNCTION("""COMPUTED_VALUE"""),134.0)</f>
        <v>134</v>
      </c>
      <c r="E338" s="1">
        <f>IFERROR(__xludf.DUMMYFUNCTION("""COMPUTED_VALUE"""),134.76)</f>
        <v>134.76</v>
      </c>
      <c r="F338" s="1">
        <f>IFERROR(__xludf.DUMMYFUNCTION("""COMPUTED_VALUE"""),623760.0)</f>
        <v>623760</v>
      </c>
      <c r="G338" s="2" t="s">
        <v>11</v>
      </c>
    </row>
    <row r="339">
      <c r="A339" s="3">
        <f>IFERROR(__xludf.DUMMYFUNCTION("""COMPUTED_VALUE"""),45054.66666666667)</f>
        <v>45054.66667</v>
      </c>
      <c r="B339" s="1">
        <f>IFERROR(__xludf.DUMMYFUNCTION("""COMPUTED_VALUE"""),136.06)</f>
        <v>136.06</v>
      </c>
      <c r="C339" s="1">
        <f>IFERROR(__xludf.DUMMYFUNCTION("""COMPUTED_VALUE"""),136.2)</f>
        <v>136.2</v>
      </c>
      <c r="D339" s="1">
        <f>IFERROR(__xludf.DUMMYFUNCTION("""COMPUTED_VALUE"""),135.22)</f>
        <v>135.22</v>
      </c>
      <c r="E339" s="1">
        <f>IFERROR(__xludf.DUMMYFUNCTION("""COMPUTED_VALUE"""),135.78)</f>
        <v>135.78</v>
      </c>
      <c r="F339" s="1">
        <f>IFERROR(__xludf.DUMMYFUNCTION("""COMPUTED_VALUE"""),718470.0)</f>
        <v>718470</v>
      </c>
      <c r="G339" s="2" t="s">
        <v>11</v>
      </c>
    </row>
    <row r="340">
      <c r="A340" s="3">
        <f>IFERROR(__xludf.DUMMYFUNCTION("""COMPUTED_VALUE"""),45055.66666666667)</f>
        <v>45055.66667</v>
      </c>
      <c r="B340" s="1">
        <f>IFERROR(__xludf.DUMMYFUNCTION("""COMPUTED_VALUE"""),133.96)</f>
        <v>133.96</v>
      </c>
      <c r="C340" s="1">
        <f>IFERROR(__xludf.DUMMYFUNCTION("""COMPUTED_VALUE"""),135.1)</f>
        <v>135.1</v>
      </c>
      <c r="D340" s="1">
        <f>IFERROR(__xludf.DUMMYFUNCTION("""COMPUTED_VALUE"""),133.84)</f>
        <v>133.84</v>
      </c>
      <c r="E340" s="1">
        <f>IFERROR(__xludf.DUMMYFUNCTION("""COMPUTED_VALUE"""),134.68)</f>
        <v>134.68</v>
      </c>
      <c r="F340" s="1">
        <f>IFERROR(__xludf.DUMMYFUNCTION("""COMPUTED_VALUE"""),674757.0)</f>
        <v>674757</v>
      </c>
      <c r="G340" s="2" t="s">
        <v>11</v>
      </c>
    </row>
    <row r="341">
      <c r="A341" s="3">
        <f>IFERROR(__xludf.DUMMYFUNCTION("""COMPUTED_VALUE"""),45056.66666666667)</f>
        <v>45056.66667</v>
      </c>
      <c r="B341" s="1">
        <f>IFERROR(__xludf.DUMMYFUNCTION("""COMPUTED_VALUE"""),134.84)</f>
        <v>134.84</v>
      </c>
      <c r="C341" s="1">
        <f>IFERROR(__xludf.DUMMYFUNCTION("""COMPUTED_VALUE"""),135.41)</f>
        <v>135.41</v>
      </c>
      <c r="D341" s="1">
        <f>IFERROR(__xludf.DUMMYFUNCTION("""COMPUTED_VALUE"""),133.85)</f>
        <v>133.85</v>
      </c>
      <c r="E341" s="1">
        <f>IFERROR(__xludf.DUMMYFUNCTION("""COMPUTED_VALUE"""),134.83)</f>
        <v>134.83</v>
      </c>
      <c r="F341" s="1">
        <f>IFERROR(__xludf.DUMMYFUNCTION("""COMPUTED_VALUE"""),733645.0)</f>
        <v>733645</v>
      </c>
      <c r="G341" s="2" t="s">
        <v>11</v>
      </c>
    </row>
    <row r="342">
      <c r="A342" s="3">
        <f>IFERROR(__xludf.DUMMYFUNCTION("""COMPUTED_VALUE"""),45057.66666666667)</f>
        <v>45057.66667</v>
      </c>
      <c r="B342" s="1">
        <f>IFERROR(__xludf.DUMMYFUNCTION("""COMPUTED_VALUE"""),134.07)</f>
        <v>134.07</v>
      </c>
      <c r="C342" s="1">
        <f>IFERROR(__xludf.DUMMYFUNCTION("""COMPUTED_VALUE"""),134.13)</f>
        <v>134.13</v>
      </c>
      <c r="D342" s="1">
        <f>IFERROR(__xludf.DUMMYFUNCTION("""COMPUTED_VALUE"""),132.81)</f>
        <v>132.81</v>
      </c>
      <c r="E342" s="1">
        <f>IFERROR(__xludf.DUMMYFUNCTION("""COMPUTED_VALUE"""),133.69)</f>
        <v>133.69</v>
      </c>
      <c r="F342" s="1">
        <f>IFERROR(__xludf.DUMMYFUNCTION("""COMPUTED_VALUE"""),756944.0)</f>
        <v>756944</v>
      </c>
      <c r="G342" s="2" t="s">
        <v>11</v>
      </c>
    </row>
    <row r="343">
      <c r="A343" s="3">
        <f>IFERROR(__xludf.DUMMYFUNCTION("""COMPUTED_VALUE"""),45058.66666666667)</f>
        <v>45058.66667</v>
      </c>
      <c r="B343" s="1">
        <f>IFERROR(__xludf.DUMMYFUNCTION("""COMPUTED_VALUE"""),131.79)</f>
        <v>131.79</v>
      </c>
      <c r="C343" s="1">
        <f>IFERROR(__xludf.DUMMYFUNCTION("""COMPUTED_VALUE"""),132.02)</f>
        <v>132.02</v>
      </c>
      <c r="D343" s="1">
        <f>IFERROR(__xludf.DUMMYFUNCTION("""COMPUTED_VALUE"""),131.29)</f>
        <v>131.29</v>
      </c>
      <c r="E343" s="1">
        <f>IFERROR(__xludf.DUMMYFUNCTION("""COMPUTED_VALUE"""),131.58)</f>
        <v>131.58</v>
      </c>
      <c r="F343" s="1">
        <f>IFERROR(__xludf.DUMMYFUNCTION("""COMPUTED_VALUE"""),655466.0)</f>
        <v>655466</v>
      </c>
      <c r="G343" s="2" t="s">
        <v>11</v>
      </c>
    </row>
    <row r="344">
      <c r="A344" s="3">
        <f>IFERROR(__xludf.DUMMYFUNCTION("""COMPUTED_VALUE"""),45061.66666666667)</f>
        <v>45061.66667</v>
      </c>
      <c r="B344" s="1">
        <f>IFERROR(__xludf.DUMMYFUNCTION("""COMPUTED_VALUE"""),130.36)</f>
        <v>130.36</v>
      </c>
      <c r="C344" s="1">
        <f>IFERROR(__xludf.DUMMYFUNCTION("""COMPUTED_VALUE"""),134.05)</f>
        <v>134.05</v>
      </c>
      <c r="D344" s="1">
        <f>IFERROR(__xludf.DUMMYFUNCTION("""COMPUTED_VALUE"""),130.1)</f>
        <v>130.1</v>
      </c>
      <c r="E344" s="1">
        <f>IFERROR(__xludf.DUMMYFUNCTION("""COMPUTED_VALUE"""),131.3)</f>
        <v>131.3</v>
      </c>
      <c r="F344" s="1">
        <f>IFERROR(__xludf.DUMMYFUNCTION("""COMPUTED_VALUE"""),1864721.0)</f>
        <v>1864721</v>
      </c>
      <c r="G344" s="2" t="s">
        <v>11</v>
      </c>
    </row>
    <row r="345">
      <c r="A345" s="3">
        <f>IFERROR(__xludf.DUMMYFUNCTION("""COMPUTED_VALUE"""),45062.66666666667)</f>
        <v>45062.66667</v>
      </c>
      <c r="B345" s="1">
        <f>IFERROR(__xludf.DUMMYFUNCTION("""COMPUTED_VALUE"""),131.32)</f>
        <v>131.32</v>
      </c>
      <c r="C345" s="1">
        <f>IFERROR(__xludf.DUMMYFUNCTION("""COMPUTED_VALUE"""),133.89)</f>
        <v>133.89</v>
      </c>
      <c r="D345" s="1">
        <f>IFERROR(__xludf.DUMMYFUNCTION("""COMPUTED_VALUE"""),131.21)</f>
        <v>131.21</v>
      </c>
      <c r="E345" s="1">
        <f>IFERROR(__xludf.DUMMYFUNCTION("""COMPUTED_VALUE"""),133.16)</f>
        <v>133.16</v>
      </c>
      <c r="F345" s="1">
        <f>IFERROR(__xludf.DUMMYFUNCTION("""COMPUTED_VALUE"""),2325289.0)</f>
        <v>2325289</v>
      </c>
      <c r="G345" s="2" t="s">
        <v>11</v>
      </c>
    </row>
    <row r="346">
      <c r="A346" s="3">
        <f>IFERROR(__xludf.DUMMYFUNCTION("""COMPUTED_VALUE"""),45063.66666666667)</f>
        <v>45063.66667</v>
      </c>
      <c r="B346" s="1">
        <f>IFERROR(__xludf.DUMMYFUNCTION("""COMPUTED_VALUE"""),133.4)</f>
        <v>133.4</v>
      </c>
      <c r="C346" s="1">
        <f>IFERROR(__xludf.DUMMYFUNCTION("""COMPUTED_VALUE"""),133.58)</f>
        <v>133.58</v>
      </c>
      <c r="D346" s="1">
        <f>IFERROR(__xludf.DUMMYFUNCTION("""COMPUTED_VALUE"""),131.64)</f>
        <v>131.64</v>
      </c>
      <c r="E346" s="1">
        <f>IFERROR(__xludf.DUMMYFUNCTION("""COMPUTED_VALUE"""),132.62)</f>
        <v>132.62</v>
      </c>
      <c r="F346" s="1">
        <f>IFERROR(__xludf.DUMMYFUNCTION("""COMPUTED_VALUE"""),995657.0)</f>
        <v>995657</v>
      </c>
      <c r="G346" s="2" t="s">
        <v>11</v>
      </c>
    </row>
    <row r="347">
      <c r="A347" s="3">
        <f>IFERROR(__xludf.DUMMYFUNCTION("""COMPUTED_VALUE"""),45064.66666666667)</f>
        <v>45064.66667</v>
      </c>
      <c r="B347" s="1">
        <f>IFERROR(__xludf.DUMMYFUNCTION("""COMPUTED_VALUE"""),133.4)</f>
        <v>133.4</v>
      </c>
      <c r="C347" s="1">
        <f>IFERROR(__xludf.DUMMYFUNCTION("""COMPUTED_VALUE"""),134.15)</f>
        <v>134.15</v>
      </c>
      <c r="D347" s="1">
        <f>IFERROR(__xludf.DUMMYFUNCTION("""COMPUTED_VALUE"""),133.11)</f>
        <v>133.11</v>
      </c>
      <c r="E347" s="1">
        <f>IFERROR(__xludf.DUMMYFUNCTION("""COMPUTED_VALUE"""),133.9)</f>
        <v>133.9</v>
      </c>
      <c r="F347" s="1">
        <f>IFERROR(__xludf.DUMMYFUNCTION("""COMPUTED_VALUE"""),954724.0)</f>
        <v>954724</v>
      </c>
      <c r="G347" s="2" t="s">
        <v>11</v>
      </c>
    </row>
    <row r="348">
      <c r="A348" s="3">
        <f>IFERROR(__xludf.DUMMYFUNCTION("""COMPUTED_VALUE"""),45065.66666666667)</f>
        <v>45065.66667</v>
      </c>
      <c r="B348" s="1">
        <f>IFERROR(__xludf.DUMMYFUNCTION("""COMPUTED_VALUE"""),134.58)</f>
        <v>134.58</v>
      </c>
      <c r="C348" s="1">
        <f>IFERROR(__xludf.DUMMYFUNCTION("""COMPUTED_VALUE"""),135.12)</f>
        <v>135.12</v>
      </c>
      <c r="D348" s="1">
        <f>IFERROR(__xludf.DUMMYFUNCTION("""COMPUTED_VALUE"""),134.28)</f>
        <v>134.28</v>
      </c>
      <c r="E348" s="1">
        <f>IFERROR(__xludf.DUMMYFUNCTION("""COMPUTED_VALUE"""),134.28)</f>
        <v>134.28</v>
      </c>
      <c r="F348" s="1">
        <f>IFERROR(__xludf.DUMMYFUNCTION("""COMPUTED_VALUE"""),696744.0)</f>
        <v>696744</v>
      </c>
      <c r="G348" s="2" t="s">
        <v>11</v>
      </c>
    </row>
    <row r="349">
      <c r="A349" s="3">
        <f>IFERROR(__xludf.DUMMYFUNCTION("""COMPUTED_VALUE"""),45068.66666666667)</f>
        <v>45068.66667</v>
      </c>
      <c r="B349" s="1">
        <f>IFERROR(__xludf.DUMMYFUNCTION("""COMPUTED_VALUE"""),133.47)</f>
        <v>133.47</v>
      </c>
      <c r="C349" s="1">
        <f>IFERROR(__xludf.DUMMYFUNCTION("""COMPUTED_VALUE"""),133.93)</f>
        <v>133.93</v>
      </c>
      <c r="D349" s="1">
        <f>IFERROR(__xludf.DUMMYFUNCTION("""COMPUTED_VALUE"""),133.26)</f>
        <v>133.26</v>
      </c>
      <c r="E349" s="1">
        <f>IFERROR(__xludf.DUMMYFUNCTION("""COMPUTED_VALUE"""),133.29)</f>
        <v>133.29</v>
      </c>
      <c r="F349" s="1">
        <f>IFERROR(__xludf.DUMMYFUNCTION("""COMPUTED_VALUE"""),693541.0)</f>
        <v>693541</v>
      </c>
      <c r="G349" s="2" t="s">
        <v>11</v>
      </c>
    </row>
    <row r="350">
      <c r="A350" s="3">
        <f>IFERROR(__xludf.DUMMYFUNCTION("""COMPUTED_VALUE"""),45069.66666666667)</f>
        <v>45069.66667</v>
      </c>
      <c r="B350" s="1">
        <f>IFERROR(__xludf.DUMMYFUNCTION("""COMPUTED_VALUE"""),132.53)</f>
        <v>132.53</v>
      </c>
      <c r="C350" s="1">
        <f>IFERROR(__xludf.DUMMYFUNCTION("""COMPUTED_VALUE"""),132.81)</f>
        <v>132.81</v>
      </c>
      <c r="D350" s="1">
        <f>IFERROR(__xludf.DUMMYFUNCTION("""COMPUTED_VALUE"""),129.71)</f>
        <v>129.71</v>
      </c>
      <c r="E350" s="1">
        <f>IFERROR(__xludf.DUMMYFUNCTION("""COMPUTED_VALUE"""),129.83)</f>
        <v>129.83</v>
      </c>
      <c r="F350" s="1">
        <f>IFERROR(__xludf.DUMMYFUNCTION("""COMPUTED_VALUE"""),1170754.0)</f>
        <v>1170754</v>
      </c>
      <c r="G350" s="2" t="s">
        <v>11</v>
      </c>
    </row>
    <row r="351">
      <c r="A351" s="3">
        <f>IFERROR(__xludf.DUMMYFUNCTION("""COMPUTED_VALUE"""),45070.66666666667)</f>
        <v>45070.66667</v>
      </c>
      <c r="B351" s="1">
        <f>IFERROR(__xludf.DUMMYFUNCTION("""COMPUTED_VALUE"""),129.63)</f>
        <v>129.63</v>
      </c>
      <c r="C351" s="1">
        <f>IFERROR(__xludf.DUMMYFUNCTION("""COMPUTED_VALUE"""),129.63)</f>
        <v>129.63</v>
      </c>
      <c r="D351" s="1">
        <f>IFERROR(__xludf.DUMMYFUNCTION("""COMPUTED_VALUE"""),128.77)</f>
        <v>128.77</v>
      </c>
      <c r="E351" s="1">
        <f>IFERROR(__xludf.DUMMYFUNCTION("""COMPUTED_VALUE"""),129.21)</f>
        <v>129.21</v>
      </c>
      <c r="F351" s="1">
        <f>IFERROR(__xludf.DUMMYFUNCTION("""COMPUTED_VALUE"""),717260.0)</f>
        <v>717260</v>
      </c>
      <c r="G351" s="2" t="s">
        <v>11</v>
      </c>
    </row>
    <row r="352">
      <c r="A352" s="3">
        <f>IFERROR(__xludf.DUMMYFUNCTION("""COMPUTED_VALUE"""),45071.66666666667)</f>
        <v>45071.66667</v>
      </c>
      <c r="B352" s="1">
        <f>IFERROR(__xludf.DUMMYFUNCTION("""COMPUTED_VALUE"""),129.8)</f>
        <v>129.8</v>
      </c>
      <c r="C352" s="1">
        <f>IFERROR(__xludf.DUMMYFUNCTION("""COMPUTED_VALUE"""),129.82)</f>
        <v>129.82</v>
      </c>
      <c r="D352" s="1">
        <f>IFERROR(__xludf.DUMMYFUNCTION("""COMPUTED_VALUE"""),128.84)</f>
        <v>128.84</v>
      </c>
      <c r="E352" s="1">
        <f>IFERROR(__xludf.DUMMYFUNCTION("""COMPUTED_VALUE"""),129.44)</f>
        <v>129.44</v>
      </c>
      <c r="F352" s="1">
        <f>IFERROR(__xludf.DUMMYFUNCTION("""COMPUTED_VALUE"""),1352206.0)</f>
        <v>1352206</v>
      </c>
      <c r="G352" s="2" t="s">
        <v>11</v>
      </c>
    </row>
    <row r="353">
      <c r="A353" s="3">
        <f>IFERROR(__xludf.DUMMYFUNCTION("""COMPUTED_VALUE"""),45072.66666666667)</f>
        <v>45072.66667</v>
      </c>
      <c r="B353" s="1">
        <f>IFERROR(__xludf.DUMMYFUNCTION("""COMPUTED_VALUE"""),130.13)</f>
        <v>130.13</v>
      </c>
      <c r="C353" s="1">
        <f>IFERROR(__xludf.DUMMYFUNCTION("""COMPUTED_VALUE"""),131.63)</f>
        <v>131.63</v>
      </c>
      <c r="D353" s="1">
        <f>IFERROR(__xludf.DUMMYFUNCTION("""COMPUTED_VALUE"""),130.04)</f>
        <v>130.04</v>
      </c>
      <c r="E353" s="1">
        <f>IFERROR(__xludf.DUMMYFUNCTION("""COMPUTED_VALUE"""),131.41)</f>
        <v>131.41</v>
      </c>
      <c r="F353" s="1">
        <f>IFERROR(__xludf.DUMMYFUNCTION("""COMPUTED_VALUE"""),832101.0)</f>
        <v>832101</v>
      </c>
      <c r="G353" s="2" t="s">
        <v>11</v>
      </c>
    </row>
    <row r="354">
      <c r="A354" s="3">
        <f>IFERROR(__xludf.DUMMYFUNCTION("""COMPUTED_VALUE"""),45076.66666666667)</f>
        <v>45076.66667</v>
      </c>
      <c r="B354" s="1">
        <f>IFERROR(__xludf.DUMMYFUNCTION("""COMPUTED_VALUE"""),131.91)</f>
        <v>131.91</v>
      </c>
      <c r="C354" s="1">
        <f>IFERROR(__xludf.DUMMYFUNCTION("""COMPUTED_VALUE"""),132.07)</f>
        <v>132.07</v>
      </c>
      <c r="D354" s="1">
        <f>IFERROR(__xludf.DUMMYFUNCTION("""COMPUTED_VALUE"""),130.12)</f>
        <v>130.12</v>
      </c>
      <c r="E354" s="1">
        <f>IFERROR(__xludf.DUMMYFUNCTION("""COMPUTED_VALUE"""),130.24)</f>
        <v>130.24</v>
      </c>
      <c r="F354" s="1">
        <f>IFERROR(__xludf.DUMMYFUNCTION("""COMPUTED_VALUE"""),729130.0)</f>
        <v>729130</v>
      </c>
      <c r="G354" s="2" t="s">
        <v>11</v>
      </c>
    </row>
    <row r="355">
      <c r="A355" s="3">
        <f>IFERROR(__xludf.DUMMYFUNCTION("""COMPUTED_VALUE"""),45077.66666666667)</f>
        <v>45077.66667</v>
      </c>
      <c r="B355" s="1">
        <f>IFERROR(__xludf.DUMMYFUNCTION("""COMPUTED_VALUE"""),130.48)</f>
        <v>130.48</v>
      </c>
      <c r="C355" s="1">
        <f>IFERROR(__xludf.DUMMYFUNCTION("""COMPUTED_VALUE"""),130.87)</f>
        <v>130.87</v>
      </c>
      <c r="D355" s="1">
        <f>IFERROR(__xludf.DUMMYFUNCTION("""COMPUTED_VALUE"""),129.15)</f>
        <v>129.15</v>
      </c>
      <c r="E355" s="1">
        <f>IFERROR(__xludf.DUMMYFUNCTION("""COMPUTED_VALUE"""),130.44)</f>
        <v>130.44</v>
      </c>
      <c r="F355" s="1">
        <f>IFERROR(__xludf.DUMMYFUNCTION("""COMPUTED_VALUE"""),1324959.0)</f>
        <v>1324959</v>
      </c>
      <c r="G355" s="2" t="s">
        <v>11</v>
      </c>
    </row>
    <row r="356">
      <c r="A356" s="3">
        <f>IFERROR(__xludf.DUMMYFUNCTION("""COMPUTED_VALUE"""),45078.66666666667)</f>
        <v>45078.66667</v>
      </c>
      <c r="B356" s="1">
        <f>IFERROR(__xludf.DUMMYFUNCTION("""COMPUTED_VALUE"""),131.15)</f>
        <v>131.15</v>
      </c>
      <c r="C356" s="1">
        <f>IFERROR(__xludf.DUMMYFUNCTION("""COMPUTED_VALUE"""),132.37)</f>
        <v>132.37</v>
      </c>
      <c r="D356" s="1">
        <f>IFERROR(__xludf.DUMMYFUNCTION("""COMPUTED_VALUE"""),130.62)</f>
        <v>130.62</v>
      </c>
      <c r="E356" s="1">
        <f>IFERROR(__xludf.DUMMYFUNCTION("""COMPUTED_VALUE"""),132.17)</f>
        <v>132.17</v>
      </c>
      <c r="F356" s="1">
        <f>IFERROR(__xludf.DUMMYFUNCTION("""COMPUTED_VALUE"""),783437.0)</f>
        <v>783437</v>
      </c>
      <c r="G356" s="2" t="s">
        <v>11</v>
      </c>
    </row>
    <row r="357">
      <c r="A357" s="3">
        <f>IFERROR(__xludf.DUMMYFUNCTION("""COMPUTED_VALUE"""),45079.66666666667)</f>
        <v>45079.66667</v>
      </c>
      <c r="B357" s="1">
        <f>IFERROR(__xludf.DUMMYFUNCTION("""COMPUTED_VALUE"""),133.26)</f>
        <v>133.26</v>
      </c>
      <c r="C357" s="1">
        <f>IFERROR(__xludf.DUMMYFUNCTION("""COMPUTED_VALUE"""),133.53)</f>
        <v>133.53</v>
      </c>
      <c r="D357" s="1">
        <f>IFERROR(__xludf.DUMMYFUNCTION("""COMPUTED_VALUE"""),132.51)</f>
        <v>132.51</v>
      </c>
      <c r="E357" s="1">
        <f>IFERROR(__xludf.DUMMYFUNCTION("""COMPUTED_VALUE"""),132.97)</f>
        <v>132.97</v>
      </c>
      <c r="F357" s="1">
        <f>IFERROR(__xludf.DUMMYFUNCTION("""COMPUTED_VALUE"""),532516.0)</f>
        <v>532516</v>
      </c>
      <c r="G357" s="2" t="s">
        <v>11</v>
      </c>
    </row>
    <row r="358">
      <c r="A358" s="3">
        <f>IFERROR(__xludf.DUMMYFUNCTION("""COMPUTED_VALUE"""),45082.66666666667)</f>
        <v>45082.66667</v>
      </c>
      <c r="B358" s="1">
        <f>IFERROR(__xludf.DUMMYFUNCTION("""COMPUTED_VALUE"""),132.3)</f>
        <v>132.3</v>
      </c>
      <c r="C358" s="1">
        <f>IFERROR(__xludf.DUMMYFUNCTION("""COMPUTED_VALUE"""),132.3)</f>
        <v>132.3</v>
      </c>
      <c r="D358" s="1">
        <f>IFERROR(__xludf.DUMMYFUNCTION("""COMPUTED_VALUE"""),131.26)</f>
        <v>131.26</v>
      </c>
      <c r="E358" s="1">
        <f>IFERROR(__xludf.DUMMYFUNCTION("""COMPUTED_VALUE"""),131.5)</f>
        <v>131.5</v>
      </c>
      <c r="F358" s="1">
        <f>IFERROR(__xludf.DUMMYFUNCTION("""COMPUTED_VALUE"""),515140.0)</f>
        <v>515140</v>
      </c>
      <c r="G358" s="2" t="s">
        <v>11</v>
      </c>
    </row>
    <row r="359">
      <c r="A359" s="3">
        <f>IFERROR(__xludf.DUMMYFUNCTION("""COMPUTED_VALUE"""),45083.66666666667)</f>
        <v>45083.66667</v>
      </c>
      <c r="B359" s="1">
        <f>IFERROR(__xludf.DUMMYFUNCTION("""COMPUTED_VALUE"""),132.16)</f>
        <v>132.16</v>
      </c>
      <c r="C359" s="1">
        <f>IFERROR(__xludf.DUMMYFUNCTION("""COMPUTED_VALUE"""),132.24)</f>
        <v>132.24</v>
      </c>
      <c r="D359" s="1">
        <f>IFERROR(__xludf.DUMMYFUNCTION("""COMPUTED_VALUE"""),131.52)</f>
        <v>131.52</v>
      </c>
      <c r="E359" s="1">
        <f>IFERROR(__xludf.DUMMYFUNCTION("""COMPUTED_VALUE"""),131.84)</f>
        <v>131.84</v>
      </c>
      <c r="F359" s="1">
        <f>IFERROR(__xludf.DUMMYFUNCTION("""COMPUTED_VALUE"""),551921.0)</f>
        <v>551921</v>
      </c>
      <c r="G359" s="2" t="s">
        <v>11</v>
      </c>
    </row>
    <row r="360">
      <c r="A360" s="3">
        <f>IFERROR(__xludf.DUMMYFUNCTION("""COMPUTED_VALUE"""),45084.66666666667)</f>
        <v>45084.66667</v>
      </c>
      <c r="B360" s="1">
        <f>IFERROR(__xludf.DUMMYFUNCTION("""COMPUTED_VALUE"""),132.75)</f>
        <v>132.75</v>
      </c>
      <c r="C360" s="1">
        <f>IFERROR(__xludf.DUMMYFUNCTION("""COMPUTED_VALUE"""),133.26)</f>
        <v>133.26</v>
      </c>
      <c r="D360" s="1">
        <f>IFERROR(__xludf.DUMMYFUNCTION("""COMPUTED_VALUE"""),131.48)</f>
        <v>131.48</v>
      </c>
      <c r="E360" s="1">
        <f>IFERROR(__xludf.DUMMYFUNCTION("""COMPUTED_VALUE"""),131.7)</f>
        <v>131.7</v>
      </c>
      <c r="F360" s="1">
        <f>IFERROR(__xludf.DUMMYFUNCTION("""COMPUTED_VALUE"""),805188.0)</f>
        <v>805188</v>
      </c>
      <c r="G360" s="2" t="s">
        <v>11</v>
      </c>
    </row>
    <row r="361">
      <c r="A361" s="3">
        <f>IFERROR(__xludf.DUMMYFUNCTION("""COMPUTED_VALUE"""),45085.66666666667)</f>
        <v>45085.66667</v>
      </c>
      <c r="B361" s="1">
        <f>IFERROR(__xludf.DUMMYFUNCTION("""COMPUTED_VALUE"""),132.01)</f>
        <v>132.01</v>
      </c>
      <c r="C361" s="1">
        <f>IFERROR(__xludf.DUMMYFUNCTION("""COMPUTED_VALUE"""),133.29)</f>
        <v>133.29</v>
      </c>
      <c r="D361" s="1">
        <f>IFERROR(__xludf.DUMMYFUNCTION("""COMPUTED_VALUE"""),131.96)</f>
        <v>131.96</v>
      </c>
      <c r="E361" s="1">
        <f>IFERROR(__xludf.DUMMYFUNCTION("""COMPUTED_VALUE"""),133.21)</f>
        <v>133.21</v>
      </c>
      <c r="F361" s="1">
        <f>IFERROR(__xludf.DUMMYFUNCTION("""COMPUTED_VALUE"""),417128.0)</f>
        <v>417128</v>
      </c>
      <c r="G361" s="2" t="s">
        <v>11</v>
      </c>
    </row>
    <row r="362">
      <c r="A362" s="3">
        <f>IFERROR(__xludf.DUMMYFUNCTION("""COMPUTED_VALUE"""),45086.66666666667)</f>
        <v>45086.66667</v>
      </c>
      <c r="B362" s="1">
        <f>IFERROR(__xludf.DUMMYFUNCTION("""COMPUTED_VALUE"""),132.95)</f>
        <v>132.95</v>
      </c>
      <c r="C362" s="1">
        <f>IFERROR(__xludf.DUMMYFUNCTION("""COMPUTED_VALUE"""),133.6)</f>
        <v>133.6</v>
      </c>
      <c r="D362" s="1">
        <f>IFERROR(__xludf.DUMMYFUNCTION("""COMPUTED_VALUE"""),132.05)</f>
        <v>132.05</v>
      </c>
      <c r="E362" s="1">
        <f>IFERROR(__xludf.DUMMYFUNCTION("""COMPUTED_VALUE"""),132.72)</f>
        <v>132.72</v>
      </c>
      <c r="F362" s="1">
        <f>IFERROR(__xludf.DUMMYFUNCTION("""COMPUTED_VALUE"""),499275.0)</f>
        <v>499275</v>
      </c>
      <c r="G362" s="2" t="s">
        <v>11</v>
      </c>
    </row>
    <row r="363">
      <c r="A363" s="3">
        <f>IFERROR(__xludf.DUMMYFUNCTION("""COMPUTED_VALUE"""),45089.66666666667)</f>
        <v>45089.66667</v>
      </c>
      <c r="B363" s="1">
        <f>IFERROR(__xludf.DUMMYFUNCTION("""COMPUTED_VALUE"""),131.96)</f>
        <v>131.96</v>
      </c>
      <c r="C363" s="1">
        <f>IFERROR(__xludf.DUMMYFUNCTION("""COMPUTED_VALUE"""),133.94)</f>
        <v>133.94</v>
      </c>
      <c r="D363" s="1">
        <f>IFERROR(__xludf.DUMMYFUNCTION("""COMPUTED_VALUE"""),131.74)</f>
        <v>131.74</v>
      </c>
      <c r="E363" s="1">
        <f>IFERROR(__xludf.DUMMYFUNCTION("""COMPUTED_VALUE"""),133.77)</f>
        <v>133.77</v>
      </c>
      <c r="F363" s="1">
        <f>IFERROR(__xludf.DUMMYFUNCTION("""COMPUTED_VALUE"""),1084361.0)</f>
        <v>1084361</v>
      </c>
      <c r="G363" s="2" t="s">
        <v>11</v>
      </c>
    </row>
    <row r="364">
      <c r="A364" s="3">
        <f>IFERROR(__xludf.DUMMYFUNCTION("""COMPUTED_VALUE"""),45090.66666666667)</f>
        <v>45090.66667</v>
      </c>
      <c r="B364" s="1">
        <f>IFERROR(__xludf.DUMMYFUNCTION("""COMPUTED_VALUE"""),134.66)</f>
        <v>134.66</v>
      </c>
      <c r="C364" s="1">
        <f>IFERROR(__xludf.DUMMYFUNCTION("""COMPUTED_VALUE"""),135.84)</f>
        <v>135.84</v>
      </c>
      <c r="D364" s="1">
        <f>IFERROR(__xludf.DUMMYFUNCTION("""COMPUTED_VALUE"""),134.03)</f>
        <v>134.03</v>
      </c>
      <c r="E364" s="1">
        <f>IFERROR(__xludf.DUMMYFUNCTION("""COMPUTED_VALUE"""),135.29)</f>
        <v>135.29</v>
      </c>
      <c r="F364" s="1">
        <f>IFERROR(__xludf.DUMMYFUNCTION("""COMPUTED_VALUE"""),766587.0)</f>
        <v>766587</v>
      </c>
      <c r="G364" s="2" t="s">
        <v>11</v>
      </c>
    </row>
    <row r="365">
      <c r="A365" s="3">
        <f>IFERROR(__xludf.DUMMYFUNCTION("""COMPUTED_VALUE"""),45091.66666666667)</f>
        <v>45091.66667</v>
      </c>
      <c r="B365" s="1">
        <f>IFERROR(__xludf.DUMMYFUNCTION("""COMPUTED_VALUE"""),134.64)</f>
        <v>134.64</v>
      </c>
      <c r="C365" s="1">
        <f>IFERROR(__xludf.DUMMYFUNCTION("""COMPUTED_VALUE"""),136.36)</f>
        <v>136.36</v>
      </c>
      <c r="D365" s="1">
        <f>IFERROR(__xludf.DUMMYFUNCTION("""COMPUTED_VALUE"""),134.47)</f>
        <v>134.47</v>
      </c>
      <c r="E365" s="1">
        <f>IFERROR(__xludf.DUMMYFUNCTION("""COMPUTED_VALUE"""),135.56)</f>
        <v>135.56</v>
      </c>
      <c r="F365" s="1">
        <f>IFERROR(__xludf.DUMMYFUNCTION("""COMPUTED_VALUE"""),505925.0)</f>
        <v>505925</v>
      </c>
      <c r="G365" s="2" t="s">
        <v>11</v>
      </c>
    </row>
    <row r="366">
      <c r="A366" s="3">
        <f>IFERROR(__xludf.DUMMYFUNCTION("""COMPUTED_VALUE"""),45092.66666666667)</f>
        <v>45092.66667</v>
      </c>
      <c r="B366" s="1">
        <f>IFERROR(__xludf.DUMMYFUNCTION("""COMPUTED_VALUE"""),134.92)</f>
        <v>134.92</v>
      </c>
      <c r="C366" s="1">
        <f>IFERROR(__xludf.DUMMYFUNCTION("""COMPUTED_VALUE"""),137.06)</f>
        <v>137.06</v>
      </c>
      <c r="D366" s="1">
        <f>IFERROR(__xludf.DUMMYFUNCTION("""COMPUTED_VALUE"""),134.62)</f>
        <v>134.62</v>
      </c>
      <c r="E366" s="1">
        <f>IFERROR(__xludf.DUMMYFUNCTION("""COMPUTED_VALUE"""),137.04)</f>
        <v>137.04</v>
      </c>
      <c r="F366" s="1">
        <f>IFERROR(__xludf.DUMMYFUNCTION("""COMPUTED_VALUE"""),688508.0)</f>
        <v>688508</v>
      </c>
      <c r="G366" s="2" t="s">
        <v>11</v>
      </c>
    </row>
    <row r="367">
      <c r="A367" s="3">
        <f>IFERROR(__xludf.DUMMYFUNCTION("""COMPUTED_VALUE"""),45093.66666666667)</f>
        <v>45093.66667</v>
      </c>
      <c r="B367" s="1">
        <f>IFERROR(__xludf.DUMMYFUNCTION("""COMPUTED_VALUE"""),139.04)</f>
        <v>139.04</v>
      </c>
      <c r="C367" s="1">
        <f>IFERROR(__xludf.DUMMYFUNCTION("""COMPUTED_VALUE"""),139.25)</f>
        <v>139.25</v>
      </c>
      <c r="D367" s="1">
        <f>IFERROR(__xludf.DUMMYFUNCTION("""COMPUTED_VALUE"""),137.19)</f>
        <v>137.19</v>
      </c>
      <c r="E367" s="1">
        <f>IFERROR(__xludf.DUMMYFUNCTION("""COMPUTED_VALUE"""),137.28)</f>
        <v>137.28</v>
      </c>
      <c r="F367" s="1">
        <f>IFERROR(__xludf.DUMMYFUNCTION("""COMPUTED_VALUE"""),983348.0)</f>
        <v>983348</v>
      </c>
      <c r="G367" s="2" t="s">
        <v>11</v>
      </c>
    </row>
    <row r="368">
      <c r="A368" s="3">
        <f>IFERROR(__xludf.DUMMYFUNCTION("""COMPUTED_VALUE"""),45097.66666666667)</f>
        <v>45097.66667</v>
      </c>
      <c r="B368" s="1">
        <f>IFERROR(__xludf.DUMMYFUNCTION("""COMPUTED_VALUE"""),136.06)</f>
        <v>136.06</v>
      </c>
      <c r="C368" s="1">
        <f>IFERROR(__xludf.DUMMYFUNCTION("""COMPUTED_VALUE"""),136.83)</f>
        <v>136.83</v>
      </c>
      <c r="D368" s="1">
        <f>IFERROR(__xludf.DUMMYFUNCTION("""COMPUTED_VALUE"""),135.48)</f>
        <v>135.48</v>
      </c>
      <c r="E368" s="1">
        <f>IFERROR(__xludf.DUMMYFUNCTION("""COMPUTED_VALUE"""),136.01)</f>
        <v>136.01</v>
      </c>
      <c r="F368" s="1">
        <f>IFERROR(__xludf.DUMMYFUNCTION("""COMPUTED_VALUE"""),686248.0)</f>
        <v>686248</v>
      </c>
      <c r="G368" s="2" t="s">
        <v>11</v>
      </c>
    </row>
    <row r="369">
      <c r="A369" s="3">
        <f>IFERROR(__xludf.DUMMYFUNCTION("""COMPUTED_VALUE"""),45098.66666666667)</f>
        <v>45098.66667</v>
      </c>
      <c r="B369" s="1">
        <f>IFERROR(__xludf.DUMMYFUNCTION("""COMPUTED_VALUE"""),135.57)</f>
        <v>135.57</v>
      </c>
      <c r="C369" s="1">
        <f>IFERROR(__xludf.DUMMYFUNCTION("""COMPUTED_VALUE"""),135.68)</f>
        <v>135.68</v>
      </c>
      <c r="D369" s="1">
        <f>IFERROR(__xludf.DUMMYFUNCTION("""COMPUTED_VALUE"""),134.38)</f>
        <v>134.38</v>
      </c>
      <c r="E369" s="1">
        <f>IFERROR(__xludf.DUMMYFUNCTION("""COMPUTED_VALUE"""),134.79)</f>
        <v>134.79</v>
      </c>
      <c r="F369" s="1">
        <f>IFERROR(__xludf.DUMMYFUNCTION("""COMPUTED_VALUE"""),824534.0)</f>
        <v>824534</v>
      </c>
      <c r="G369" s="2" t="s">
        <v>11</v>
      </c>
    </row>
    <row r="370">
      <c r="A370" s="3">
        <f>IFERROR(__xludf.DUMMYFUNCTION("""COMPUTED_VALUE"""),45099.66666666667)</f>
        <v>45099.66667</v>
      </c>
      <c r="B370" s="1">
        <f>IFERROR(__xludf.DUMMYFUNCTION("""COMPUTED_VALUE"""),134.38)</f>
        <v>134.38</v>
      </c>
      <c r="C370" s="1">
        <f>IFERROR(__xludf.DUMMYFUNCTION("""COMPUTED_VALUE"""),135.42)</f>
        <v>135.42</v>
      </c>
      <c r="D370" s="1">
        <f>IFERROR(__xludf.DUMMYFUNCTION("""COMPUTED_VALUE"""),134.3)</f>
        <v>134.3</v>
      </c>
      <c r="E370" s="1">
        <f>IFERROR(__xludf.DUMMYFUNCTION("""COMPUTED_VALUE"""),135.11)</f>
        <v>135.11</v>
      </c>
      <c r="F370" s="1">
        <f>IFERROR(__xludf.DUMMYFUNCTION("""COMPUTED_VALUE"""),697718.0)</f>
        <v>697718</v>
      </c>
      <c r="G370" s="2" t="s">
        <v>11</v>
      </c>
    </row>
    <row r="371">
      <c r="A371" s="3">
        <f>IFERROR(__xludf.DUMMYFUNCTION("""COMPUTED_VALUE"""),45100.66666666667)</f>
        <v>45100.66667</v>
      </c>
      <c r="B371" s="1">
        <f>IFERROR(__xludf.DUMMYFUNCTION("""COMPUTED_VALUE"""),133.7)</f>
        <v>133.7</v>
      </c>
      <c r="C371" s="1">
        <f>IFERROR(__xludf.DUMMYFUNCTION("""COMPUTED_VALUE"""),134.12)</f>
        <v>134.12</v>
      </c>
      <c r="D371" s="1">
        <f>IFERROR(__xludf.DUMMYFUNCTION("""COMPUTED_VALUE"""),133.28)</f>
        <v>133.28</v>
      </c>
      <c r="E371" s="1">
        <f>IFERROR(__xludf.DUMMYFUNCTION("""COMPUTED_VALUE"""),133.47)</f>
        <v>133.47</v>
      </c>
      <c r="F371" s="1">
        <f>IFERROR(__xludf.DUMMYFUNCTION("""COMPUTED_VALUE"""),477891.0)</f>
        <v>477891</v>
      </c>
      <c r="G371" s="2" t="s">
        <v>11</v>
      </c>
    </row>
    <row r="372">
      <c r="A372" s="3">
        <f>IFERROR(__xludf.DUMMYFUNCTION("""COMPUTED_VALUE"""),45103.66666666667)</f>
        <v>45103.66667</v>
      </c>
      <c r="B372" s="1">
        <f>IFERROR(__xludf.DUMMYFUNCTION("""COMPUTED_VALUE"""),133.1)</f>
        <v>133.1</v>
      </c>
      <c r="C372" s="1">
        <f>IFERROR(__xludf.DUMMYFUNCTION("""COMPUTED_VALUE"""),133.21)</f>
        <v>133.21</v>
      </c>
      <c r="D372" s="1">
        <f>IFERROR(__xludf.DUMMYFUNCTION("""COMPUTED_VALUE"""),132.25)</f>
        <v>132.25</v>
      </c>
      <c r="E372" s="1">
        <f>IFERROR(__xludf.DUMMYFUNCTION("""COMPUTED_VALUE"""),132.43)</f>
        <v>132.43</v>
      </c>
      <c r="F372" s="1">
        <f>IFERROR(__xludf.DUMMYFUNCTION("""COMPUTED_VALUE"""),474182.0)</f>
        <v>474182</v>
      </c>
      <c r="G372" s="2" t="s">
        <v>11</v>
      </c>
    </row>
    <row r="373">
      <c r="A373" s="3">
        <f>IFERROR(__xludf.DUMMYFUNCTION("""COMPUTED_VALUE"""),45104.66666666667)</f>
        <v>45104.66667</v>
      </c>
      <c r="B373" s="1">
        <f>IFERROR(__xludf.DUMMYFUNCTION("""COMPUTED_VALUE"""),132.49)</f>
        <v>132.49</v>
      </c>
      <c r="C373" s="1">
        <f>IFERROR(__xludf.DUMMYFUNCTION("""COMPUTED_VALUE"""),133.2)</f>
        <v>133.2</v>
      </c>
      <c r="D373" s="1">
        <f>IFERROR(__xludf.DUMMYFUNCTION("""COMPUTED_VALUE"""),132.01)</f>
        <v>132.01</v>
      </c>
      <c r="E373" s="1">
        <f>IFERROR(__xludf.DUMMYFUNCTION("""COMPUTED_VALUE"""),133.01)</f>
        <v>133.01</v>
      </c>
      <c r="F373" s="1">
        <f>IFERROR(__xludf.DUMMYFUNCTION("""COMPUTED_VALUE"""),682642.0)</f>
        <v>682642</v>
      </c>
      <c r="G373" s="2" t="s">
        <v>11</v>
      </c>
    </row>
    <row r="374">
      <c r="A374" s="3">
        <f>IFERROR(__xludf.DUMMYFUNCTION("""COMPUTED_VALUE"""),45105.66666666667)</f>
        <v>45105.66667</v>
      </c>
      <c r="B374" s="1">
        <f>IFERROR(__xludf.DUMMYFUNCTION("""COMPUTED_VALUE"""),133.75)</f>
        <v>133.75</v>
      </c>
      <c r="C374" s="1">
        <f>IFERROR(__xludf.DUMMYFUNCTION("""COMPUTED_VALUE"""),134.97)</f>
        <v>134.97</v>
      </c>
      <c r="D374" s="1">
        <f>IFERROR(__xludf.DUMMYFUNCTION("""COMPUTED_VALUE"""),133.7)</f>
        <v>133.7</v>
      </c>
      <c r="E374" s="1">
        <f>IFERROR(__xludf.DUMMYFUNCTION("""COMPUTED_VALUE"""),134.27)</f>
        <v>134.27</v>
      </c>
      <c r="F374" s="1">
        <f>IFERROR(__xludf.DUMMYFUNCTION("""COMPUTED_VALUE"""),679732.0)</f>
        <v>679732</v>
      </c>
      <c r="G374" s="2" t="s">
        <v>11</v>
      </c>
    </row>
    <row r="375">
      <c r="A375" s="3">
        <f>IFERROR(__xludf.DUMMYFUNCTION("""COMPUTED_VALUE"""),45106.66666666667)</f>
        <v>45106.66667</v>
      </c>
      <c r="B375" s="1">
        <f>IFERROR(__xludf.DUMMYFUNCTION("""COMPUTED_VALUE"""),134.3)</f>
        <v>134.3</v>
      </c>
      <c r="C375" s="1">
        <f>IFERROR(__xludf.DUMMYFUNCTION("""COMPUTED_VALUE"""),134.43)</f>
        <v>134.43</v>
      </c>
      <c r="D375" s="1">
        <f>IFERROR(__xludf.DUMMYFUNCTION("""COMPUTED_VALUE"""),133.54)</f>
        <v>133.54</v>
      </c>
      <c r="E375" s="1">
        <f>IFERROR(__xludf.DUMMYFUNCTION("""COMPUTED_VALUE"""),134.43)</f>
        <v>134.43</v>
      </c>
      <c r="F375" s="1">
        <f>IFERROR(__xludf.DUMMYFUNCTION("""COMPUTED_VALUE"""),454369.0)</f>
        <v>454369</v>
      </c>
      <c r="G375" s="2" t="s">
        <v>11</v>
      </c>
    </row>
    <row r="376">
      <c r="A376" s="3">
        <f>IFERROR(__xludf.DUMMYFUNCTION("""COMPUTED_VALUE"""),45107.66666666667)</f>
        <v>45107.66667</v>
      </c>
      <c r="B376" s="1">
        <f>IFERROR(__xludf.DUMMYFUNCTION("""COMPUTED_VALUE"""),135.46)</f>
        <v>135.46</v>
      </c>
      <c r="C376" s="1">
        <f>IFERROR(__xludf.DUMMYFUNCTION("""COMPUTED_VALUE"""),137.15)</f>
        <v>137.15</v>
      </c>
      <c r="D376" s="1">
        <f>IFERROR(__xludf.DUMMYFUNCTION("""COMPUTED_VALUE"""),135.32)</f>
        <v>135.32</v>
      </c>
      <c r="E376" s="1">
        <f>IFERROR(__xludf.DUMMYFUNCTION("""COMPUTED_VALUE"""),136.81)</f>
        <v>136.81</v>
      </c>
      <c r="F376" s="1">
        <f>IFERROR(__xludf.DUMMYFUNCTION("""COMPUTED_VALUE"""),1073351.0)</f>
        <v>1073351</v>
      </c>
      <c r="G376" s="2" t="s">
        <v>11</v>
      </c>
    </row>
    <row r="377">
      <c r="A377" s="3">
        <f>IFERROR(__xludf.DUMMYFUNCTION("""COMPUTED_VALUE"""),45110.54166666667)</f>
        <v>45110.54167</v>
      </c>
      <c r="B377" s="1">
        <f>IFERROR(__xludf.DUMMYFUNCTION("""COMPUTED_VALUE"""),135.67)</f>
        <v>135.67</v>
      </c>
      <c r="C377" s="1">
        <f>IFERROR(__xludf.DUMMYFUNCTION("""COMPUTED_VALUE"""),135.89)</f>
        <v>135.89</v>
      </c>
      <c r="D377" s="1">
        <f>IFERROR(__xludf.DUMMYFUNCTION("""COMPUTED_VALUE"""),133.86)</f>
        <v>133.86</v>
      </c>
      <c r="E377" s="1">
        <f>IFERROR(__xludf.DUMMYFUNCTION("""COMPUTED_VALUE"""),134.55)</f>
        <v>134.55</v>
      </c>
      <c r="F377" s="1">
        <f>IFERROR(__xludf.DUMMYFUNCTION("""COMPUTED_VALUE"""),612203.0)</f>
        <v>612203</v>
      </c>
      <c r="G377" s="2" t="s">
        <v>11</v>
      </c>
    </row>
    <row r="378">
      <c r="A378" s="3">
        <f>IFERROR(__xludf.DUMMYFUNCTION("""COMPUTED_VALUE"""),45112.66666666667)</f>
        <v>45112.66667</v>
      </c>
      <c r="B378" s="1">
        <f>IFERROR(__xludf.DUMMYFUNCTION("""COMPUTED_VALUE"""),133.7)</f>
        <v>133.7</v>
      </c>
      <c r="C378" s="1">
        <f>IFERROR(__xludf.DUMMYFUNCTION("""COMPUTED_VALUE"""),134.48)</f>
        <v>134.48</v>
      </c>
      <c r="D378" s="1">
        <f>IFERROR(__xludf.DUMMYFUNCTION("""COMPUTED_VALUE"""),133.47)</f>
        <v>133.47</v>
      </c>
      <c r="E378" s="1">
        <f>IFERROR(__xludf.DUMMYFUNCTION("""COMPUTED_VALUE"""),134.4)</f>
        <v>134.4</v>
      </c>
      <c r="F378" s="1">
        <f>IFERROR(__xludf.DUMMYFUNCTION("""COMPUTED_VALUE"""),1265067.0)</f>
        <v>1265067</v>
      </c>
      <c r="G378" s="2" t="s">
        <v>11</v>
      </c>
    </row>
    <row r="379">
      <c r="A379" s="3">
        <f>IFERROR(__xludf.DUMMYFUNCTION("""COMPUTED_VALUE"""),45113.66666666667)</f>
        <v>45113.66667</v>
      </c>
      <c r="B379" s="1">
        <f>IFERROR(__xludf.DUMMYFUNCTION("""COMPUTED_VALUE"""),132.83)</f>
        <v>132.83</v>
      </c>
      <c r="C379" s="1">
        <f>IFERROR(__xludf.DUMMYFUNCTION("""COMPUTED_VALUE"""),132.92)</f>
        <v>132.92</v>
      </c>
      <c r="D379" s="1">
        <f>IFERROR(__xludf.DUMMYFUNCTION("""COMPUTED_VALUE"""),131.49)</f>
        <v>131.49</v>
      </c>
      <c r="E379" s="1">
        <f>IFERROR(__xludf.DUMMYFUNCTION("""COMPUTED_VALUE"""),132.43)</f>
        <v>132.43</v>
      </c>
      <c r="F379" s="1">
        <f>IFERROR(__xludf.DUMMYFUNCTION("""COMPUTED_VALUE"""),817501.0)</f>
        <v>817501</v>
      </c>
      <c r="G379" s="2" t="s">
        <v>11</v>
      </c>
    </row>
    <row r="380">
      <c r="A380" s="3">
        <f>IFERROR(__xludf.DUMMYFUNCTION("""COMPUTED_VALUE"""),45114.66666666667)</f>
        <v>45114.66667</v>
      </c>
      <c r="B380" s="1">
        <f>IFERROR(__xludf.DUMMYFUNCTION("""COMPUTED_VALUE"""),132.77)</f>
        <v>132.77</v>
      </c>
      <c r="C380" s="1">
        <f>IFERROR(__xludf.DUMMYFUNCTION("""COMPUTED_VALUE"""),134.0)</f>
        <v>134</v>
      </c>
      <c r="D380" s="1">
        <f>IFERROR(__xludf.DUMMYFUNCTION("""COMPUTED_VALUE"""),132.6)</f>
        <v>132.6</v>
      </c>
      <c r="E380" s="1">
        <f>IFERROR(__xludf.DUMMYFUNCTION("""COMPUTED_VALUE"""),133.26)</f>
        <v>133.26</v>
      </c>
      <c r="F380" s="1">
        <f>IFERROR(__xludf.DUMMYFUNCTION("""COMPUTED_VALUE"""),1029284.0)</f>
        <v>1029284</v>
      </c>
      <c r="G380" s="2" t="s">
        <v>11</v>
      </c>
    </row>
    <row r="381">
      <c r="A381" s="3">
        <f>IFERROR(__xludf.DUMMYFUNCTION("""COMPUTED_VALUE"""),45117.66666666667)</f>
        <v>45117.66667</v>
      </c>
      <c r="B381" s="1">
        <f>IFERROR(__xludf.DUMMYFUNCTION("""COMPUTED_VALUE"""),133.39)</f>
        <v>133.39</v>
      </c>
      <c r="C381" s="1">
        <f>IFERROR(__xludf.DUMMYFUNCTION("""COMPUTED_VALUE"""),135.04)</f>
        <v>135.04</v>
      </c>
      <c r="D381" s="1">
        <f>IFERROR(__xludf.DUMMYFUNCTION("""COMPUTED_VALUE"""),133.37)</f>
        <v>133.37</v>
      </c>
      <c r="E381" s="1">
        <f>IFERROR(__xludf.DUMMYFUNCTION("""COMPUTED_VALUE"""),134.88)</f>
        <v>134.88</v>
      </c>
      <c r="F381" s="1">
        <f>IFERROR(__xludf.DUMMYFUNCTION("""COMPUTED_VALUE"""),1067629.0)</f>
        <v>1067629</v>
      </c>
      <c r="G381" s="2" t="s">
        <v>11</v>
      </c>
    </row>
    <row r="382">
      <c r="A382" s="3">
        <f>IFERROR(__xludf.DUMMYFUNCTION("""COMPUTED_VALUE"""),45118.66666666667)</f>
        <v>45118.66667</v>
      </c>
      <c r="B382" s="1">
        <f>IFERROR(__xludf.DUMMYFUNCTION("""COMPUTED_VALUE"""),135.29)</f>
        <v>135.29</v>
      </c>
      <c r="C382" s="1">
        <f>IFERROR(__xludf.DUMMYFUNCTION("""COMPUTED_VALUE"""),136.44)</f>
        <v>136.44</v>
      </c>
      <c r="D382" s="1">
        <f>IFERROR(__xludf.DUMMYFUNCTION("""COMPUTED_VALUE"""),134.91)</f>
        <v>134.91</v>
      </c>
      <c r="E382" s="1">
        <f>IFERROR(__xludf.DUMMYFUNCTION("""COMPUTED_VALUE"""),136.32)</f>
        <v>136.32</v>
      </c>
      <c r="F382" s="1">
        <f>IFERROR(__xludf.DUMMYFUNCTION("""COMPUTED_VALUE"""),1114189.0)</f>
        <v>1114189</v>
      </c>
      <c r="G382" s="2" t="s">
        <v>11</v>
      </c>
    </row>
    <row r="383">
      <c r="A383" s="3">
        <f>IFERROR(__xludf.DUMMYFUNCTION("""COMPUTED_VALUE"""),45119.66666666667)</f>
        <v>45119.66667</v>
      </c>
      <c r="B383" s="1">
        <f>IFERROR(__xludf.DUMMYFUNCTION("""COMPUTED_VALUE"""),138.69)</f>
        <v>138.69</v>
      </c>
      <c r="C383" s="1">
        <f>IFERROR(__xludf.DUMMYFUNCTION("""COMPUTED_VALUE"""),140.79)</f>
        <v>140.79</v>
      </c>
      <c r="D383" s="1">
        <f>IFERROR(__xludf.DUMMYFUNCTION("""COMPUTED_VALUE"""),138.08)</f>
        <v>138.08</v>
      </c>
      <c r="E383" s="1">
        <f>IFERROR(__xludf.DUMMYFUNCTION("""COMPUTED_VALUE"""),140.58)</f>
        <v>140.58</v>
      </c>
      <c r="F383" s="1">
        <f>IFERROR(__xludf.DUMMYFUNCTION("""COMPUTED_VALUE"""),1524836.0)</f>
        <v>1524836</v>
      </c>
      <c r="G383" s="2" t="s">
        <v>11</v>
      </c>
    </row>
    <row r="384">
      <c r="A384" s="3">
        <f>IFERROR(__xludf.DUMMYFUNCTION("""COMPUTED_VALUE"""),45120.66666666667)</f>
        <v>45120.66667</v>
      </c>
      <c r="B384" s="1">
        <f>IFERROR(__xludf.DUMMYFUNCTION("""COMPUTED_VALUE"""),142.4)</f>
        <v>142.4</v>
      </c>
      <c r="C384" s="1">
        <f>IFERROR(__xludf.DUMMYFUNCTION("""COMPUTED_VALUE"""),144.16)</f>
        <v>144.16</v>
      </c>
      <c r="D384" s="1">
        <f>IFERROR(__xludf.DUMMYFUNCTION("""COMPUTED_VALUE"""),142.34)</f>
        <v>142.34</v>
      </c>
      <c r="E384" s="1">
        <f>IFERROR(__xludf.DUMMYFUNCTION("""COMPUTED_VALUE"""),143.96)</f>
        <v>143.96</v>
      </c>
      <c r="F384" s="1">
        <f>IFERROR(__xludf.DUMMYFUNCTION("""COMPUTED_VALUE"""),1576377.0)</f>
        <v>1576377</v>
      </c>
      <c r="G384" s="2" t="s">
        <v>11</v>
      </c>
    </row>
    <row r="385">
      <c r="A385" s="3">
        <f>IFERROR(__xludf.DUMMYFUNCTION("""COMPUTED_VALUE"""),45121.66666666667)</f>
        <v>45121.66667</v>
      </c>
      <c r="B385" s="1">
        <f>IFERROR(__xludf.DUMMYFUNCTION("""COMPUTED_VALUE"""),144.04)</f>
        <v>144.04</v>
      </c>
      <c r="C385" s="1">
        <f>IFERROR(__xludf.DUMMYFUNCTION("""COMPUTED_VALUE"""),144.9)</f>
        <v>144.9</v>
      </c>
      <c r="D385" s="1">
        <f>IFERROR(__xludf.DUMMYFUNCTION("""COMPUTED_VALUE"""),144.04)</f>
        <v>144.04</v>
      </c>
      <c r="E385" s="1">
        <f>IFERROR(__xludf.DUMMYFUNCTION("""COMPUTED_VALUE"""),144.35)</f>
        <v>144.35</v>
      </c>
      <c r="F385" s="1">
        <f>IFERROR(__xludf.DUMMYFUNCTION("""COMPUTED_VALUE"""),762763.0)</f>
        <v>762763</v>
      </c>
      <c r="G385" s="2" t="s">
        <v>11</v>
      </c>
    </row>
    <row r="386">
      <c r="A386" s="3">
        <f>IFERROR(__xludf.DUMMYFUNCTION("""COMPUTED_VALUE"""),45124.66666666667)</f>
        <v>45124.66667</v>
      </c>
      <c r="B386" s="1">
        <f>IFERROR(__xludf.DUMMYFUNCTION("""COMPUTED_VALUE"""),142.86)</f>
        <v>142.86</v>
      </c>
      <c r="C386" s="1">
        <f>IFERROR(__xludf.DUMMYFUNCTION("""COMPUTED_VALUE"""),145.1)</f>
        <v>145.1</v>
      </c>
      <c r="D386" s="1">
        <f>IFERROR(__xludf.DUMMYFUNCTION("""COMPUTED_VALUE"""),142.77)</f>
        <v>142.77</v>
      </c>
      <c r="E386" s="1">
        <f>IFERROR(__xludf.DUMMYFUNCTION("""COMPUTED_VALUE"""),144.99)</f>
        <v>144.99</v>
      </c>
      <c r="F386" s="1">
        <f>IFERROR(__xludf.DUMMYFUNCTION("""COMPUTED_VALUE"""),1143055.0)</f>
        <v>1143055</v>
      </c>
      <c r="G386" s="2" t="s">
        <v>11</v>
      </c>
    </row>
    <row r="387">
      <c r="A387" s="3">
        <f>IFERROR(__xludf.DUMMYFUNCTION("""COMPUTED_VALUE"""),45125.66666666667)</f>
        <v>45125.66667</v>
      </c>
      <c r="B387" s="1">
        <f>IFERROR(__xludf.DUMMYFUNCTION("""COMPUTED_VALUE"""),144.38)</f>
        <v>144.38</v>
      </c>
      <c r="C387" s="1">
        <f>IFERROR(__xludf.DUMMYFUNCTION("""COMPUTED_VALUE"""),145.0)</f>
        <v>145</v>
      </c>
      <c r="D387" s="1">
        <f>IFERROR(__xludf.DUMMYFUNCTION("""COMPUTED_VALUE"""),143.25)</f>
        <v>143.25</v>
      </c>
      <c r="E387" s="1">
        <f>IFERROR(__xludf.DUMMYFUNCTION("""COMPUTED_VALUE"""),144.91)</f>
        <v>144.91</v>
      </c>
      <c r="F387" s="1">
        <f>IFERROR(__xludf.DUMMYFUNCTION("""COMPUTED_VALUE"""),927982.0)</f>
        <v>927982</v>
      </c>
      <c r="G387" s="2" t="s">
        <v>11</v>
      </c>
    </row>
    <row r="388">
      <c r="A388" s="3">
        <f>IFERROR(__xludf.DUMMYFUNCTION("""COMPUTED_VALUE"""),45126.66666666667)</f>
        <v>45126.66667</v>
      </c>
      <c r="B388" s="1">
        <f>IFERROR(__xludf.DUMMYFUNCTION("""COMPUTED_VALUE"""),143.63)</f>
        <v>143.63</v>
      </c>
      <c r="C388" s="1">
        <f>IFERROR(__xludf.DUMMYFUNCTION("""COMPUTED_VALUE"""),144.34)</f>
        <v>144.34</v>
      </c>
      <c r="D388" s="1">
        <f>IFERROR(__xludf.DUMMYFUNCTION("""COMPUTED_VALUE"""),142.38)</f>
        <v>142.38</v>
      </c>
      <c r="E388" s="1">
        <f>IFERROR(__xludf.DUMMYFUNCTION("""COMPUTED_VALUE"""),143.0)</f>
        <v>143</v>
      </c>
      <c r="F388" s="1">
        <f>IFERROR(__xludf.DUMMYFUNCTION("""COMPUTED_VALUE"""),1121170.0)</f>
        <v>1121170</v>
      </c>
      <c r="G388" s="2" t="s">
        <v>11</v>
      </c>
    </row>
    <row r="389">
      <c r="A389" s="3">
        <f>IFERROR(__xludf.DUMMYFUNCTION("""COMPUTED_VALUE"""),45127.66666666667)</f>
        <v>45127.66667</v>
      </c>
      <c r="B389" s="1">
        <f>IFERROR(__xludf.DUMMYFUNCTION("""COMPUTED_VALUE"""),140.86)</f>
        <v>140.86</v>
      </c>
      <c r="C389" s="1">
        <f>IFERROR(__xludf.DUMMYFUNCTION("""COMPUTED_VALUE"""),141.51)</f>
        <v>141.51</v>
      </c>
      <c r="D389" s="1">
        <f>IFERROR(__xludf.DUMMYFUNCTION("""COMPUTED_VALUE"""),133.04)</f>
        <v>133.04</v>
      </c>
      <c r="E389" s="1">
        <f>IFERROR(__xludf.DUMMYFUNCTION("""COMPUTED_VALUE"""),133.93)</f>
        <v>133.93</v>
      </c>
      <c r="F389" s="1">
        <f>IFERROR(__xludf.DUMMYFUNCTION("""COMPUTED_VALUE"""),2770070.0)</f>
        <v>2770070</v>
      </c>
      <c r="G389" s="2" t="s">
        <v>11</v>
      </c>
    </row>
    <row r="390">
      <c r="A390" s="3">
        <f>IFERROR(__xludf.DUMMYFUNCTION("""COMPUTED_VALUE"""),45128.66666666667)</f>
        <v>45128.66667</v>
      </c>
      <c r="B390" s="1">
        <f>IFERROR(__xludf.DUMMYFUNCTION("""COMPUTED_VALUE"""),135.75)</f>
        <v>135.75</v>
      </c>
      <c r="C390" s="1">
        <f>IFERROR(__xludf.DUMMYFUNCTION("""COMPUTED_VALUE"""),136.14)</f>
        <v>136.14</v>
      </c>
      <c r="D390" s="1">
        <f>IFERROR(__xludf.DUMMYFUNCTION("""COMPUTED_VALUE"""),133.82)</f>
        <v>133.82</v>
      </c>
      <c r="E390" s="1">
        <f>IFERROR(__xludf.DUMMYFUNCTION("""COMPUTED_VALUE"""),134.02)</f>
        <v>134.02</v>
      </c>
      <c r="F390" s="1">
        <f>IFERROR(__xludf.DUMMYFUNCTION("""COMPUTED_VALUE"""),1909536.0)</f>
        <v>1909536</v>
      </c>
      <c r="G390" s="2" t="s">
        <v>11</v>
      </c>
    </row>
    <row r="391">
      <c r="A391" s="3">
        <f>IFERROR(__xludf.DUMMYFUNCTION("""COMPUTED_VALUE"""),45131.66666666667)</f>
        <v>45131.66667</v>
      </c>
      <c r="B391" s="1">
        <f>IFERROR(__xludf.DUMMYFUNCTION("""COMPUTED_VALUE"""),133.52)</f>
        <v>133.52</v>
      </c>
      <c r="C391" s="1">
        <f>IFERROR(__xludf.DUMMYFUNCTION("""COMPUTED_VALUE"""),133.56)</f>
        <v>133.56</v>
      </c>
      <c r="D391" s="1">
        <f>IFERROR(__xludf.DUMMYFUNCTION("""COMPUTED_VALUE"""),132.23)</f>
        <v>132.23</v>
      </c>
      <c r="E391" s="1">
        <f>IFERROR(__xludf.DUMMYFUNCTION("""COMPUTED_VALUE"""),132.39)</f>
        <v>132.39</v>
      </c>
      <c r="F391" s="1">
        <f>IFERROR(__xludf.DUMMYFUNCTION("""COMPUTED_VALUE"""),1096518.0)</f>
        <v>1096518</v>
      </c>
      <c r="G391" s="2" t="s">
        <v>11</v>
      </c>
    </row>
    <row r="392">
      <c r="A392" s="3">
        <f>IFERROR(__xludf.DUMMYFUNCTION("""COMPUTED_VALUE"""),45132.66666666667)</f>
        <v>45132.66667</v>
      </c>
      <c r="B392" s="1">
        <f>IFERROR(__xludf.DUMMYFUNCTION("""COMPUTED_VALUE"""),132.11)</f>
        <v>132.11</v>
      </c>
      <c r="C392" s="1">
        <f>IFERROR(__xludf.DUMMYFUNCTION("""COMPUTED_VALUE"""),133.02)</f>
        <v>133.02</v>
      </c>
      <c r="D392" s="1">
        <f>IFERROR(__xludf.DUMMYFUNCTION("""COMPUTED_VALUE"""),131.83)</f>
        <v>131.83</v>
      </c>
      <c r="E392" s="1">
        <f>IFERROR(__xludf.DUMMYFUNCTION("""COMPUTED_VALUE"""),132.61)</f>
        <v>132.61</v>
      </c>
      <c r="F392" s="1">
        <f>IFERROR(__xludf.DUMMYFUNCTION("""COMPUTED_VALUE"""),996821.0)</f>
        <v>996821</v>
      </c>
      <c r="G392" s="2" t="s">
        <v>11</v>
      </c>
    </row>
    <row r="393">
      <c r="A393" s="3">
        <f>IFERROR(__xludf.DUMMYFUNCTION("""COMPUTED_VALUE"""),45133.66666666667)</f>
        <v>45133.66667</v>
      </c>
      <c r="B393" s="1">
        <f>IFERROR(__xludf.DUMMYFUNCTION("""COMPUTED_VALUE"""),131.45)</f>
        <v>131.45</v>
      </c>
      <c r="C393" s="1">
        <f>IFERROR(__xludf.DUMMYFUNCTION("""COMPUTED_VALUE"""),132.59)</f>
        <v>132.59</v>
      </c>
      <c r="D393" s="1">
        <f>IFERROR(__xludf.DUMMYFUNCTION("""COMPUTED_VALUE"""),131.11)</f>
        <v>131.11</v>
      </c>
      <c r="E393" s="1">
        <f>IFERROR(__xludf.DUMMYFUNCTION("""COMPUTED_VALUE"""),132.34)</f>
        <v>132.34</v>
      </c>
      <c r="F393" s="1">
        <f>IFERROR(__xludf.DUMMYFUNCTION("""COMPUTED_VALUE"""),840972.0)</f>
        <v>840972</v>
      </c>
      <c r="G393" s="2" t="s">
        <v>11</v>
      </c>
    </row>
    <row r="394">
      <c r="A394" s="3">
        <f>IFERROR(__xludf.DUMMYFUNCTION("""COMPUTED_VALUE"""),45134.66666666667)</f>
        <v>45134.66667</v>
      </c>
      <c r="B394" s="1">
        <f>IFERROR(__xludf.DUMMYFUNCTION("""COMPUTED_VALUE"""),135.44)</f>
        <v>135.44</v>
      </c>
      <c r="C394" s="1">
        <f>IFERROR(__xludf.DUMMYFUNCTION("""COMPUTED_VALUE"""),136.26)</f>
        <v>136.26</v>
      </c>
      <c r="D394" s="1">
        <f>IFERROR(__xludf.DUMMYFUNCTION("""COMPUTED_VALUE"""),133.98)</f>
        <v>133.98</v>
      </c>
      <c r="E394" s="1">
        <f>IFERROR(__xludf.DUMMYFUNCTION("""COMPUTED_VALUE"""),134.07)</f>
        <v>134.07</v>
      </c>
      <c r="F394" s="1">
        <f>IFERROR(__xludf.DUMMYFUNCTION("""COMPUTED_VALUE"""),909771.0)</f>
        <v>909771</v>
      </c>
      <c r="G394" s="2" t="s">
        <v>11</v>
      </c>
    </row>
    <row r="395">
      <c r="A395" s="3">
        <f>IFERROR(__xludf.DUMMYFUNCTION("""COMPUTED_VALUE"""),45135.66666666667)</f>
        <v>45135.66667</v>
      </c>
      <c r="B395" s="1">
        <f>IFERROR(__xludf.DUMMYFUNCTION("""COMPUTED_VALUE"""),135.83)</f>
        <v>135.83</v>
      </c>
      <c r="C395" s="1">
        <f>IFERROR(__xludf.DUMMYFUNCTION("""COMPUTED_VALUE"""),136.84)</f>
        <v>136.84</v>
      </c>
      <c r="D395" s="1">
        <f>IFERROR(__xludf.DUMMYFUNCTION("""COMPUTED_VALUE"""),135.4)</f>
        <v>135.4</v>
      </c>
      <c r="E395" s="1">
        <f>IFERROR(__xludf.DUMMYFUNCTION("""COMPUTED_VALUE"""),136.81)</f>
        <v>136.81</v>
      </c>
      <c r="F395" s="1">
        <f>IFERROR(__xludf.DUMMYFUNCTION("""COMPUTED_VALUE"""),1022934.0)</f>
        <v>1022934</v>
      </c>
      <c r="G395" s="2" t="s">
        <v>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IFERROR(__xludf.DUMMYFUNCTION("GOOGLEFINANCE(""SIE"",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IFERROR(__xludf.DUMMYFUNCTION("""COMPUTED_VALUE"""),44565.66666666667)</f>
        <v>44565.66667</v>
      </c>
      <c r="B2" s="1">
        <f>IFERROR(__xludf.DUMMYFUNCTION("""COMPUTED_VALUE"""),0.12)</f>
        <v>0.12</v>
      </c>
      <c r="C2" s="1">
        <f>IFERROR(__xludf.DUMMYFUNCTION("""COMPUTED_VALUE"""),0.12)</f>
        <v>0.12</v>
      </c>
      <c r="D2" s="1">
        <f>IFERROR(__xludf.DUMMYFUNCTION("""COMPUTED_VALUE"""),0.12)</f>
        <v>0.12</v>
      </c>
      <c r="E2" s="1">
        <f>IFERROR(__xludf.DUMMYFUNCTION("""COMPUTED_VALUE"""),0.12)</f>
        <v>0.12</v>
      </c>
      <c r="F2" s="1">
        <f>IFERROR(__xludf.DUMMYFUNCTION("""COMPUTED_VALUE"""),304557.0)</f>
        <v>304557</v>
      </c>
      <c r="G2" s="2" t="s">
        <v>12</v>
      </c>
      <c r="H2" s="2"/>
    </row>
    <row r="3">
      <c r="A3" s="3">
        <f>IFERROR(__xludf.DUMMYFUNCTION("""COMPUTED_VALUE"""),44566.66666666667)</f>
        <v>44566.66667</v>
      </c>
      <c r="B3" s="1">
        <f>IFERROR(__xludf.DUMMYFUNCTION("""COMPUTED_VALUE"""),0.12)</f>
        <v>0.12</v>
      </c>
      <c r="C3" s="1">
        <f>IFERROR(__xludf.DUMMYFUNCTION("""COMPUTED_VALUE"""),0.12)</f>
        <v>0.12</v>
      </c>
      <c r="D3" s="1">
        <f>IFERROR(__xludf.DUMMYFUNCTION("""COMPUTED_VALUE"""),0.11)</f>
        <v>0.11</v>
      </c>
      <c r="E3" s="1">
        <f>IFERROR(__xludf.DUMMYFUNCTION("""COMPUTED_VALUE"""),0.11)</f>
        <v>0.11</v>
      </c>
      <c r="F3" s="1">
        <f>IFERROR(__xludf.DUMMYFUNCTION("""COMPUTED_VALUE"""),312156.0)</f>
        <v>312156</v>
      </c>
      <c r="G3" s="2" t="s">
        <v>12</v>
      </c>
    </row>
    <row r="4">
      <c r="A4" s="3">
        <f>IFERROR(__xludf.DUMMYFUNCTION("""COMPUTED_VALUE"""),44567.66666666667)</f>
        <v>44567.66667</v>
      </c>
      <c r="B4" s="1">
        <f>IFERROR(__xludf.DUMMYFUNCTION("""COMPUTED_VALUE"""),0.12)</f>
        <v>0.12</v>
      </c>
      <c r="C4" s="1">
        <f>IFERROR(__xludf.DUMMYFUNCTION("""COMPUTED_VALUE"""),0.12)</f>
        <v>0.12</v>
      </c>
      <c r="D4" s="1">
        <f>IFERROR(__xludf.DUMMYFUNCTION("""COMPUTED_VALUE"""),0.12)</f>
        <v>0.12</v>
      </c>
      <c r="E4" s="1">
        <f>IFERROR(__xludf.DUMMYFUNCTION("""COMPUTED_VALUE"""),0.12)</f>
        <v>0.12</v>
      </c>
      <c r="F4" s="1">
        <f>IFERROR(__xludf.DUMMYFUNCTION("""COMPUTED_VALUE"""),68500.0)</f>
        <v>68500</v>
      </c>
      <c r="G4" s="2" t="s">
        <v>12</v>
      </c>
    </row>
    <row r="5">
      <c r="A5" s="3">
        <f>IFERROR(__xludf.DUMMYFUNCTION("""COMPUTED_VALUE"""),44568.66666666667)</f>
        <v>44568.66667</v>
      </c>
      <c r="B5" s="1">
        <f>IFERROR(__xludf.DUMMYFUNCTION("""COMPUTED_VALUE"""),0.11)</f>
        <v>0.11</v>
      </c>
      <c r="C5" s="1">
        <f>IFERROR(__xludf.DUMMYFUNCTION("""COMPUTED_VALUE"""),0.12)</f>
        <v>0.12</v>
      </c>
      <c r="D5" s="1">
        <f>IFERROR(__xludf.DUMMYFUNCTION("""COMPUTED_VALUE"""),0.11)</f>
        <v>0.11</v>
      </c>
      <c r="E5" s="1">
        <f>IFERROR(__xludf.DUMMYFUNCTION("""COMPUTED_VALUE"""),0.11)</f>
        <v>0.11</v>
      </c>
      <c r="F5" s="1">
        <f>IFERROR(__xludf.DUMMYFUNCTION("""COMPUTED_VALUE"""),133950.0)</f>
        <v>133950</v>
      </c>
      <c r="G5" s="2" t="s">
        <v>12</v>
      </c>
    </row>
    <row r="6">
      <c r="A6" s="3">
        <f>IFERROR(__xludf.DUMMYFUNCTION("""COMPUTED_VALUE"""),44571.66666666667)</f>
        <v>44571.66667</v>
      </c>
      <c r="B6" s="1">
        <f>IFERROR(__xludf.DUMMYFUNCTION("""COMPUTED_VALUE"""),0.11)</f>
        <v>0.11</v>
      </c>
      <c r="C6" s="1">
        <f>IFERROR(__xludf.DUMMYFUNCTION("""COMPUTED_VALUE"""),0.12)</f>
        <v>0.12</v>
      </c>
      <c r="D6" s="1">
        <f>IFERROR(__xludf.DUMMYFUNCTION("""COMPUTED_VALUE"""),0.11)</f>
        <v>0.11</v>
      </c>
      <c r="E6" s="1">
        <f>IFERROR(__xludf.DUMMYFUNCTION("""COMPUTED_VALUE"""),0.11)</f>
        <v>0.11</v>
      </c>
      <c r="F6" s="1">
        <f>IFERROR(__xludf.DUMMYFUNCTION("""COMPUTED_VALUE"""),154040.0)</f>
        <v>154040</v>
      </c>
      <c r="G6" s="2" t="s">
        <v>12</v>
      </c>
    </row>
    <row r="7">
      <c r="A7" s="3">
        <f>IFERROR(__xludf.DUMMYFUNCTION("""COMPUTED_VALUE"""),44572.66666666667)</f>
        <v>44572.66667</v>
      </c>
      <c r="B7" s="1">
        <f>IFERROR(__xludf.DUMMYFUNCTION("""COMPUTED_VALUE"""),0.11)</f>
        <v>0.11</v>
      </c>
      <c r="C7" s="1">
        <f>IFERROR(__xludf.DUMMYFUNCTION("""COMPUTED_VALUE"""),0.12)</f>
        <v>0.12</v>
      </c>
      <c r="D7" s="1">
        <f>IFERROR(__xludf.DUMMYFUNCTION("""COMPUTED_VALUE"""),0.11)</f>
        <v>0.11</v>
      </c>
      <c r="E7" s="1">
        <f>IFERROR(__xludf.DUMMYFUNCTION("""COMPUTED_VALUE"""),0.11)</f>
        <v>0.11</v>
      </c>
      <c r="F7" s="1">
        <f>IFERROR(__xludf.DUMMYFUNCTION("""COMPUTED_VALUE"""),83680.0)</f>
        <v>83680</v>
      </c>
      <c r="G7" s="2" t="s">
        <v>12</v>
      </c>
    </row>
    <row r="8">
      <c r="A8" s="3">
        <f>IFERROR(__xludf.DUMMYFUNCTION("""COMPUTED_VALUE"""),44573.66666666667)</f>
        <v>44573.66667</v>
      </c>
      <c r="B8" s="1">
        <f>IFERROR(__xludf.DUMMYFUNCTION("""COMPUTED_VALUE"""),0.11)</f>
        <v>0.11</v>
      </c>
      <c r="C8" s="1">
        <f>IFERROR(__xludf.DUMMYFUNCTION("""COMPUTED_VALUE"""),0.11)</f>
        <v>0.11</v>
      </c>
      <c r="D8" s="1">
        <f>IFERROR(__xludf.DUMMYFUNCTION("""COMPUTED_VALUE"""),0.11)</f>
        <v>0.11</v>
      </c>
      <c r="E8" s="1">
        <f>IFERROR(__xludf.DUMMYFUNCTION("""COMPUTED_VALUE"""),0.11)</f>
        <v>0.11</v>
      </c>
      <c r="F8" s="1">
        <f>IFERROR(__xludf.DUMMYFUNCTION("""COMPUTED_VALUE"""),20500.0)</f>
        <v>20500</v>
      </c>
      <c r="G8" s="2" t="s">
        <v>12</v>
      </c>
    </row>
    <row r="9">
      <c r="A9" s="3">
        <f>IFERROR(__xludf.DUMMYFUNCTION("""COMPUTED_VALUE"""),44574.66666666667)</f>
        <v>44574.66667</v>
      </c>
      <c r="B9" s="1">
        <f>IFERROR(__xludf.DUMMYFUNCTION("""COMPUTED_VALUE"""),0.11)</f>
        <v>0.11</v>
      </c>
      <c r="C9" s="1">
        <f>IFERROR(__xludf.DUMMYFUNCTION("""COMPUTED_VALUE"""),0.11)</f>
        <v>0.11</v>
      </c>
      <c r="D9" s="1">
        <f>IFERROR(__xludf.DUMMYFUNCTION("""COMPUTED_VALUE"""),0.1)</f>
        <v>0.1</v>
      </c>
      <c r="E9" s="1">
        <f>IFERROR(__xludf.DUMMYFUNCTION("""COMPUTED_VALUE"""),0.11)</f>
        <v>0.11</v>
      </c>
      <c r="F9" s="1">
        <f>IFERROR(__xludf.DUMMYFUNCTION("""COMPUTED_VALUE"""),64500.0)</f>
        <v>64500</v>
      </c>
      <c r="G9" s="2" t="s">
        <v>12</v>
      </c>
    </row>
    <row r="10">
      <c r="A10" s="3">
        <f>IFERROR(__xludf.DUMMYFUNCTION("""COMPUTED_VALUE"""),44575.66666666667)</f>
        <v>44575.66667</v>
      </c>
      <c r="B10" s="1">
        <f>IFERROR(__xludf.DUMMYFUNCTION("""COMPUTED_VALUE"""),0.1)</f>
        <v>0.1</v>
      </c>
      <c r="C10" s="1">
        <f>IFERROR(__xludf.DUMMYFUNCTION("""COMPUTED_VALUE"""),0.11)</f>
        <v>0.11</v>
      </c>
      <c r="D10" s="1">
        <f>IFERROR(__xludf.DUMMYFUNCTION("""COMPUTED_VALUE"""),0.1)</f>
        <v>0.1</v>
      </c>
      <c r="E10" s="1">
        <f>IFERROR(__xludf.DUMMYFUNCTION("""COMPUTED_VALUE"""),0.11)</f>
        <v>0.11</v>
      </c>
      <c r="F10" s="1">
        <f>IFERROR(__xludf.DUMMYFUNCTION("""COMPUTED_VALUE"""),248100.0)</f>
        <v>248100</v>
      </c>
      <c r="G10" s="2" t="s">
        <v>12</v>
      </c>
    </row>
    <row r="11">
      <c r="A11" s="3">
        <f>IFERROR(__xludf.DUMMYFUNCTION("""COMPUTED_VALUE"""),44578.66666666667)</f>
        <v>44578.66667</v>
      </c>
      <c r="B11" s="1">
        <f>IFERROR(__xludf.DUMMYFUNCTION("""COMPUTED_VALUE"""),0.12)</f>
        <v>0.12</v>
      </c>
      <c r="C11" s="1">
        <f>IFERROR(__xludf.DUMMYFUNCTION("""COMPUTED_VALUE"""),0.13)</f>
        <v>0.13</v>
      </c>
      <c r="D11" s="1">
        <f>IFERROR(__xludf.DUMMYFUNCTION("""COMPUTED_VALUE"""),0.11)</f>
        <v>0.11</v>
      </c>
      <c r="E11" s="1">
        <f>IFERROR(__xludf.DUMMYFUNCTION("""COMPUTED_VALUE"""),0.12)</f>
        <v>0.12</v>
      </c>
      <c r="F11" s="1">
        <f>IFERROR(__xludf.DUMMYFUNCTION("""COMPUTED_VALUE"""),209750.0)</f>
        <v>209750</v>
      </c>
      <c r="G11" s="2" t="s">
        <v>12</v>
      </c>
    </row>
    <row r="12">
      <c r="A12" s="3">
        <f>IFERROR(__xludf.DUMMYFUNCTION("""COMPUTED_VALUE"""),44579.66666666667)</f>
        <v>44579.66667</v>
      </c>
      <c r="B12" s="1">
        <f>IFERROR(__xludf.DUMMYFUNCTION("""COMPUTED_VALUE"""),0.13)</f>
        <v>0.13</v>
      </c>
      <c r="C12" s="1">
        <f>IFERROR(__xludf.DUMMYFUNCTION("""COMPUTED_VALUE"""),0.13)</f>
        <v>0.13</v>
      </c>
      <c r="D12" s="1">
        <f>IFERROR(__xludf.DUMMYFUNCTION("""COMPUTED_VALUE"""),0.12)</f>
        <v>0.12</v>
      </c>
      <c r="E12" s="1">
        <f>IFERROR(__xludf.DUMMYFUNCTION("""COMPUTED_VALUE"""),0.12)</f>
        <v>0.12</v>
      </c>
      <c r="F12" s="1">
        <f>IFERROR(__xludf.DUMMYFUNCTION("""COMPUTED_VALUE"""),135000.0)</f>
        <v>135000</v>
      </c>
      <c r="G12" s="2" t="s">
        <v>12</v>
      </c>
    </row>
    <row r="13">
      <c r="A13" s="3">
        <f>IFERROR(__xludf.DUMMYFUNCTION("""COMPUTED_VALUE"""),44580.66666666667)</f>
        <v>44580.66667</v>
      </c>
      <c r="B13" s="1">
        <f>IFERROR(__xludf.DUMMYFUNCTION("""COMPUTED_VALUE"""),0.11)</f>
        <v>0.11</v>
      </c>
      <c r="C13" s="1">
        <f>IFERROR(__xludf.DUMMYFUNCTION("""COMPUTED_VALUE"""),0.12)</f>
        <v>0.12</v>
      </c>
      <c r="D13" s="1">
        <f>IFERROR(__xludf.DUMMYFUNCTION("""COMPUTED_VALUE"""),0.11)</f>
        <v>0.11</v>
      </c>
      <c r="E13" s="1">
        <f>IFERROR(__xludf.DUMMYFUNCTION("""COMPUTED_VALUE"""),0.11)</f>
        <v>0.11</v>
      </c>
      <c r="F13" s="1">
        <f>IFERROR(__xludf.DUMMYFUNCTION("""COMPUTED_VALUE"""),305439.0)</f>
        <v>305439</v>
      </c>
      <c r="G13" s="2" t="s">
        <v>12</v>
      </c>
    </row>
    <row r="14">
      <c r="A14" s="3">
        <f>IFERROR(__xludf.DUMMYFUNCTION("""COMPUTED_VALUE"""),44581.66666666667)</f>
        <v>44581.66667</v>
      </c>
      <c r="B14" s="1">
        <f>IFERROR(__xludf.DUMMYFUNCTION("""COMPUTED_VALUE"""),0.11)</f>
        <v>0.11</v>
      </c>
      <c r="C14" s="1">
        <f>IFERROR(__xludf.DUMMYFUNCTION("""COMPUTED_VALUE"""),0.12)</f>
        <v>0.12</v>
      </c>
      <c r="D14" s="1">
        <f>IFERROR(__xludf.DUMMYFUNCTION("""COMPUTED_VALUE"""),0.11)</f>
        <v>0.11</v>
      </c>
      <c r="E14" s="1">
        <f>IFERROR(__xludf.DUMMYFUNCTION("""COMPUTED_VALUE"""),0.11)</f>
        <v>0.11</v>
      </c>
      <c r="F14" s="1">
        <f>IFERROR(__xludf.DUMMYFUNCTION("""COMPUTED_VALUE"""),168014.0)</f>
        <v>168014</v>
      </c>
      <c r="G14" s="2" t="s">
        <v>12</v>
      </c>
    </row>
    <row r="15">
      <c r="A15" s="3">
        <f>IFERROR(__xludf.DUMMYFUNCTION("""COMPUTED_VALUE"""),44582.66666666667)</f>
        <v>44582.66667</v>
      </c>
      <c r="B15" s="1">
        <f>IFERROR(__xludf.DUMMYFUNCTION("""COMPUTED_VALUE"""),0.12)</f>
        <v>0.12</v>
      </c>
      <c r="C15" s="1">
        <f>IFERROR(__xludf.DUMMYFUNCTION("""COMPUTED_VALUE"""),0.12)</f>
        <v>0.12</v>
      </c>
      <c r="D15" s="1">
        <f>IFERROR(__xludf.DUMMYFUNCTION("""COMPUTED_VALUE"""),0.11)</f>
        <v>0.11</v>
      </c>
      <c r="E15" s="1">
        <f>IFERROR(__xludf.DUMMYFUNCTION("""COMPUTED_VALUE"""),0.12)</f>
        <v>0.12</v>
      </c>
      <c r="F15" s="1">
        <f>IFERROR(__xludf.DUMMYFUNCTION("""COMPUTED_VALUE"""),446184.0)</f>
        <v>446184</v>
      </c>
      <c r="G15" s="2" t="s">
        <v>12</v>
      </c>
    </row>
    <row r="16">
      <c r="A16" s="3">
        <f>IFERROR(__xludf.DUMMYFUNCTION("""COMPUTED_VALUE"""),44585.66666666667)</f>
        <v>44585.66667</v>
      </c>
      <c r="B16" s="1">
        <f>IFERROR(__xludf.DUMMYFUNCTION("""COMPUTED_VALUE"""),0.11)</f>
        <v>0.11</v>
      </c>
      <c r="C16" s="1">
        <f>IFERROR(__xludf.DUMMYFUNCTION("""COMPUTED_VALUE"""),0.11)</f>
        <v>0.11</v>
      </c>
      <c r="D16" s="1">
        <f>IFERROR(__xludf.DUMMYFUNCTION("""COMPUTED_VALUE"""),0.1)</f>
        <v>0.1</v>
      </c>
      <c r="E16" s="1">
        <f>IFERROR(__xludf.DUMMYFUNCTION("""COMPUTED_VALUE"""),0.11)</f>
        <v>0.11</v>
      </c>
      <c r="F16" s="1">
        <f>IFERROR(__xludf.DUMMYFUNCTION("""COMPUTED_VALUE"""),421386.0)</f>
        <v>421386</v>
      </c>
      <c r="G16" s="2" t="s">
        <v>12</v>
      </c>
    </row>
    <row r="17">
      <c r="A17" s="3">
        <f>IFERROR(__xludf.DUMMYFUNCTION("""COMPUTED_VALUE"""),44586.66666666667)</f>
        <v>44586.66667</v>
      </c>
      <c r="B17" s="1">
        <f>IFERROR(__xludf.DUMMYFUNCTION("""COMPUTED_VALUE"""),0.11)</f>
        <v>0.11</v>
      </c>
      <c r="C17" s="1">
        <f>IFERROR(__xludf.DUMMYFUNCTION("""COMPUTED_VALUE"""),0.11)</f>
        <v>0.11</v>
      </c>
      <c r="D17" s="1">
        <f>IFERROR(__xludf.DUMMYFUNCTION("""COMPUTED_VALUE"""),0.11)</f>
        <v>0.11</v>
      </c>
      <c r="E17" s="1">
        <f>IFERROR(__xludf.DUMMYFUNCTION("""COMPUTED_VALUE"""),0.11)</f>
        <v>0.11</v>
      </c>
      <c r="F17" s="1">
        <f>IFERROR(__xludf.DUMMYFUNCTION("""COMPUTED_VALUE"""),126000.0)</f>
        <v>126000</v>
      </c>
      <c r="G17" s="2" t="s">
        <v>12</v>
      </c>
    </row>
    <row r="18">
      <c r="A18" s="3">
        <f>IFERROR(__xludf.DUMMYFUNCTION("""COMPUTED_VALUE"""),44587.66666666667)</f>
        <v>44587.66667</v>
      </c>
      <c r="B18" s="1">
        <f>IFERROR(__xludf.DUMMYFUNCTION("""COMPUTED_VALUE"""),0.11)</f>
        <v>0.11</v>
      </c>
      <c r="C18" s="1">
        <f>IFERROR(__xludf.DUMMYFUNCTION("""COMPUTED_VALUE"""),0.12)</f>
        <v>0.12</v>
      </c>
      <c r="D18" s="1">
        <f>IFERROR(__xludf.DUMMYFUNCTION("""COMPUTED_VALUE"""),0.11)</f>
        <v>0.11</v>
      </c>
      <c r="E18" s="1">
        <f>IFERROR(__xludf.DUMMYFUNCTION("""COMPUTED_VALUE"""),0.11)</f>
        <v>0.11</v>
      </c>
      <c r="F18" s="1">
        <f>IFERROR(__xludf.DUMMYFUNCTION("""COMPUTED_VALUE"""),57000.0)</f>
        <v>57000</v>
      </c>
      <c r="G18" s="2" t="s">
        <v>12</v>
      </c>
    </row>
    <row r="19">
      <c r="A19" s="3">
        <f>IFERROR(__xludf.DUMMYFUNCTION("""COMPUTED_VALUE"""),44588.66666666667)</f>
        <v>44588.66667</v>
      </c>
      <c r="B19" s="1">
        <f>IFERROR(__xludf.DUMMYFUNCTION("""COMPUTED_VALUE"""),0.11)</f>
        <v>0.11</v>
      </c>
      <c r="C19" s="1">
        <f>IFERROR(__xludf.DUMMYFUNCTION("""COMPUTED_VALUE"""),0.12)</f>
        <v>0.12</v>
      </c>
      <c r="D19" s="1">
        <f>IFERROR(__xludf.DUMMYFUNCTION("""COMPUTED_VALUE"""),0.1)</f>
        <v>0.1</v>
      </c>
      <c r="E19" s="1">
        <f>IFERROR(__xludf.DUMMYFUNCTION("""COMPUTED_VALUE"""),0.1)</f>
        <v>0.1</v>
      </c>
      <c r="F19" s="1">
        <f>IFERROR(__xludf.DUMMYFUNCTION("""COMPUTED_VALUE"""),194986.0)</f>
        <v>194986</v>
      </c>
      <c r="G19" s="2" t="s">
        <v>12</v>
      </c>
    </row>
    <row r="20">
      <c r="A20" s="3">
        <f>IFERROR(__xludf.DUMMYFUNCTION("""COMPUTED_VALUE"""),44589.66666666667)</f>
        <v>44589.66667</v>
      </c>
      <c r="B20" s="1">
        <f>IFERROR(__xludf.DUMMYFUNCTION("""COMPUTED_VALUE"""),0.11)</f>
        <v>0.11</v>
      </c>
      <c r="C20" s="1">
        <f>IFERROR(__xludf.DUMMYFUNCTION("""COMPUTED_VALUE"""),0.12)</f>
        <v>0.12</v>
      </c>
      <c r="D20" s="1">
        <f>IFERROR(__xludf.DUMMYFUNCTION("""COMPUTED_VALUE"""),0.1)</f>
        <v>0.1</v>
      </c>
      <c r="E20" s="1">
        <f>IFERROR(__xludf.DUMMYFUNCTION("""COMPUTED_VALUE"""),0.12)</f>
        <v>0.12</v>
      </c>
      <c r="F20" s="1">
        <f>IFERROR(__xludf.DUMMYFUNCTION("""COMPUTED_VALUE"""),540243.0)</f>
        <v>540243</v>
      </c>
      <c r="G20" s="2" t="s">
        <v>12</v>
      </c>
    </row>
    <row r="21">
      <c r="A21" s="3">
        <f>IFERROR(__xludf.DUMMYFUNCTION("""COMPUTED_VALUE"""),44592.66666666667)</f>
        <v>44592.66667</v>
      </c>
      <c r="B21" s="1">
        <f>IFERROR(__xludf.DUMMYFUNCTION("""COMPUTED_VALUE"""),0.12)</f>
        <v>0.12</v>
      </c>
      <c r="C21" s="1">
        <f>IFERROR(__xludf.DUMMYFUNCTION("""COMPUTED_VALUE"""),0.13)</f>
        <v>0.13</v>
      </c>
      <c r="D21" s="1">
        <f>IFERROR(__xludf.DUMMYFUNCTION("""COMPUTED_VALUE"""),0.12)</f>
        <v>0.12</v>
      </c>
      <c r="E21" s="1">
        <f>IFERROR(__xludf.DUMMYFUNCTION("""COMPUTED_VALUE"""),0.12)</f>
        <v>0.12</v>
      </c>
      <c r="F21" s="1">
        <f>IFERROR(__xludf.DUMMYFUNCTION("""COMPUTED_VALUE"""),205348.0)</f>
        <v>205348</v>
      </c>
      <c r="G21" s="2" t="s">
        <v>12</v>
      </c>
    </row>
    <row r="22">
      <c r="A22" s="3">
        <f>IFERROR(__xludf.DUMMYFUNCTION("""COMPUTED_VALUE"""),44593.66666666667)</f>
        <v>44593.66667</v>
      </c>
      <c r="B22" s="1">
        <f>IFERROR(__xludf.DUMMYFUNCTION("""COMPUTED_VALUE"""),0.12)</f>
        <v>0.12</v>
      </c>
      <c r="C22" s="1">
        <f>IFERROR(__xludf.DUMMYFUNCTION("""COMPUTED_VALUE"""),0.12)</f>
        <v>0.12</v>
      </c>
      <c r="D22" s="1">
        <f>IFERROR(__xludf.DUMMYFUNCTION("""COMPUTED_VALUE"""),0.12)</f>
        <v>0.12</v>
      </c>
      <c r="E22" s="1">
        <f>IFERROR(__xludf.DUMMYFUNCTION("""COMPUTED_VALUE"""),0.12)</f>
        <v>0.12</v>
      </c>
      <c r="F22" s="1">
        <f>IFERROR(__xludf.DUMMYFUNCTION("""COMPUTED_VALUE"""),97266.0)</f>
        <v>97266</v>
      </c>
      <c r="G22" s="2" t="s">
        <v>12</v>
      </c>
    </row>
    <row r="23">
      <c r="A23" s="3">
        <f>IFERROR(__xludf.DUMMYFUNCTION("""COMPUTED_VALUE"""),44594.66666666667)</f>
        <v>44594.66667</v>
      </c>
      <c r="B23" s="1">
        <f>IFERROR(__xludf.DUMMYFUNCTION("""COMPUTED_VALUE"""),0.12)</f>
        <v>0.12</v>
      </c>
      <c r="C23" s="1">
        <f>IFERROR(__xludf.DUMMYFUNCTION("""COMPUTED_VALUE"""),0.12)</f>
        <v>0.12</v>
      </c>
      <c r="D23" s="1">
        <f>IFERROR(__xludf.DUMMYFUNCTION("""COMPUTED_VALUE"""),0.11)</f>
        <v>0.11</v>
      </c>
      <c r="E23" s="1">
        <f>IFERROR(__xludf.DUMMYFUNCTION("""COMPUTED_VALUE"""),0.12)</f>
        <v>0.12</v>
      </c>
      <c r="F23" s="1">
        <f>IFERROR(__xludf.DUMMYFUNCTION("""COMPUTED_VALUE"""),193235.0)</f>
        <v>193235</v>
      </c>
      <c r="G23" s="2" t="s">
        <v>12</v>
      </c>
    </row>
    <row r="24">
      <c r="A24" s="3">
        <f>IFERROR(__xludf.DUMMYFUNCTION("""COMPUTED_VALUE"""),44595.66666666667)</f>
        <v>44595.66667</v>
      </c>
      <c r="B24" s="1">
        <f>IFERROR(__xludf.DUMMYFUNCTION("""COMPUTED_VALUE"""),0.12)</f>
        <v>0.12</v>
      </c>
      <c r="C24" s="1">
        <f>IFERROR(__xludf.DUMMYFUNCTION("""COMPUTED_VALUE"""),0.12)</f>
        <v>0.12</v>
      </c>
      <c r="D24" s="1">
        <f>IFERROR(__xludf.DUMMYFUNCTION("""COMPUTED_VALUE"""),0.11)</f>
        <v>0.11</v>
      </c>
      <c r="E24" s="1">
        <f>IFERROR(__xludf.DUMMYFUNCTION("""COMPUTED_VALUE"""),0.11)</f>
        <v>0.11</v>
      </c>
      <c r="F24" s="1">
        <f>IFERROR(__xludf.DUMMYFUNCTION("""COMPUTED_VALUE"""),99529.0)</f>
        <v>99529</v>
      </c>
      <c r="G24" s="2" t="s">
        <v>12</v>
      </c>
    </row>
    <row r="25">
      <c r="A25" s="3">
        <f>IFERROR(__xludf.DUMMYFUNCTION("""COMPUTED_VALUE"""),44596.66666666667)</f>
        <v>44596.66667</v>
      </c>
      <c r="B25" s="1">
        <f>IFERROR(__xludf.DUMMYFUNCTION("""COMPUTED_VALUE"""),0.12)</f>
        <v>0.12</v>
      </c>
      <c r="C25" s="1">
        <f>IFERROR(__xludf.DUMMYFUNCTION("""COMPUTED_VALUE"""),0.12)</f>
        <v>0.12</v>
      </c>
      <c r="D25" s="1">
        <f>IFERROR(__xludf.DUMMYFUNCTION("""COMPUTED_VALUE"""),0.12)</f>
        <v>0.12</v>
      </c>
      <c r="E25" s="1">
        <f>IFERROR(__xludf.DUMMYFUNCTION("""COMPUTED_VALUE"""),0.12)</f>
        <v>0.12</v>
      </c>
      <c r="F25" s="1">
        <f>IFERROR(__xludf.DUMMYFUNCTION("""COMPUTED_VALUE"""),218744.0)</f>
        <v>218744</v>
      </c>
      <c r="G25" s="2" t="s">
        <v>12</v>
      </c>
    </row>
    <row r="26">
      <c r="A26" s="3">
        <f>IFERROR(__xludf.DUMMYFUNCTION("""COMPUTED_VALUE"""),44599.66666666667)</f>
        <v>44599.66667</v>
      </c>
      <c r="B26" s="1">
        <f>IFERROR(__xludf.DUMMYFUNCTION("""COMPUTED_VALUE"""),0.12)</f>
        <v>0.12</v>
      </c>
      <c r="C26" s="1">
        <f>IFERROR(__xludf.DUMMYFUNCTION("""COMPUTED_VALUE"""),0.12)</f>
        <v>0.12</v>
      </c>
      <c r="D26" s="1">
        <f>IFERROR(__xludf.DUMMYFUNCTION("""COMPUTED_VALUE"""),0.12)</f>
        <v>0.12</v>
      </c>
      <c r="E26" s="1">
        <f>IFERROR(__xludf.DUMMYFUNCTION("""COMPUTED_VALUE"""),0.12)</f>
        <v>0.12</v>
      </c>
      <c r="F26" s="1">
        <f>IFERROR(__xludf.DUMMYFUNCTION("""COMPUTED_VALUE"""),74070.0)</f>
        <v>74070</v>
      </c>
      <c r="G26" s="2" t="s">
        <v>12</v>
      </c>
    </row>
    <row r="27">
      <c r="A27" s="3">
        <f>IFERROR(__xludf.DUMMYFUNCTION("""COMPUTED_VALUE"""),44600.66666666667)</f>
        <v>44600.66667</v>
      </c>
      <c r="B27" s="1">
        <f>IFERROR(__xludf.DUMMYFUNCTION("""COMPUTED_VALUE"""),0.12)</f>
        <v>0.12</v>
      </c>
      <c r="C27" s="1">
        <f>IFERROR(__xludf.DUMMYFUNCTION("""COMPUTED_VALUE"""),0.12)</f>
        <v>0.12</v>
      </c>
      <c r="D27" s="1">
        <f>IFERROR(__xludf.DUMMYFUNCTION("""COMPUTED_VALUE"""),0.12)</f>
        <v>0.12</v>
      </c>
      <c r="E27" s="1">
        <f>IFERROR(__xludf.DUMMYFUNCTION("""COMPUTED_VALUE"""),0.12)</f>
        <v>0.12</v>
      </c>
      <c r="F27" s="1">
        <f>IFERROR(__xludf.DUMMYFUNCTION("""COMPUTED_VALUE"""),95656.0)</f>
        <v>95656</v>
      </c>
      <c r="G27" s="2" t="s">
        <v>12</v>
      </c>
    </row>
    <row r="28">
      <c r="A28" s="3">
        <f>IFERROR(__xludf.DUMMYFUNCTION("""COMPUTED_VALUE"""),44601.66666666667)</f>
        <v>44601.66667</v>
      </c>
      <c r="B28" s="1">
        <f>IFERROR(__xludf.DUMMYFUNCTION("""COMPUTED_VALUE"""),0.11)</f>
        <v>0.11</v>
      </c>
      <c r="C28" s="1">
        <f>IFERROR(__xludf.DUMMYFUNCTION("""COMPUTED_VALUE"""),0.11)</f>
        <v>0.11</v>
      </c>
      <c r="D28" s="1">
        <f>IFERROR(__xludf.DUMMYFUNCTION("""COMPUTED_VALUE"""),0.11)</f>
        <v>0.11</v>
      </c>
      <c r="E28" s="1">
        <f>IFERROR(__xludf.DUMMYFUNCTION("""COMPUTED_VALUE"""),0.11)</f>
        <v>0.11</v>
      </c>
      <c r="F28" s="1">
        <f>IFERROR(__xludf.DUMMYFUNCTION("""COMPUTED_VALUE"""),101544.0)</f>
        <v>101544</v>
      </c>
      <c r="G28" s="2" t="s">
        <v>12</v>
      </c>
    </row>
    <row r="29">
      <c r="A29" s="3">
        <f>IFERROR(__xludf.DUMMYFUNCTION("""COMPUTED_VALUE"""),44602.66666666667)</f>
        <v>44602.66667</v>
      </c>
      <c r="B29" s="1">
        <f>IFERROR(__xludf.DUMMYFUNCTION("""COMPUTED_VALUE"""),0.11)</f>
        <v>0.11</v>
      </c>
      <c r="C29" s="1">
        <f>IFERROR(__xludf.DUMMYFUNCTION("""COMPUTED_VALUE"""),0.12)</f>
        <v>0.12</v>
      </c>
      <c r="D29" s="1">
        <f>IFERROR(__xludf.DUMMYFUNCTION("""COMPUTED_VALUE"""),0.11)</f>
        <v>0.11</v>
      </c>
      <c r="E29" s="1">
        <f>IFERROR(__xludf.DUMMYFUNCTION("""COMPUTED_VALUE"""),0.12)</f>
        <v>0.12</v>
      </c>
      <c r="F29" s="1">
        <f>IFERROR(__xludf.DUMMYFUNCTION("""COMPUTED_VALUE"""),33082.0)</f>
        <v>33082</v>
      </c>
      <c r="G29" s="2" t="s">
        <v>12</v>
      </c>
    </row>
    <row r="30">
      <c r="A30" s="3">
        <f>IFERROR(__xludf.DUMMYFUNCTION("""COMPUTED_VALUE"""),44603.66666666667)</f>
        <v>44603.66667</v>
      </c>
      <c r="B30" s="1">
        <f>IFERROR(__xludf.DUMMYFUNCTION("""COMPUTED_VALUE"""),0.12)</f>
        <v>0.12</v>
      </c>
      <c r="C30" s="1">
        <f>IFERROR(__xludf.DUMMYFUNCTION("""COMPUTED_VALUE"""),0.12)</f>
        <v>0.12</v>
      </c>
      <c r="D30" s="1">
        <f>IFERROR(__xludf.DUMMYFUNCTION("""COMPUTED_VALUE"""),0.11)</f>
        <v>0.11</v>
      </c>
      <c r="E30" s="1">
        <f>IFERROR(__xludf.DUMMYFUNCTION("""COMPUTED_VALUE"""),0.11)</f>
        <v>0.11</v>
      </c>
      <c r="F30" s="1">
        <f>IFERROR(__xludf.DUMMYFUNCTION("""COMPUTED_VALUE"""),156830.0)</f>
        <v>156830</v>
      </c>
      <c r="G30" s="2" t="s">
        <v>12</v>
      </c>
    </row>
    <row r="31">
      <c r="A31" s="3">
        <f>IFERROR(__xludf.DUMMYFUNCTION("""COMPUTED_VALUE"""),44606.66666666667)</f>
        <v>44606.66667</v>
      </c>
      <c r="B31" s="1">
        <f>IFERROR(__xludf.DUMMYFUNCTION("""COMPUTED_VALUE"""),0.11)</f>
        <v>0.11</v>
      </c>
      <c r="C31" s="1">
        <f>IFERROR(__xludf.DUMMYFUNCTION("""COMPUTED_VALUE"""),0.11)</f>
        <v>0.11</v>
      </c>
      <c r="D31" s="1">
        <f>IFERROR(__xludf.DUMMYFUNCTION("""COMPUTED_VALUE"""),0.11)</f>
        <v>0.11</v>
      </c>
      <c r="E31" s="1">
        <f>IFERROR(__xludf.DUMMYFUNCTION("""COMPUTED_VALUE"""),0.11)</f>
        <v>0.11</v>
      </c>
      <c r="F31" s="1">
        <f>IFERROR(__xludf.DUMMYFUNCTION("""COMPUTED_VALUE"""),110720.0)</f>
        <v>110720</v>
      </c>
      <c r="G31" s="2" t="s">
        <v>12</v>
      </c>
    </row>
    <row r="32">
      <c r="A32" s="3">
        <f>IFERROR(__xludf.DUMMYFUNCTION("""COMPUTED_VALUE"""),44607.66666666667)</f>
        <v>44607.66667</v>
      </c>
      <c r="B32" s="1">
        <f>IFERROR(__xludf.DUMMYFUNCTION("""COMPUTED_VALUE"""),0.11)</f>
        <v>0.11</v>
      </c>
      <c r="C32" s="1">
        <f>IFERROR(__xludf.DUMMYFUNCTION("""COMPUTED_VALUE"""),0.11)</f>
        <v>0.11</v>
      </c>
      <c r="D32" s="1">
        <f>IFERROR(__xludf.DUMMYFUNCTION("""COMPUTED_VALUE"""),0.1)</f>
        <v>0.1</v>
      </c>
      <c r="E32" s="1">
        <f>IFERROR(__xludf.DUMMYFUNCTION("""COMPUTED_VALUE"""),0.11)</f>
        <v>0.11</v>
      </c>
      <c r="F32" s="1">
        <f>IFERROR(__xludf.DUMMYFUNCTION("""COMPUTED_VALUE"""),136838.0)</f>
        <v>136838</v>
      </c>
      <c r="G32" s="2" t="s">
        <v>12</v>
      </c>
    </row>
    <row r="33">
      <c r="A33" s="3">
        <f>IFERROR(__xludf.DUMMYFUNCTION("""COMPUTED_VALUE"""),44608.66666666667)</f>
        <v>44608.66667</v>
      </c>
      <c r="B33" s="1">
        <f>IFERROR(__xludf.DUMMYFUNCTION("""COMPUTED_VALUE"""),0.11)</f>
        <v>0.11</v>
      </c>
      <c r="C33" s="1">
        <f>IFERROR(__xludf.DUMMYFUNCTION("""COMPUTED_VALUE"""),0.11)</f>
        <v>0.11</v>
      </c>
      <c r="D33" s="1">
        <f>IFERROR(__xludf.DUMMYFUNCTION("""COMPUTED_VALUE"""),0.11)</f>
        <v>0.11</v>
      </c>
      <c r="E33" s="1">
        <f>IFERROR(__xludf.DUMMYFUNCTION("""COMPUTED_VALUE"""),0.11)</f>
        <v>0.11</v>
      </c>
      <c r="F33" s="1">
        <f>IFERROR(__xludf.DUMMYFUNCTION("""COMPUTED_VALUE"""),24209.0)</f>
        <v>24209</v>
      </c>
      <c r="G33" s="2" t="s">
        <v>12</v>
      </c>
    </row>
    <row r="34">
      <c r="A34" s="3">
        <f>IFERROR(__xludf.DUMMYFUNCTION("""COMPUTED_VALUE"""),44609.66666666667)</f>
        <v>44609.66667</v>
      </c>
      <c r="B34" s="1">
        <f>IFERROR(__xludf.DUMMYFUNCTION("""COMPUTED_VALUE"""),0.11)</f>
        <v>0.11</v>
      </c>
      <c r="C34" s="1">
        <f>IFERROR(__xludf.DUMMYFUNCTION("""COMPUTED_VALUE"""),0.11)</f>
        <v>0.11</v>
      </c>
      <c r="D34" s="1">
        <f>IFERROR(__xludf.DUMMYFUNCTION("""COMPUTED_VALUE"""),0.1)</f>
        <v>0.1</v>
      </c>
      <c r="E34" s="1">
        <f>IFERROR(__xludf.DUMMYFUNCTION("""COMPUTED_VALUE"""),0.11)</f>
        <v>0.11</v>
      </c>
      <c r="F34" s="1">
        <f>IFERROR(__xludf.DUMMYFUNCTION("""COMPUTED_VALUE"""),20000.0)</f>
        <v>20000</v>
      </c>
      <c r="G34" s="2" t="s">
        <v>12</v>
      </c>
    </row>
    <row r="35">
      <c r="A35" s="3">
        <f>IFERROR(__xludf.DUMMYFUNCTION("""COMPUTED_VALUE"""),44610.66666666667)</f>
        <v>44610.66667</v>
      </c>
      <c r="B35" s="1">
        <f>IFERROR(__xludf.DUMMYFUNCTION("""COMPUTED_VALUE"""),0.11)</f>
        <v>0.11</v>
      </c>
      <c r="C35" s="1">
        <f>IFERROR(__xludf.DUMMYFUNCTION("""COMPUTED_VALUE"""),0.11)</f>
        <v>0.11</v>
      </c>
      <c r="D35" s="1">
        <f>IFERROR(__xludf.DUMMYFUNCTION("""COMPUTED_VALUE"""),0.1)</f>
        <v>0.1</v>
      </c>
      <c r="E35" s="1">
        <f>IFERROR(__xludf.DUMMYFUNCTION("""COMPUTED_VALUE"""),0.1)</f>
        <v>0.1</v>
      </c>
      <c r="F35" s="1">
        <f>IFERROR(__xludf.DUMMYFUNCTION("""COMPUTED_VALUE"""),64409.0)</f>
        <v>64409</v>
      </c>
      <c r="G35" s="2" t="s">
        <v>12</v>
      </c>
    </row>
    <row r="36">
      <c r="A36" s="3">
        <f>IFERROR(__xludf.DUMMYFUNCTION("""COMPUTED_VALUE"""),44614.66666666667)</f>
        <v>44614.66667</v>
      </c>
      <c r="B36" s="1">
        <f>IFERROR(__xludf.DUMMYFUNCTION("""COMPUTED_VALUE"""),0.11)</f>
        <v>0.11</v>
      </c>
      <c r="C36" s="1">
        <f>IFERROR(__xludf.DUMMYFUNCTION("""COMPUTED_VALUE"""),0.11)</f>
        <v>0.11</v>
      </c>
      <c r="D36" s="1">
        <f>IFERROR(__xludf.DUMMYFUNCTION("""COMPUTED_VALUE"""),0.1)</f>
        <v>0.1</v>
      </c>
      <c r="E36" s="1">
        <f>IFERROR(__xludf.DUMMYFUNCTION("""COMPUTED_VALUE"""),0.1)</f>
        <v>0.1</v>
      </c>
      <c r="F36" s="1">
        <f>IFERROR(__xludf.DUMMYFUNCTION("""COMPUTED_VALUE"""),364259.0)</f>
        <v>364259</v>
      </c>
      <c r="G36" s="2" t="s">
        <v>12</v>
      </c>
    </row>
    <row r="37">
      <c r="A37" s="3">
        <f>IFERROR(__xludf.DUMMYFUNCTION("""COMPUTED_VALUE"""),44615.66666666667)</f>
        <v>44615.66667</v>
      </c>
      <c r="B37" s="1">
        <f>IFERROR(__xludf.DUMMYFUNCTION("""COMPUTED_VALUE"""),0.1)</f>
        <v>0.1</v>
      </c>
      <c r="C37" s="1">
        <f>IFERROR(__xludf.DUMMYFUNCTION("""COMPUTED_VALUE"""),0.1)</f>
        <v>0.1</v>
      </c>
      <c r="D37" s="1">
        <f>IFERROR(__xludf.DUMMYFUNCTION("""COMPUTED_VALUE"""),0.1)</f>
        <v>0.1</v>
      </c>
      <c r="E37" s="1">
        <f>IFERROR(__xludf.DUMMYFUNCTION("""COMPUTED_VALUE"""),0.1)</f>
        <v>0.1</v>
      </c>
      <c r="F37" s="1">
        <f>IFERROR(__xludf.DUMMYFUNCTION("""COMPUTED_VALUE"""),25500.0)</f>
        <v>25500</v>
      </c>
      <c r="G37" s="2" t="s">
        <v>12</v>
      </c>
    </row>
    <row r="38">
      <c r="A38" s="3">
        <f>IFERROR(__xludf.DUMMYFUNCTION("""COMPUTED_VALUE"""),44616.66666666667)</f>
        <v>44616.66667</v>
      </c>
      <c r="B38" s="1">
        <f>IFERROR(__xludf.DUMMYFUNCTION("""COMPUTED_VALUE"""),0.1)</f>
        <v>0.1</v>
      </c>
      <c r="C38" s="1">
        <f>IFERROR(__xludf.DUMMYFUNCTION("""COMPUTED_VALUE"""),0.1)</f>
        <v>0.1</v>
      </c>
      <c r="D38" s="1">
        <f>IFERROR(__xludf.DUMMYFUNCTION("""COMPUTED_VALUE"""),0.09)</f>
        <v>0.09</v>
      </c>
      <c r="E38" s="1">
        <f>IFERROR(__xludf.DUMMYFUNCTION("""COMPUTED_VALUE"""),0.09)</f>
        <v>0.09</v>
      </c>
      <c r="F38" s="1">
        <f>IFERROR(__xludf.DUMMYFUNCTION("""COMPUTED_VALUE"""),252007.0)</f>
        <v>252007</v>
      </c>
      <c r="G38" s="2" t="s">
        <v>12</v>
      </c>
    </row>
    <row r="39">
      <c r="A39" s="3">
        <f>IFERROR(__xludf.DUMMYFUNCTION("""COMPUTED_VALUE"""),44617.66666666667)</f>
        <v>44617.66667</v>
      </c>
      <c r="B39" s="1">
        <f>IFERROR(__xludf.DUMMYFUNCTION("""COMPUTED_VALUE"""),0.1)</f>
        <v>0.1</v>
      </c>
      <c r="C39" s="1">
        <f>IFERROR(__xludf.DUMMYFUNCTION("""COMPUTED_VALUE"""),0.1)</f>
        <v>0.1</v>
      </c>
      <c r="D39" s="1">
        <f>IFERROR(__xludf.DUMMYFUNCTION("""COMPUTED_VALUE"""),0.1)</f>
        <v>0.1</v>
      </c>
      <c r="E39" s="1">
        <f>IFERROR(__xludf.DUMMYFUNCTION("""COMPUTED_VALUE"""),0.1)</f>
        <v>0.1</v>
      </c>
      <c r="F39" s="1">
        <f>IFERROR(__xludf.DUMMYFUNCTION("""COMPUTED_VALUE"""),37566.0)</f>
        <v>37566</v>
      </c>
      <c r="G39" s="2" t="s">
        <v>12</v>
      </c>
    </row>
    <row r="40">
      <c r="A40" s="3">
        <f>IFERROR(__xludf.DUMMYFUNCTION("""COMPUTED_VALUE"""),44620.66666666667)</f>
        <v>44620.66667</v>
      </c>
      <c r="B40" s="1">
        <f>IFERROR(__xludf.DUMMYFUNCTION("""COMPUTED_VALUE"""),0.09)</f>
        <v>0.09</v>
      </c>
      <c r="C40" s="1">
        <f>IFERROR(__xludf.DUMMYFUNCTION("""COMPUTED_VALUE"""),0.1)</f>
        <v>0.1</v>
      </c>
      <c r="D40" s="1">
        <f>IFERROR(__xludf.DUMMYFUNCTION("""COMPUTED_VALUE"""),0.09)</f>
        <v>0.09</v>
      </c>
      <c r="E40" s="1">
        <f>IFERROR(__xludf.DUMMYFUNCTION("""COMPUTED_VALUE"""),0.1)</f>
        <v>0.1</v>
      </c>
      <c r="F40" s="1">
        <f>IFERROR(__xludf.DUMMYFUNCTION("""COMPUTED_VALUE"""),5619.0)</f>
        <v>5619</v>
      </c>
      <c r="G40" s="2" t="s">
        <v>12</v>
      </c>
    </row>
    <row r="41">
      <c r="A41" s="3">
        <f>IFERROR(__xludf.DUMMYFUNCTION("""COMPUTED_VALUE"""),44621.66666666667)</f>
        <v>44621.66667</v>
      </c>
      <c r="B41" s="1">
        <f>IFERROR(__xludf.DUMMYFUNCTION("""COMPUTED_VALUE"""),0.09)</f>
        <v>0.09</v>
      </c>
      <c r="C41" s="1">
        <f>IFERROR(__xludf.DUMMYFUNCTION("""COMPUTED_VALUE"""),0.1)</f>
        <v>0.1</v>
      </c>
      <c r="D41" s="1">
        <f>IFERROR(__xludf.DUMMYFUNCTION("""COMPUTED_VALUE"""),0.09)</f>
        <v>0.09</v>
      </c>
      <c r="E41" s="1">
        <f>IFERROR(__xludf.DUMMYFUNCTION("""COMPUTED_VALUE"""),0.1)</f>
        <v>0.1</v>
      </c>
      <c r="F41" s="1">
        <f>IFERROR(__xludf.DUMMYFUNCTION("""COMPUTED_VALUE"""),43100.0)</f>
        <v>43100</v>
      </c>
      <c r="G41" s="2" t="s">
        <v>12</v>
      </c>
    </row>
    <row r="42">
      <c r="A42" s="3">
        <f>IFERROR(__xludf.DUMMYFUNCTION("""COMPUTED_VALUE"""),44622.66666666667)</f>
        <v>44622.66667</v>
      </c>
      <c r="B42" s="1">
        <f>IFERROR(__xludf.DUMMYFUNCTION("""COMPUTED_VALUE"""),0.09)</f>
        <v>0.09</v>
      </c>
      <c r="C42" s="1">
        <f>IFERROR(__xludf.DUMMYFUNCTION("""COMPUTED_VALUE"""),0.09)</f>
        <v>0.09</v>
      </c>
      <c r="D42" s="1">
        <f>IFERROR(__xludf.DUMMYFUNCTION("""COMPUTED_VALUE"""),0.09)</f>
        <v>0.09</v>
      </c>
      <c r="E42" s="1">
        <f>IFERROR(__xludf.DUMMYFUNCTION("""COMPUTED_VALUE"""),0.09)</f>
        <v>0.09</v>
      </c>
      <c r="F42" s="1">
        <f>IFERROR(__xludf.DUMMYFUNCTION("""COMPUTED_VALUE"""),3000.0)</f>
        <v>3000</v>
      </c>
      <c r="G42" s="2" t="s">
        <v>12</v>
      </c>
    </row>
    <row r="43">
      <c r="A43" s="3">
        <f>IFERROR(__xludf.DUMMYFUNCTION("""COMPUTED_VALUE"""),44623.66666666667)</f>
        <v>44623.66667</v>
      </c>
      <c r="B43" s="1">
        <f>IFERROR(__xludf.DUMMYFUNCTION("""COMPUTED_VALUE"""),0.1)</f>
        <v>0.1</v>
      </c>
      <c r="C43" s="1">
        <f>IFERROR(__xludf.DUMMYFUNCTION("""COMPUTED_VALUE"""),0.1)</f>
        <v>0.1</v>
      </c>
      <c r="D43" s="1">
        <f>IFERROR(__xludf.DUMMYFUNCTION("""COMPUTED_VALUE"""),0.1)</f>
        <v>0.1</v>
      </c>
      <c r="E43" s="1">
        <f>IFERROR(__xludf.DUMMYFUNCTION("""COMPUTED_VALUE"""),0.1)</f>
        <v>0.1</v>
      </c>
      <c r="F43" s="1">
        <f>IFERROR(__xludf.DUMMYFUNCTION("""COMPUTED_VALUE"""),454440.0)</f>
        <v>454440</v>
      </c>
      <c r="G43" s="2" t="s">
        <v>12</v>
      </c>
    </row>
    <row r="44">
      <c r="A44" s="3">
        <f>IFERROR(__xludf.DUMMYFUNCTION("""COMPUTED_VALUE"""),44624.66666666667)</f>
        <v>44624.66667</v>
      </c>
      <c r="B44" s="1">
        <f>IFERROR(__xludf.DUMMYFUNCTION("""COMPUTED_VALUE"""),0.1)</f>
        <v>0.1</v>
      </c>
      <c r="C44" s="1">
        <f>IFERROR(__xludf.DUMMYFUNCTION("""COMPUTED_VALUE"""),0.1)</f>
        <v>0.1</v>
      </c>
      <c r="D44" s="1">
        <f>IFERROR(__xludf.DUMMYFUNCTION("""COMPUTED_VALUE"""),0.09)</f>
        <v>0.09</v>
      </c>
      <c r="E44" s="1">
        <f>IFERROR(__xludf.DUMMYFUNCTION("""COMPUTED_VALUE"""),0.09)</f>
        <v>0.09</v>
      </c>
      <c r="F44" s="1">
        <f>IFERROR(__xludf.DUMMYFUNCTION("""COMPUTED_VALUE"""),239508.0)</f>
        <v>239508</v>
      </c>
      <c r="G44" s="2" t="s">
        <v>12</v>
      </c>
    </row>
    <row r="45">
      <c r="A45" s="3">
        <f>IFERROR(__xludf.DUMMYFUNCTION("""COMPUTED_VALUE"""),44627.66666666667)</f>
        <v>44627.66667</v>
      </c>
      <c r="B45" s="1">
        <f>IFERROR(__xludf.DUMMYFUNCTION("""COMPUTED_VALUE"""),0.1)</f>
        <v>0.1</v>
      </c>
      <c r="C45" s="1">
        <f>IFERROR(__xludf.DUMMYFUNCTION("""COMPUTED_VALUE"""),0.1)</f>
        <v>0.1</v>
      </c>
      <c r="D45" s="1">
        <f>IFERROR(__xludf.DUMMYFUNCTION("""COMPUTED_VALUE"""),0.09)</f>
        <v>0.09</v>
      </c>
      <c r="E45" s="1">
        <f>IFERROR(__xludf.DUMMYFUNCTION("""COMPUTED_VALUE"""),0.1)</f>
        <v>0.1</v>
      </c>
      <c r="F45" s="1">
        <f>IFERROR(__xludf.DUMMYFUNCTION("""COMPUTED_VALUE"""),303000.0)</f>
        <v>303000</v>
      </c>
      <c r="G45" s="2" t="s">
        <v>12</v>
      </c>
    </row>
    <row r="46">
      <c r="A46" s="3">
        <f>IFERROR(__xludf.DUMMYFUNCTION("""COMPUTED_VALUE"""),44628.66666666667)</f>
        <v>44628.66667</v>
      </c>
      <c r="B46" s="1">
        <f>IFERROR(__xludf.DUMMYFUNCTION("""COMPUTED_VALUE"""),0.1)</f>
        <v>0.1</v>
      </c>
      <c r="C46" s="1">
        <f>IFERROR(__xludf.DUMMYFUNCTION("""COMPUTED_VALUE"""),0.1)</f>
        <v>0.1</v>
      </c>
      <c r="D46" s="1">
        <f>IFERROR(__xludf.DUMMYFUNCTION("""COMPUTED_VALUE"""),0.09)</f>
        <v>0.09</v>
      </c>
      <c r="E46" s="1">
        <f>IFERROR(__xludf.DUMMYFUNCTION("""COMPUTED_VALUE"""),0.09)</f>
        <v>0.09</v>
      </c>
      <c r="F46" s="1">
        <f>IFERROR(__xludf.DUMMYFUNCTION("""COMPUTED_VALUE"""),732999.0)</f>
        <v>732999</v>
      </c>
      <c r="G46" s="2" t="s">
        <v>12</v>
      </c>
    </row>
    <row r="47">
      <c r="A47" s="3">
        <f>IFERROR(__xludf.DUMMYFUNCTION("""COMPUTED_VALUE"""),44629.66666666667)</f>
        <v>44629.66667</v>
      </c>
      <c r="B47" s="1">
        <f>IFERROR(__xludf.DUMMYFUNCTION("""COMPUTED_VALUE"""),0.09)</f>
        <v>0.09</v>
      </c>
      <c r="C47" s="1">
        <f>IFERROR(__xludf.DUMMYFUNCTION("""COMPUTED_VALUE"""),0.09)</f>
        <v>0.09</v>
      </c>
      <c r="D47" s="1">
        <f>IFERROR(__xludf.DUMMYFUNCTION("""COMPUTED_VALUE"""),0.09)</f>
        <v>0.09</v>
      </c>
      <c r="E47" s="1">
        <f>IFERROR(__xludf.DUMMYFUNCTION("""COMPUTED_VALUE"""),0.09)</f>
        <v>0.09</v>
      </c>
      <c r="F47" s="1">
        <f>IFERROR(__xludf.DUMMYFUNCTION("""COMPUTED_VALUE"""),107000.0)</f>
        <v>107000</v>
      </c>
      <c r="G47" s="2" t="s">
        <v>12</v>
      </c>
    </row>
    <row r="48">
      <c r="A48" s="3">
        <f>IFERROR(__xludf.DUMMYFUNCTION("""COMPUTED_VALUE"""),44630.66666666667)</f>
        <v>44630.66667</v>
      </c>
      <c r="B48" s="1">
        <f>IFERROR(__xludf.DUMMYFUNCTION("""COMPUTED_VALUE"""),0.09)</f>
        <v>0.09</v>
      </c>
      <c r="C48" s="1">
        <f>IFERROR(__xludf.DUMMYFUNCTION("""COMPUTED_VALUE"""),0.09)</f>
        <v>0.09</v>
      </c>
      <c r="D48" s="1">
        <f>IFERROR(__xludf.DUMMYFUNCTION("""COMPUTED_VALUE"""),0.09)</f>
        <v>0.09</v>
      </c>
      <c r="E48" s="1">
        <f>IFERROR(__xludf.DUMMYFUNCTION("""COMPUTED_VALUE"""),0.09)</f>
        <v>0.09</v>
      </c>
      <c r="F48" s="1">
        <f>IFERROR(__xludf.DUMMYFUNCTION("""COMPUTED_VALUE"""),150300.0)</f>
        <v>150300</v>
      </c>
      <c r="G48" s="2" t="s">
        <v>12</v>
      </c>
    </row>
    <row r="49">
      <c r="A49" s="3">
        <f>IFERROR(__xludf.DUMMYFUNCTION("""COMPUTED_VALUE"""),44631.66666666667)</f>
        <v>44631.66667</v>
      </c>
      <c r="B49" s="1">
        <f>IFERROR(__xludf.DUMMYFUNCTION("""COMPUTED_VALUE"""),0.09)</f>
        <v>0.09</v>
      </c>
      <c r="C49" s="1">
        <f>IFERROR(__xludf.DUMMYFUNCTION("""COMPUTED_VALUE"""),0.09)</f>
        <v>0.09</v>
      </c>
      <c r="D49" s="1">
        <f>IFERROR(__xludf.DUMMYFUNCTION("""COMPUTED_VALUE"""),0.09)</f>
        <v>0.09</v>
      </c>
      <c r="E49" s="1">
        <f>IFERROR(__xludf.DUMMYFUNCTION("""COMPUTED_VALUE"""),0.09)</f>
        <v>0.09</v>
      </c>
      <c r="F49" s="1">
        <f>IFERROR(__xludf.DUMMYFUNCTION("""COMPUTED_VALUE"""),128200.0)</f>
        <v>128200</v>
      </c>
      <c r="G49" s="2" t="s">
        <v>12</v>
      </c>
    </row>
    <row r="50">
      <c r="A50" s="3">
        <f>IFERROR(__xludf.DUMMYFUNCTION("""COMPUTED_VALUE"""),44634.66666666667)</f>
        <v>44634.66667</v>
      </c>
      <c r="B50" s="1">
        <f>IFERROR(__xludf.DUMMYFUNCTION("""COMPUTED_VALUE"""),0.09)</f>
        <v>0.09</v>
      </c>
      <c r="C50" s="1">
        <f>IFERROR(__xludf.DUMMYFUNCTION("""COMPUTED_VALUE"""),0.09)</f>
        <v>0.09</v>
      </c>
      <c r="D50" s="1">
        <f>IFERROR(__xludf.DUMMYFUNCTION("""COMPUTED_VALUE"""),0.08)</f>
        <v>0.08</v>
      </c>
      <c r="E50" s="1">
        <f>IFERROR(__xludf.DUMMYFUNCTION("""COMPUTED_VALUE"""),0.08)</f>
        <v>0.08</v>
      </c>
      <c r="F50" s="1">
        <f>IFERROR(__xludf.DUMMYFUNCTION("""COMPUTED_VALUE"""),296950.0)</f>
        <v>296950</v>
      </c>
      <c r="G50" s="2" t="s">
        <v>12</v>
      </c>
    </row>
    <row r="51">
      <c r="A51" s="3">
        <f>IFERROR(__xludf.DUMMYFUNCTION("""COMPUTED_VALUE"""),44635.66666666667)</f>
        <v>44635.66667</v>
      </c>
      <c r="B51" s="1">
        <f>IFERROR(__xludf.DUMMYFUNCTION("""COMPUTED_VALUE"""),0.08)</f>
        <v>0.08</v>
      </c>
      <c r="C51" s="1">
        <f>IFERROR(__xludf.DUMMYFUNCTION("""COMPUTED_VALUE"""),0.08)</f>
        <v>0.08</v>
      </c>
      <c r="D51" s="1">
        <f>IFERROR(__xludf.DUMMYFUNCTION("""COMPUTED_VALUE"""),0.08)</f>
        <v>0.08</v>
      </c>
      <c r="E51" s="1">
        <f>IFERROR(__xludf.DUMMYFUNCTION("""COMPUTED_VALUE"""),0.08)</f>
        <v>0.08</v>
      </c>
      <c r="F51" s="1">
        <f>IFERROR(__xludf.DUMMYFUNCTION("""COMPUTED_VALUE"""),128000.0)</f>
        <v>128000</v>
      </c>
      <c r="G51" s="2" t="s">
        <v>12</v>
      </c>
    </row>
    <row r="52">
      <c r="A52" s="3">
        <f>IFERROR(__xludf.DUMMYFUNCTION("""COMPUTED_VALUE"""),44636.66666666667)</f>
        <v>44636.66667</v>
      </c>
      <c r="B52" s="1">
        <f>IFERROR(__xludf.DUMMYFUNCTION("""COMPUTED_VALUE"""),0.08)</f>
        <v>0.08</v>
      </c>
      <c r="C52" s="1">
        <f>IFERROR(__xludf.DUMMYFUNCTION("""COMPUTED_VALUE"""),0.08)</f>
        <v>0.08</v>
      </c>
      <c r="D52" s="1">
        <f>IFERROR(__xludf.DUMMYFUNCTION("""COMPUTED_VALUE"""),0.08)</f>
        <v>0.08</v>
      </c>
      <c r="E52" s="1">
        <f>IFERROR(__xludf.DUMMYFUNCTION("""COMPUTED_VALUE"""),0.08)</f>
        <v>0.08</v>
      </c>
      <c r="F52" s="1">
        <f>IFERROR(__xludf.DUMMYFUNCTION("""COMPUTED_VALUE"""),93979.0)</f>
        <v>93979</v>
      </c>
      <c r="G52" s="2" t="s">
        <v>12</v>
      </c>
    </row>
    <row r="53">
      <c r="A53" s="3">
        <f>IFERROR(__xludf.DUMMYFUNCTION("""COMPUTED_VALUE"""),44637.66666666667)</f>
        <v>44637.66667</v>
      </c>
      <c r="B53" s="1">
        <f>IFERROR(__xludf.DUMMYFUNCTION("""COMPUTED_VALUE"""),0.08)</f>
        <v>0.08</v>
      </c>
      <c r="C53" s="1">
        <f>IFERROR(__xludf.DUMMYFUNCTION("""COMPUTED_VALUE"""),0.08)</f>
        <v>0.08</v>
      </c>
      <c r="D53" s="1">
        <f>IFERROR(__xludf.DUMMYFUNCTION("""COMPUTED_VALUE"""),0.08)</f>
        <v>0.08</v>
      </c>
      <c r="E53" s="1">
        <f>IFERROR(__xludf.DUMMYFUNCTION("""COMPUTED_VALUE"""),0.08)</f>
        <v>0.08</v>
      </c>
      <c r="F53" s="1">
        <f>IFERROR(__xludf.DUMMYFUNCTION("""COMPUTED_VALUE"""),221000.0)</f>
        <v>221000</v>
      </c>
      <c r="G53" s="2" t="s">
        <v>12</v>
      </c>
    </row>
    <row r="54">
      <c r="A54" s="3">
        <f>IFERROR(__xludf.DUMMYFUNCTION("""COMPUTED_VALUE"""),44638.66666666667)</f>
        <v>44638.66667</v>
      </c>
      <c r="B54" s="1">
        <f>IFERROR(__xludf.DUMMYFUNCTION("""COMPUTED_VALUE"""),0.08)</f>
        <v>0.08</v>
      </c>
      <c r="C54" s="1">
        <f>IFERROR(__xludf.DUMMYFUNCTION("""COMPUTED_VALUE"""),0.09)</f>
        <v>0.09</v>
      </c>
      <c r="D54" s="1">
        <f>IFERROR(__xludf.DUMMYFUNCTION("""COMPUTED_VALUE"""),0.08)</f>
        <v>0.08</v>
      </c>
      <c r="E54" s="1">
        <f>IFERROR(__xludf.DUMMYFUNCTION("""COMPUTED_VALUE"""),0.08)</f>
        <v>0.08</v>
      </c>
      <c r="F54" s="1">
        <f>IFERROR(__xludf.DUMMYFUNCTION("""COMPUTED_VALUE"""),373000.0)</f>
        <v>373000</v>
      </c>
      <c r="G54" s="2" t="s">
        <v>12</v>
      </c>
    </row>
    <row r="55">
      <c r="A55" s="3">
        <f>IFERROR(__xludf.DUMMYFUNCTION("""COMPUTED_VALUE"""),44641.66666666667)</f>
        <v>44641.66667</v>
      </c>
      <c r="B55" s="1">
        <f>IFERROR(__xludf.DUMMYFUNCTION("""COMPUTED_VALUE"""),0.08)</f>
        <v>0.08</v>
      </c>
      <c r="C55" s="1">
        <f>IFERROR(__xludf.DUMMYFUNCTION("""COMPUTED_VALUE"""),0.08)</f>
        <v>0.08</v>
      </c>
      <c r="D55" s="1">
        <f>IFERROR(__xludf.DUMMYFUNCTION("""COMPUTED_VALUE"""),0.08)</f>
        <v>0.08</v>
      </c>
      <c r="E55" s="1">
        <f>IFERROR(__xludf.DUMMYFUNCTION("""COMPUTED_VALUE"""),0.08)</f>
        <v>0.08</v>
      </c>
      <c r="F55" s="1">
        <f>IFERROR(__xludf.DUMMYFUNCTION("""COMPUTED_VALUE"""),39000.0)</f>
        <v>39000</v>
      </c>
      <c r="G55" s="2" t="s">
        <v>12</v>
      </c>
    </row>
    <row r="56">
      <c r="A56" s="3">
        <f>IFERROR(__xludf.DUMMYFUNCTION("""COMPUTED_VALUE"""),44642.66666666667)</f>
        <v>44642.66667</v>
      </c>
      <c r="B56" s="1">
        <f>IFERROR(__xludf.DUMMYFUNCTION("""COMPUTED_VALUE"""),0.09)</f>
        <v>0.09</v>
      </c>
      <c r="C56" s="1">
        <f>IFERROR(__xludf.DUMMYFUNCTION("""COMPUTED_VALUE"""),0.1)</f>
        <v>0.1</v>
      </c>
      <c r="D56" s="1">
        <f>IFERROR(__xludf.DUMMYFUNCTION("""COMPUTED_VALUE"""),0.09)</f>
        <v>0.09</v>
      </c>
      <c r="E56" s="1">
        <f>IFERROR(__xludf.DUMMYFUNCTION("""COMPUTED_VALUE"""),0.1)</f>
        <v>0.1</v>
      </c>
      <c r="F56" s="1">
        <f>IFERROR(__xludf.DUMMYFUNCTION("""COMPUTED_VALUE"""),865561.0)</f>
        <v>865561</v>
      </c>
      <c r="G56" s="2" t="s">
        <v>12</v>
      </c>
    </row>
    <row r="57">
      <c r="A57" s="3">
        <f>IFERROR(__xludf.DUMMYFUNCTION("""COMPUTED_VALUE"""),44643.66666666667)</f>
        <v>44643.66667</v>
      </c>
      <c r="B57" s="1">
        <f>IFERROR(__xludf.DUMMYFUNCTION("""COMPUTED_VALUE"""),0.1)</f>
        <v>0.1</v>
      </c>
      <c r="C57" s="1">
        <f>IFERROR(__xludf.DUMMYFUNCTION("""COMPUTED_VALUE"""),0.1)</f>
        <v>0.1</v>
      </c>
      <c r="D57" s="1">
        <f>IFERROR(__xludf.DUMMYFUNCTION("""COMPUTED_VALUE"""),0.09)</f>
        <v>0.09</v>
      </c>
      <c r="E57" s="1">
        <f>IFERROR(__xludf.DUMMYFUNCTION("""COMPUTED_VALUE"""),0.1)</f>
        <v>0.1</v>
      </c>
      <c r="F57" s="1">
        <f>IFERROR(__xludf.DUMMYFUNCTION("""COMPUTED_VALUE"""),312660.0)</f>
        <v>312660</v>
      </c>
      <c r="G57" s="2" t="s">
        <v>12</v>
      </c>
    </row>
    <row r="58">
      <c r="A58" s="3">
        <f>IFERROR(__xludf.DUMMYFUNCTION("""COMPUTED_VALUE"""),44644.66666666667)</f>
        <v>44644.66667</v>
      </c>
      <c r="B58" s="1">
        <f>IFERROR(__xludf.DUMMYFUNCTION("""COMPUTED_VALUE"""),0.1)</f>
        <v>0.1</v>
      </c>
      <c r="C58" s="1">
        <f>IFERROR(__xludf.DUMMYFUNCTION("""COMPUTED_VALUE"""),0.1)</f>
        <v>0.1</v>
      </c>
      <c r="D58" s="1">
        <f>IFERROR(__xludf.DUMMYFUNCTION("""COMPUTED_VALUE"""),0.1)</f>
        <v>0.1</v>
      </c>
      <c r="E58" s="1">
        <f>IFERROR(__xludf.DUMMYFUNCTION("""COMPUTED_VALUE"""),0.1)</f>
        <v>0.1</v>
      </c>
      <c r="F58" s="1">
        <f>IFERROR(__xludf.DUMMYFUNCTION("""COMPUTED_VALUE"""),60126.0)</f>
        <v>60126</v>
      </c>
      <c r="G58" s="2" t="s">
        <v>12</v>
      </c>
    </row>
    <row r="59">
      <c r="A59" s="3">
        <f>IFERROR(__xludf.DUMMYFUNCTION("""COMPUTED_VALUE"""),44645.66666666667)</f>
        <v>44645.66667</v>
      </c>
      <c r="B59" s="1">
        <f>IFERROR(__xludf.DUMMYFUNCTION("""COMPUTED_VALUE"""),0.11)</f>
        <v>0.11</v>
      </c>
      <c r="C59" s="1">
        <f>IFERROR(__xludf.DUMMYFUNCTION("""COMPUTED_VALUE"""),0.11)</f>
        <v>0.11</v>
      </c>
      <c r="D59" s="1">
        <f>IFERROR(__xludf.DUMMYFUNCTION("""COMPUTED_VALUE"""),0.11)</f>
        <v>0.11</v>
      </c>
      <c r="E59" s="1">
        <f>IFERROR(__xludf.DUMMYFUNCTION("""COMPUTED_VALUE"""),0.11)</f>
        <v>0.11</v>
      </c>
      <c r="F59" s="1">
        <f>IFERROR(__xludf.DUMMYFUNCTION("""COMPUTED_VALUE"""),2046605.0)</f>
        <v>2046605</v>
      </c>
      <c r="G59" s="2" t="s">
        <v>12</v>
      </c>
    </row>
    <row r="60">
      <c r="A60" s="3">
        <f>IFERROR(__xludf.DUMMYFUNCTION("""COMPUTED_VALUE"""),44648.66666666667)</f>
        <v>44648.66667</v>
      </c>
      <c r="B60" s="1">
        <f>IFERROR(__xludf.DUMMYFUNCTION("""COMPUTED_VALUE"""),0.1)</f>
        <v>0.1</v>
      </c>
      <c r="C60" s="1">
        <f>IFERROR(__xludf.DUMMYFUNCTION("""COMPUTED_VALUE"""),0.11)</f>
        <v>0.11</v>
      </c>
      <c r="D60" s="1">
        <f>IFERROR(__xludf.DUMMYFUNCTION("""COMPUTED_VALUE"""),0.1)</f>
        <v>0.1</v>
      </c>
      <c r="E60" s="1">
        <f>IFERROR(__xludf.DUMMYFUNCTION("""COMPUTED_VALUE"""),0.11)</f>
        <v>0.11</v>
      </c>
      <c r="F60" s="1">
        <f>IFERROR(__xludf.DUMMYFUNCTION("""COMPUTED_VALUE"""),184692.0)</f>
        <v>184692</v>
      </c>
      <c r="G60" s="2" t="s">
        <v>12</v>
      </c>
    </row>
    <row r="61">
      <c r="A61" s="3">
        <f>IFERROR(__xludf.DUMMYFUNCTION("""COMPUTED_VALUE"""),44649.66666666667)</f>
        <v>44649.66667</v>
      </c>
      <c r="B61" s="1">
        <f>IFERROR(__xludf.DUMMYFUNCTION("""COMPUTED_VALUE"""),0.11)</f>
        <v>0.11</v>
      </c>
      <c r="C61" s="1">
        <f>IFERROR(__xludf.DUMMYFUNCTION("""COMPUTED_VALUE"""),0.11)</f>
        <v>0.11</v>
      </c>
      <c r="D61" s="1">
        <f>IFERROR(__xludf.DUMMYFUNCTION("""COMPUTED_VALUE"""),0.1)</f>
        <v>0.1</v>
      </c>
      <c r="E61" s="1">
        <f>IFERROR(__xludf.DUMMYFUNCTION("""COMPUTED_VALUE"""),0.1)</f>
        <v>0.1</v>
      </c>
      <c r="F61" s="1">
        <f>IFERROR(__xludf.DUMMYFUNCTION("""COMPUTED_VALUE"""),401928.0)</f>
        <v>401928</v>
      </c>
      <c r="G61" s="2" t="s">
        <v>12</v>
      </c>
    </row>
    <row r="62">
      <c r="A62" s="3">
        <f>IFERROR(__xludf.DUMMYFUNCTION("""COMPUTED_VALUE"""),44650.66666666667)</f>
        <v>44650.66667</v>
      </c>
      <c r="B62" s="1">
        <f>IFERROR(__xludf.DUMMYFUNCTION("""COMPUTED_VALUE"""),0.1)</f>
        <v>0.1</v>
      </c>
      <c r="C62" s="1">
        <f>IFERROR(__xludf.DUMMYFUNCTION("""COMPUTED_VALUE"""),0.11)</f>
        <v>0.11</v>
      </c>
      <c r="D62" s="1">
        <f>IFERROR(__xludf.DUMMYFUNCTION("""COMPUTED_VALUE"""),0.1)</f>
        <v>0.1</v>
      </c>
      <c r="E62" s="1">
        <f>IFERROR(__xludf.DUMMYFUNCTION("""COMPUTED_VALUE"""),0.11)</f>
        <v>0.11</v>
      </c>
      <c r="F62" s="1">
        <f>IFERROR(__xludf.DUMMYFUNCTION("""COMPUTED_VALUE"""),187400.0)</f>
        <v>187400</v>
      </c>
      <c r="G62" s="2" t="s">
        <v>12</v>
      </c>
    </row>
    <row r="63">
      <c r="A63" s="3">
        <f>IFERROR(__xludf.DUMMYFUNCTION("""COMPUTED_VALUE"""),44651.66666666667)</f>
        <v>44651.66667</v>
      </c>
      <c r="B63" s="1">
        <f>IFERROR(__xludf.DUMMYFUNCTION("""COMPUTED_VALUE"""),0.11)</f>
        <v>0.11</v>
      </c>
      <c r="C63" s="1">
        <f>IFERROR(__xludf.DUMMYFUNCTION("""COMPUTED_VALUE"""),0.11)</f>
        <v>0.11</v>
      </c>
      <c r="D63" s="1">
        <f>IFERROR(__xludf.DUMMYFUNCTION("""COMPUTED_VALUE"""),0.11)</f>
        <v>0.11</v>
      </c>
      <c r="E63" s="1">
        <f>IFERROR(__xludf.DUMMYFUNCTION("""COMPUTED_VALUE"""),0.11)</f>
        <v>0.11</v>
      </c>
      <c r="F63" s="1">
        <f>IFERROR(__xludf.DUMMYFUNCTION("""COMPUTED_VALUE"""),214910.0)</f>
        <v>214910</v>
      </c>
      <c r="G63" s="2" t="s">
        <v>12</v>
      </c>
    </row>
    <row r="64">
      <c r="A64" s="3">
        <f>IFERROR(__xludf.DUMMYFUNCTION("""COMPUTED_VALUE"""),44652.66666666667)</f>
        <v>44652.66667</v>
      </c>
      <c r="B64" s="1">
        <f>IFERROR(__xludf.DUMMYFUNCTION("""COMPUTED_VALUE"""),0.11)</f>
        <v>0.11</v>
      </c>
      <c r="C64" s="1">
        <f>IFERROR(__xludf.DUMMYFUNCTION("""COMPUTED_VALUE"""),0.11)</f>
        <v>0.11</v>
      </c>
      <c r="D64" s="1">
        <f>IFERROR(__xludf.DUMMYFUNCTION("""COMPUTED_VALUE"""),0.11)</f>
        <v>0.11</v>
      </c>
      <c r="E64" s="1">
        <f>IFERROR(__xludf.DUMMYFUNCTION("""COMPUTED_VALUE"""),0.11)</f>
        <v>0.11</v>
      </c>
      <c r="F64" s="1">
        <f>IFERROR(__xludf.DUMMYFUNCTION("""COMPUTED_VALUE"""),315100.0)</f>
        <v>315100</v>
      </c>
      <c r="G64" s="2" t="s">
        <v>12</v>
      </c>
    </row>
    <row r="65">
      <c r="A65" s="3">
        <f>IFERROR(__xludf.DUMMYFUNCTION("""COMPUTED_VALUE"""),44655.66666666667)</f>
        <v>44655.66667</v>
      </c>
      <c r="B65" s="1">
        <f>IFERROR(__xludf.DUMMYFUNCTION("""COMPUTED_VALUE"""),0.11)</f>
        <v>0.11</v>
      </c>
      <c r="C65" s="1">
        <f>IFERROR(__xludf.DUMMYFUNCTION("""COMPUTED_VALUE"""),0.11)</f>
        <v>0.11</v>
      </c>
      <c r="D65" s="1">
        <f>IFERROR(__xludf.DUMMYFUNCTION("""COMPUTED_VALUE"""),0.1)</f>
        <v>0.1</v>
      </c>
      <c r="E65" s="1">
        <f>IFERROR(__xludf.DUMMYFUNCTION("""COMPUTED_VALUE"""),0.11)</f>
        <v>0.11</v>
      </c>
      <c r="F65" s="1">
        <f>IFERROR(__xludf.DUMMYFUNCTION("""COMPUTED_VALUE"""),217432.0)</f>
        <v>217432</v>
      </c>
      <c r="G65" s="2" t="s">
        <v>12</v>
      </c>
    </row>
    <row r="66">
      <c r="A66" s="3">
        <f>IFERROR(__xludf.DUMMYFUNCTION("""COMPUTED_VALUE"""),44656.66666666667)</f>
        <v>44656.66667</v>
      </c>
      <c r="B66" s="1">
        <f>IFERROR(__xludf.DUMMYFUNCTION("""COMPUTED_VALUE"""),0.1)</f>
        <v>0.1</v>
      </c>
      <c r="C66" s="1">
        <f>IFERROR(__xludf.DUMMYFUNCTION("""COMPUTED_VALUE"""),0.1)</f>
        <v>0.1</v>
      </c>
      <c r="D66" s="1">
        <f>IFERROR(__xludf.DUMMYFUNCTION("""COMPUTED_VALUE"""),0.1)</f>
        <v>0.1</v>
      </c>
      <c r="E66" s="1">
        <f>IFERROR(__xludf.DUMMYFUNCTION("""COMPUTED_VALUE"""),0.1)</f>
        <v>0.1</v>
      </c>
      <c r="F66" s="1">
        <f>IFERROR(__xludf.DUMMYFUNCTION("""COMPUTED_VALUE"""),81325.0)</f>
        <v>81325</v>
      </c>
      <c r="G66" s="2" t="s">
        <v>12</v>
      </c>
    </row>
    <row r="67">
      <c r="A67" s="3">
        <f>IFERROR(__xludf.DUMMYFUNCTION("""COMPUTED_VALUE"""),44657.66666666667)</f>
        <v>44657.66667</v>
      </c>
      <c r="B67" s="1">
        <f>IFERROR(__xludf.DUMMYFUNCTION("""COMPUTED_VALUE"""),0.1)</f>
        <v>0.1</v>
      </c>
      <c r="C67" s="1">
        <f>IFERROR(__xludf.DUMMYFUNCTION("""COMPUTED_VALUE"""),0.1)</f>
        <v>0.1</v>
      </c>
      <c r="D67" s="1">
        <f>IFERROR(__xludf.DUMMYFUNCTION("""COMPUTED_VALUE"""),0.1)</f>
        <v>0.1</v>
      </c>
      <c r="E67" s="1">
        <f>IFERROR(__xludf.DUMMYFUNCTION("""COMPUTED_VALUE"""),0.1)</f>
        <v>0.1</v>
      </c>
      <c r="F67" s="1">
        <f>IFERROR(__xludf.DUMMYFUNCTION("""COMPUTED_VALUE"""),20130.0)</f>
        <v>20130</v>
      </c>
      <c r="G67" s="2" t="s">
        <v>12</v>
      </c>
    </row>
    <row r="68">
      <c r="A68" s="3">
        <f>IFERROR(__xludf.DUMMYFUNCTION("""COMPUTED_VALUE"""),44658.66666666667)</f>
        <v>44658.66667</v>
      </c>
      <c r="B68" s="1">
        <f>IFERROR(__xludf.DUMMYFUNCTION("""COMPUTED_VALUE"""),0.1)</f>
        <v>0.1</v>
      </c>
      <c r="C68" s="1">
        <f>IFERROR(__xludf.DUMMYFUNCTION("""COMPUTED_VALUE"""),0.1)</f>
        <v>0.1</v>
      </c>
      <c r="D68" s="1">
        <f>IFERROR(__xludf.DUMMYFUNCTION("""COMPUTED_VALUE"""),0.1)</f>
        <v>0.1</v>
      </c>
      <c r="E68" s="1">
        <f>IFERROR(__xludf.DUMMYFUNCTION("""COMPUTED_VALUE"""),0.1)</f>
        <v>0.1</v>
      </c>
      <c r="F68" s="1">
        <f>IFERROR(__xludf.DUMMYFUNCTION("""COMPUTED_VALUE"""),67465.0)</f>
        <v>67465</v>
      </c>
      <c r="G68" s="2" t="s">
        <v>12</v>
      </c>
    </row>
    <row r="69">
      <c r="A69" s="3">
        <f>IFERROR(__xludf.DUMMYFUNCTION("""COMPUTED_VALUE"""),44659.66666666667)</f>
        <v>44659.66667</v>
      </c>
      <c r="B69" s="1">
        <f>IFERROR(__xludf.DUMMYFUNCTION("""COMPUTED_VALUE"""),0.1)</f>
        <v>0.1</v>
      </c>
      <c r="C69" s="1">
        <f>IFERROR(__xludf.DUMMYFUNCTION("""COMPUTED_VALUE"""),0.1)</f>
        <v>0.1</v>
      </c>
      <c r="D69" s="1">
        <f>IFERROR(__xludf.DUMMYFUNCTION("""COMPUTED_VALUE"""),0.1)</f>
        <v>0.1</v>
      </c>
      <c r="E69" s="1">
        <f>IFERROR(__xludf.DUMMYFUNCTION("""COMPUTED_VALUE"""),0.1)</f>
        <v>0.1</v>
      </c>
      <c r="F69" s="1">
        <f>IFERROR(__xludf.DUMMYFUNCTION("""COMPUTED_VALUE"""),97254.0)</f>
        <v>97254</v>
      </c>
      <c r="G69" s="2" t="s">
        <v>12</v>
      </c>
    </row>
    <row r="70">
      <c r="A70" s="3">
        <f>IFERROR(__xludf.DUMMYFUNCTION("""COMPUTED_VALUE"""),44662.66666666667)</f>
        <v>44662.66667</v>
      </c>
      <c r="B70" s="1">
        <f>IFERROR(__xludf.DUMMYFUNCTION("""COMPUTED_VALUE"""),0.1)</f>
        <v>0.1</v>
      </c>
      <c r="C70" s="1">
        <f>IFERROR(__xludf.DUMMYFUNCTION("""COMPUTED_VALUE"""),0.1)</f>
        <v>0.1</v>
      </c>
      <c r="D70" s="1">
        <f>IFERROR(__xludf.DUMMYFUNCTION("""COMPUTED_VALUE"""),0.1)</f>
        <v>0.1</v>
      </c>
      <c r="E70" s="1">
        <f>IFERROR(__xludf.DUMMYFUNCTION("""COMPUTED_VALUE"""),0.1)</f>
        <v>0.1</v>
      </c>
      <c r="F70" s="1">
        <f>IFERROR(__xludf.DUMMYFUNCTION("""COMPUTED_VALUE"""),15000.0)</f>
        <v>15000</v>
      </c>
      <c r="G70" s="2" t="s">
        <v>12</v>
      </c>
    </row>
    <row r="71">
      <c r="A71" s="3">
        <f>IFERROR(__xludf.DUMMYFUNCTION("""COMPUTED_VALUE"""),44663.66666666667)</f>
        <v>44663.66667</v>
      </c>
      <c r="B71" s="1">
        <f>IFERROR(__xludf.DUMMYFUNCTION("""COMPUTED_VALUE"""),0.1)</f>
        <v>0.1</v>
      </c>
      <c r="C71" s="1">
        <f>IFERROR(__xludf.DUMMYFUNCTION("""COMPUTED_VALUE"""),0.1)</f>
        <v>0.1</v>
      </c>
      <c r="D71" s="1">
        <f>IFERROR(__xludf.DUMMYFUNCTION("""COMPUTED_VALUE"""),0.1)</f>
        <v>0.1</v>
      </c>
      <c r="E71" s="1">
        <f>IFERROR(__xludf.DUMMYFUNCTION("""COMPUTED_VALUE"""),0.1)</f>
        <v>0.1</v>
      </c>
      <c r="F71" s="1">
        <f>IFERROR(__xludf.DUMMYFUNCTION("""COMPUTED_VALUE"""),32877.0)</f>
        <v>32877</v>
      </c>
      <c r="G71" s="2" t="s">
        <v>12</v>
      </c>
    </row>
    <row r="72">
      <c r="A72" s="3">
        <f>IFERROR(__xludf.DUMMYFUNCTION("""COMPUTED_VALUE"""),44664.66666666667)</f>
        <v>44664.66667</v>
      </c>
      <c r="B72" s="1">
        <f>IFERROR(__xludf.DUMMYFUNCTION("""COMPUTED_VALUE"""),0.09)</f>
        <v>0.09</v>
      </c>
      <c r="C72" s="1">
        <f>IFERROR(__xludf.DUMMYFUNCTION("""COMPUTED_VALUE"""),0.1)</f>
        <v>0.1</v>
      </c>
      <c r="D72" s="1">
        <f>IFERROR(__xludf.DUMMYFUNCTION("""COMPUTED_VALUE"""),0.09)</f>
        <v>0.09</v>
      </c>
      <c r="E72" s="1">
        <f>IFERROR(__xludf.DUMMYFUNCTION("""COMPUTED_VALUE"""),0.1)</f>
        <v>0.1</v>
      </c>
      <c r="F72" s="1">
        <f>IFERROR(__xludf.DUMMYFUNCTION("""COMPUTED_VALUE"""),120672.0)</f>
        <v>120672</v>
      </c>
      <c r="G72" s="2" t="s">
        <v>12</v>
      </c>
    </row>
    <row r="73">
      <c r="A73" s="3">
        <f>IFERROR(__xludf.DUMMYFUNCTION("""COMPUTED_VALUE"""),44665.66666666667)</f>
        <v>44665.66667</v>
      </c>
      <c r="B73" s="1">
        <f>IFERROR(__xludf.DUMMYFUNCTION("""COMPUTED_VALUE"""),0.1)</f>
        <v>0.1</v>
      </c>
      <c r="C73" s="1">
        <f>IFERROR(__xludf.DUMMYFUNCTION("""COMPUTED_VALUE"""),0.1)</f>
        <v>0.1</v>
      </c>
      <c r="D73" s="1">
        <f>IFERROR(__xludf.DUMMYFUNCTION("""COMPUTED_VALUE"""),0.09)</f>
        <v>0.09</v>
      </c>
      <c r="E73" s="1">
        <f>IFERROR(__xludf.DUMMYFUNCTION("""COMPUTED_VALUE"""),0.1)</f>
        <v>0.1</v>
      </c>
      <c r="F73" s="1">
        <f>IFERROR(__xludf.DUMMYFUNCTION("""COMPUTED_VALUE"""),88000.0)</f>
        <v>88000</v>
      </c>
      <c r="G73" s="2" t="s">
        <v>12</v>
      </c>
    </row>
    <row r="74">
      <c r="A74" s="3">
        <f>IFERROR(__xludf.DUMMYFUNCTION("""COMPUTED_VALUE"""),44669.66666666667)</f>
        <v>44669.66667</v>
      </c>
      <c r="B74" s="1">
        <f>IFERROR(__xludf.DUMMYFUNCTION("""COMPUTED_VALUE"""),0.1)</f>
        <v>0.1</v>
      </c>
      <c r="C74" s="1">
        <f>IFERROR(__xludf.DUMMYFUNCTION("""COMPUTED_VALUE"""),0.1)</f>
        <v>0.1</v>
      </c>
      <c r="D74" s="1">
        <f>IFERROR(__xludf.DUMMYFUNCTION("""COMPUTED_VALUE"""),0.09)</f>
        <v>0.09</v>
      </c>
      <c r="E74" s="1">
        <f>IFERROR(__xludf.DUMMYFUNCTION("""COMPUTED_VALUE"""),0.09)</f>
        <v>0.09</v>
      </c>
      <c r="F74" s="1">
        <f>IFERROR(__xludf.DUMMYFUNCTION("""COMPUTED_VALUE"""),9369.0)</f>
        <v>9369</v>
      </c>
      <c r="G74" s="2" t="s">
        <v>12</v>
      </c>
    </row>
    <row r="75">
      <c r="A75" s="3">
        <f>IFERROR(__xludf.DUMMYFUNCTION("""COMPUTED_VALUE"""),44670.66666666667)</f>
        <v>44670.66667</v>
      </c>
      <c r="B75" s="1">
        <f>IFERROR(__xludf.DUMMYFUNCTION("""COMPUTED_VALUE"""),0.09)</f>
        <v>0.09</v>
      </c>
      <c r="C75" s="1">
        <f>IFERROR(__xludf.DUMMYFUNCTION("""COMPUTED_VALUE"""),0.1)</f>
        <v>0.1</v>
      </c>
      <c r="D75" s="1">
        <f>IFERROR(__xludf.DUMMYFUNCTION("""COMPUTED_VALUE"""),0.09)</f>
        <v>0.09</v>
      </c>
      <c r="E75" s="1">
        <f>IFERROR(__xludf.DUMMYFUNCTION("""COMPUTED_VALUE"""),0.09)</f>
        <v>0.09</v>
      </c>
      <c r="F75" s="1">
        <f>IFERROR(__xludf.DUMMYFUNCTION("""COMPUTED_VALUE"""),75750.0)</f>
        <v>75750</v>
      </c>
      <c r="G75" s="2" t="s">
        <v>12</v>
      </c>
    </row>
    <row r="76">
      <c r="A76" s="3">
        <f>IFERROR(__xludf.DUMMYFUNCTION("""COMPUTED_VALUE"""),44671.66666666667)</f>
        <v>44671.66667</v>
      </c>
      <c r="B76" s="1">
        <f>IFERROR(__xludf.DUMMYFUNCTION("""COMPUTED_VALUE"""),0.09)</f>
        <v>0.09</v>
      </c>
      <c r="C76" s="1">
        <f>IFERROR(__xludf.DUMMYFUNCTION("""COMPUTED_VALUE"""),0.1)</f>
        <v>0.1</v>
      </c>
      <c r="D76" s="1">
        <f>IFERROR(__xludf.DUMMYFUNCTION("""COMPUTED_VALUE"""),0.09)</f>
        <v>0.09</v>
      </c>
      <c r="E76" s="1">
        <f>IFERROR(__xludf.DUMMYFUNCTION("""COMPUTED_VALUE"""),0.1)</f>
        <v>0.1</v>
      </c>
      <c r="F76" s="1">
        <f>IFERROR(__xludf.DUMMYFUNCTION("""COMPUTED_VALUE"""),171400.0)</f>
        <v>171400</v>
      </c>
      <c r="G76" s="2" t="s">
        <v>12</v>
      </c>
    </row>
    <row r="77">
      <c r="A77" s="3">
        <f>IFERROR(__xludf.DUMMYFUNCTION("""COMPUTED_VALUE"""),44672.66666666667)</f>
        <v>44672.66667</v>
      </c>
      <c r="B77" s="1">
        <f>IFERROR(__xludf.DUMMYFUNCTION("""COMPUTED_VALUE"""),0.1)</f>
        <v>0.1</v>
      </c>
      <c r="C77" s="1">
        <f>IFERROR(__xludf.DUMMYFUNCTION("""COMPUTED_VALUE"""),0.1)</f>
        <v>0.1</v>
      </c>
      <c r="D77" s="1">
        <f>IFERROR(__xludf.DUMMYFUNCTION("""COMPUTED_VALUE"""),0.09)</f>
        <v>0.09</v>
      </c>
      <c r="E77" s="1">
        <f>IFERROR(__xludf.DUMMYFUNCTION("""COMPUTED_VALUE"""),0.09)</f>
        <v>0.09</v>
      </c>
      <c r="F77" s="1">
        <f>IFERROR(__xludf.DUMMYFUNCTION("""COMPUTED_VALUE"""),45350.0)</f>
        <v>45350</v>
      </c>
      <c r="G77" s="2" t="s">
        <v>12</v>
      </c>
    </row>
    <row r="78">
      <c r="A78" s="3">
        <f>IFERROR(__xludf.DUMMYFUNCTION("""COMPUTED_VALUE"""),44673.66666666667)</f>
        <v>44673.66667</v>
      </c>
      <c r="B78" s="1">
        <f>IFERROR(__xludf.DUMMYFUNCTION("""COMPUTED_VALUE"""),0.09)</f>
        <v>0.09</v>
      </c>
      <c r="C78" s="1">
        <f>IFERROR(__xludf.DUMMYFUNCTION("""COMPUTED_VALUE"""),0.09)</f>
        <v>0.09</v>
      </c>
      <c r="D78" s="1">
        <f>IFERROR(__xludf.DUMMYFUNCTION("""COMPUTED_VALUE"""),0.08)</f>
        <v>0.08</v>
      </c>
      <c r="E78" s="1">
        <f>IFERROR(__xludf.DUMMYFUNCTION("""COMPUTED_VALUE"""),0.09)</f>
        <v>0.09</v>
      </c>
      <c r="F78" s="1">
        <f>IFERROR(__xludf.DUMMYFUNCTION("""COMPUTED_VALUE"""),293203.0)</f>
        <v>293203</v>
      </c>
      <c r="G78" s="2" t="s">
        <v>12</v>
      </c>
    </row>
    <row r="79">
      <c r="A79" s="3">
        <f>IFERROR(__xludf.DUMMYFUNCTION("""COMPUTED_VALUE"""),44676.66666666667)</f>
        <v>44676.66667</v>
      </c>
      <c r="B79" s="1">
        <f>IFERROR(__xludf.DUMMYFUNCTION("""COMPUTED_VALUE"""),0.09)</f>
        <v>0.09</v>
      </c>
      <c r="C79" s="1">
        <f>IFERROR(__xludf.DUMMYFUNCTION("""COMPUTED_VALUE"""),0.09)</f>
        <v>0.09</v>
      </c>
      <c r="D79" s="1">
        <f>IFERROR(__xludf.DUMMYFUNCTION("""COMPUTED_VALUE"""),0.09)</f>
        <v>0.09</v>
      </c>
      <c r="E79" s="1">
        <f>IFERROR(__xludf.DUMMYFUNCTION("""COMPUTED_VALUE"""),0.09)</f>
        <v>0.09</v>
      </c>
      <c r="F79" s="1">
        <f>IFERROR(__xludf.DUMMYFUNCTION("""COMPUTED_VALUE"""),243000.0)</f>
        <v>243000</v>
      </c>
      <c r="G79" s="2" t="s">
        <v>12</v>
      </c>
    </row>
    <row r="80">
      <c r="A80" s="3">
        <f>IFERROR(__xludf.DUMMYFUNCTION("""COMPUTED_VALUE"""),44677.66666666667)</f>
        <v>44677.66667</v>
      </c>
      <c r="B80" s="1">
        <f>IFERROR(__xludf.DUMMYFUNCTION("""COMPUTED_VALUE"""),0.09)</f>
        <v>0.09</v>
      </c>
      <c r="C80" s="1">
        <f>IFERROR(__xludf.DUMMYFUNCTION("""COMPUTED_VALUE"""),0.09)</f>
        <v>0.09</v>
      </c>
      <c r="D80" s="1">
        <f>IFERROR(__xludf.DUMMYFUNCTION("""COMPUTED_VALUE"""),0.09)</f>
        <v>0.09</v>
      </c>
      <c r="E80" s="1">
        <f>IFERROR(__xludf.DUMMYFUNCTION("""COMPUTED_VALUE"""),0.09)</f>
        <v>0.09</v>
      </c>
      <c r="F80" s="1">
        <f>IFERROR(__xludf.DUMMYFUNCTION("""COMPUTED_VALUE"""),61618.0)</f>
        <v>61618</v>
      </c>
      <c r="G80" s="2" t="s">
        <v>12</v>
      </c>
    </row>
    <row r="81">
      <c r="A81" s="3">
        <f>IFERROR(__xludf.DUMMYFUNCTION("""COMPUTED_VALUE"""),44678.66666666667)</f>
        <v>44678.66667</v>
      </c>
      <c r="B81" s="1">
        <f>IFERROR(__xludf.DUMMYFUNCTION("""COMPUTED_VALUE"""),0.09)</f>
        <v>0.09</v>
      </c>
      <c r="C81" s="1">
        <f>IFERROR(__xludf.DUMMYFUNCTION("""COMPUTED_VALUE"""),0.09)</f>
        <v>0.09</v>
      </c>
      <c r="D81" s="1">
        <f>IFERROR(__xludf.DUMMYFUNCTION("""COMPUTED_VALUE"""),0.08)</f>
        <v>0.08</v>
      </c>
      <c r="E81" s="1">
        <f>IFERROR(__xludf.DUMMYFUNCTION("""COMPUTED_VALUE"""),0.08)</f>
        <v>0.08</v>
      </c>
      <c r="F81" s="1">
        <f>IFERROR(__xludf.DUMMYFUNCTION("""COMPUTED_VALUE"""),184002.0)</f>
        <v>184002</v>
      </c>
      <c r="G81" s="2" t="s">
        <v>12</v>
      </c>
    </row>
    <row r="82">
      <c r="A82" s="3">
        <f>IFERROR(__xludf.DUMMYFUNCTION("""COMPUTED_VALUE"""),44679.66666666667)</f>
        <v>44679.66667</v>
      </c>
      <c r="B82" s="1">
        <f>IFERROR(__xludf.DUMMYFUNCTION("""COMPUTED_VALUE"""),0.08)</f>
        <v>0.08</v>
      </c>
      <c r="C82" s="1">
        <f>IFERROR(__xludf.DUMMYFUNCTION("""COMPUTED_VALUE"""),0.08)</f>
        <v>0.08</v>
      </c>
      <c r="D82" s="1">
        <f>IFERROR(__xludf.DUMMYFUNCTION("""COMPUTED_VALUE"""),0.07)</f>
        <v>0.07</v>
      </c>
      <c r="E82" s="1">
        <f>IFERROR(__xludf.DUMMYFUNCTION("""COMPUTED_VALUE"""),0.08)</f>
        <v>0.08</v>
      </c>
      <c r="F82" s="1">
        <f>IFERROR(__xludf.DUMMYFUNCTION("""COMPUTED_VALUE"""),271192.0)</f>
        <v>271192</v>
      </c>
      <c r="G82" s="2" t="s">
        <v>12</v>
      </c>
    </row>
    <row r="83">
      <c r="A83" s="3">
        <f>IFERROR(__xludf.DUMMYFUNCTION("""COMPUTED_VALUE"""),44680.66666666667)</f>
        <v>44680.66667</v>
      </c>
      <c r="B83" s="1">
        <f>IFERROR(__xludf.DUMMYFUNCTION("""COMPUTED_VALUE"""),0.08)</f>
        <v>0.08</v>
      </c>
      <c r="C83" s="1">
        <f>IFERROR(__xludf.DUMMYFUNCTION("""COMPUTED_VALUE"""),0.09)</f>
        <v>0.09</v>
      </c>
      <c r="D83" s="1">
        <f>IFERROR(__xludf.DUMMYFUNCTION("""COMPUTED_VALUE"""),0.08)</f>
        <v>0.08</v>
      </c>
      <c r="E83" s="1">
        <f>IFERROR(__xludf.DUMMYFUNCTION("""COMPUTED_VALUE"""),0.09)</f>
        <v>0.09</v>
      </c>
      <c r="F83" s="1">
        <f>IFERROR(__xludf.DUMMYFUNCTION("""COMPUTED_VALUE"""),117200.0)</f>
        <v>117200</v>
      </c>
      <c r="G83" s="2" t="s">
        <v>12</v>
      </c>
    </row>
    <row r="84">
      <c r="A84" s="3">
        <f>IFERROR(__xludf.DUMMYFUNCTION("""COMPUTED_VALUE"""),44683.66666666667)</f>
        <v>44683.66667</v>
      </c>
      <c r="B84" s="1">
        <f>IFERROR(__xludf.DUMMYFUNCTION("""COMPUTED_VALUE"""),0.09)</f>
        <v>0.09</v>
      </c>
      <c r="C84" s="1">
        <f>IFERROR(__xludf.DUMMYFUNCTION("""COMPUTED_VALUE"""),0.09)</f>
        <v>0.09</v>
      </c>
      <c r="D84" s="1">
        <f>IFERROR(__xludf.DUMMYFUNCTION("""COMPUTED_VALUE"""),0.08)</f>
        <v>0.08</v>
      </c>
      <c r="E84" s="1">
        <f>IFERROR(__xludf.DUMMYFUNCTION("""COMPUTED_VALUE"""),0.08)</f>
        <v>0.08</v>
      </c>
      <c r="F84" s="1">
        <f>IFERROR(__xludf.DUMMYFUNCTION("""COMPUTED_VALUE"""),214000.0)</f>
        <v>214000</v>
      </c>
      <c r="G84" s="2" t="s">
        <v>12</v>
      </c>
    </row>
    <row r="85">
      <c r="A85" s="3">
        <f>IFERROR(__xludf.DUMMYFUNCTION("""COMPUTED_VALUE"""),44684.66666666667)</f>
        <v>44684.66667</v>
      </c>
      <c r="B85" s="1">
        <f>IFERROR(__xludf.DUMMYFUNCTION("""COMPUTED_VALUE"""),0.09)</f>
        <v>0.09</v>
      </c>
      <c r="C85" s="1">
        <f>IFERROR(__xludf.DUMMYFUNCTION("""COMPUTED_VALUE"""),0.09)</f>
        <v>0.09</v>
      </c>
      <c r="D85" s="1">
        <f>IFERROR(__xludf.DUMMYFUNCTION("""COMPUTED_VALUE"""),0.08)</f>
        <v>0.08</v>
      </c>
      <c r="E85" s="1">
        <f>IFERROR(__xludf.DUMMYFUNCTION("""COMPUTED_VALUE"""),0.08)</f>
        <v>0.08</v>
      </c>
      <c r="F85" s="1">
        <f>IFERROR(__xludf.DUMMYFUNCTION("""COMPUTED_VALUE"""),316839.0)</f>
        <v>316839</v>
      </c>
      <c r="G85" s="2" t="s">
        <v>12</v>
      </c>
    </row>
    <row r="86">
      <c r="A86" s="3">
        <f>IFERROR(__xludf.DUMMYFUNCTION("""COMPUTED_VALUE"""),44685.66666666667)</f>
        <v>44685.66667</v>
      </c>
      <c r="B86" s="1">
        <f>IFERROR(__xludf.DUMMYFUNCTION("""COMPUTED_VALUE"""),0.08)</f>
        <v>0.08</v>
      </c>
      <c r="C86" s="1">
        <f>IFERROR(__xludf.DUMMYFUNCTION("""COMPUTED_VALUE"""),0.09)</f>
        <v>0.09</v>
      </c>
      <c r="D86" s="1">
        <f>IFERROR(__xludf.DUMMYFUNCTION("""COMPUTED_VALUE"""),0.08)</f>
        <v>0.08</v>
      </c>
      <c r="E86" s="1">
        <f>IFERROR(__xludf.DUMMYFUNCTION("""COMPUTED_VALUE"""),0.09)</f>
        <v>0.09</v>
      </c>
      <c r="F86" s="1">
        <f>IFERROR(__xludf.DUMMYFUNCTION("""COMPUTED_VALUE"""),35006.0)</f>
        <v>35006</v>
      </c>
      <c r="G86" s="2" t="s">
        <v>12</v>
      </c>
    </row>
    <row r="87">
      <c r="A87" s="3">
        <f>IFERROR(__xludf.DUMMYFUNCTION("""COMPUTED_VALUE"""),44686.66666666667)</f>
        <v>44686.66667</v>
      </c>
      <c r="B87" s="1">
        <f>IFERROR(__xludf.DUMMYFUNCTION("""COMPUTED_VALUE"""),0.09)</f>
        <v>0.09</v>
      </c>
      <c r="C87" s="1">
        <f>IFERROR(__xludf.DUMMYFUNCTION("""COMPUTED_VALUE"""),0.09)</f>
        <v>0.09</v>
      </c>
      <c r="D87" s="1">
        <f>IFERROR(__xludf.DUMMYFUNCTION("""COMPUTED_VALUE"""),0.08)</f>
        <v>0.08</v>
      </c>
      <c r="E87" s="1">
        <f>IFERROR(__xludf.DUMMYFUNCTION("""COMPUTED_VALUE"""),0.08)</f>
        <v>0.08</v>
      </c>
      <c r="F87" s="1">
        <f>IFERROR(__xludf.DUMMYFUNCTION("""COMPUTED_VALUE"""),111951.0)</f>
        <v>111951</v>
      </c>
      <c r="G87" s="2" t="s">
        <v>12</v>
      </c>
    </row>
    <row r="88">
      <c r="A88" s="3">
        <f>IFERROR(__xludf.DUMMYFUNCTION("""COMPUTED_VALUE"""),44687.66666666667)</f>
        <v>44687.66667</v>
      </c>
      <c r="B88" s="1">
        <f>IFERROR(__xludf.DUMMYFUNCTION("""COMPUTED_VALUE"""),0.08)</f>
        <v>0.08</v>
      </c>
      <c r="C88" s="1">
        <f>IFERROR(__xludf.DUMMYFUNCTION("""COMPUTED_VALUE"""),0.08)</f>
        <v>0.08</v>
      </c>
      <c r="D88" s="1">
        <f>IFERROR(__xludf.DUMMYFUNCTION("""COMPUTED_VALUE"""),0.08)</f>
        <v>0.08</v>
      </c>
      <c r="E88" s="1">
        <f>IFERROR(__xludf.DUMMYFUNCTION("""COMPUTED_VALUE"""),0.08)</f>
        <v>0.08</v>
      </c>
      <c r="F88" s="1">
        <f>IFERROR(__xludf.DUMMYFUNCTION("""COMPUTED_VALUE"""),32500.0)</f>
        <v>32500</v>
      </c>
      <c r="G88" s="2" t="s">
        <v>12</v>
      </c>
    </row>
    <row r="89">
      <c r="A89" s="3">
        <f>IFERROR(__xludf.DUMMYFUNCTION("""COMPUTED_VALUE"""),44690.66666666667)</f>
        <v>44690.66667</v>
      </c>
      <c r="B89" s="1">
        <f>IFERROR(__xludf.DUMMYFUNCTION("""COMPUTED_VALUE"""),0.08)</f>
        <v>0.08</v>
      </c>
      <c r="C89" s="1">
        <f>IFERROR(__xludf.DUMMYFUNCTION("""COMPUTED_VALUE"""),0.08)</f>
        <v>0.08</v>
      </c>
      <c r="D89" s="1">
        <f>IFERROR(__xludf.DUMMYFUNCTION("""COMPUTED_VALUE"""),0.07)</f>
        <v>0.07</v>
      </c>
      <c r="E89" s="1">
        <f>IFERROR(__xludf.DUMMYFUNCTION("""COMPUTED_VALUE"""),0.08)</f>
        <v>0.08</v>
      </c>
      <c r="F89" s="1">
        <f>IFERROR(__xludf.DUMMYFUNCTION("""COMPUTED_VALUE"""),189436.0)</f>
        <v>189436</v>
      </c>
      <c r="G89" s="2" t="s">
        <v>12</v>
      </c>
    </row>
    <row r="90">
      <c r="A90" s="3">
        <f>IFERROR(__xludf.DUMMYFUNCTION("""COMPUTED_VALUE"""),44691.66666666667)</f>
        <v>44691.66667</v>
      </c>
      <c r="B90" s="1">
        <f>IFERROR(__xludf.DUMMYFUNCTION("""COMPUTED_VALUE"""),0.07)</f>
        <v>0.07</v>
      </c>
      <c r="C90" s="1">
        <f>IFERROR(__xludf.DUMMYFUNCTION("""COMPUTED_VALUE"""),0.08)</f>
        <v>0.08</v>
      </c>
      <c r="D90" s="1">
        <f>IFERROR(__xludf.DUMMYFUNCTION("""COMPUTED_VALUE"""),0.07)</f>
        <v>0.07</v>
      </c>
      <c r="E90" s="1">
        <f>IFERROR(__xludf.DUMMYFUNCTION("""COMPUTED_VALUE"""),0.07)</f>
        <v>0.07</v>
      </c>
      <c r="F90" s="1">
        <f>IFERROR(__xludf.DUMMYFUNCTION("""COMPUTED_VALUE"""),235965.0)</f>
        <v>235965</v>
      </c>
      <c r="G90" s="2" t="s">
        <v>12</v>
      </c>
    </row>
    <row r="91">
      <c r="A91" s="3">
        <f>IFERROR(__xludf.DUMMYFUNCTION("""COMPUTED_VALUE"""),44692.66666666667)</f>
        <v>44692.66667</v>
      </c>
      <c r="B91" s="1">
        <f>IFERROR(__xludf.DUMMYFUNCTION("""COMPUTED_VALUE"""),0.07)</f>
        <v>0.07</v>
      </c>
      <c r="C91" s="1">
        <f>IFERROR(__xludf.DUMMYFUNCTION("""COMPUTED_VALUE"""),0.09)</f>
        <v>0.09</v>
      </c>
      <c r="D91" s="1">
        <f>IFERROR(__xludf.DUMMYFUNCTION("""COMPUTED_VALUE"""),0.07)</f>
        <v>0.07</v>
      </c>
      <c r="E91" s="1">
        <f>IFERROR(__xludf.DUMMYFUNCTION("""COMPUTED_VALUE"""),0.08)</f>
        <v>0.08</v>
      </c>
      <c r="F91" s="1">
        <f>IFERROR(__xludf.DUMMYFUNCTION("""COMPUTED_VALUE"""),175249.0)</f>
        <v>175249</v>
      </c>
      <c r="G91" s="2" t="s">
        <v>12</v>
      </c>
    </row>
    <row r="92">
      <c r="A92" s="3">
        <f>IFERROR(__xludf.DUMMYFUNCTION("""COMPUTED_VALUE"""),44693.66666666667)</f>
        <v>44693.66667</v>
      </c>
      <c r="B92" s="1">
        <f>IFERROR(__xludf.DUMMYFUNCTION("""COMPUTED_VALUE"""),0.08)</f>
        <v>0.08</v>
      </c>
      <c r="C92" s="1">
        <f>IFERROR(__xludf.DUMMYFUNCTION("""COMPUTED_VALUE"""),0.08)</f>
        <v>0.08</v>
      </c>
      <c r="D92" s="1">
        <f>IFERROR(__xludf.DUMMYFUNCTION("""COMPUTED_VALUE"""),0.08)</f>
        <v>0.08</v>
      </c>
      <c r="E92" s="1">
        <f>IFERROR(__xludf.DUMMYFUNCTION("""COMPUTED_VALUE"""),0.08)</f>
        <v>0.08</v>
      </c>
      <c r="F92" s="1">
        <f>IFERROR(__xludf.DUMMYFUNCTION("""COMPUTED_VALUE"""),30918.0)</f>
        <v>30918</v>
      </c>
      <c r="G92" s="2" t="s">
        <v>12</v>
      </c>
    </row>
    <row r="93">
      <c r="A93" s="3">
        <f>IFERROR(__xludf.DUMMYFUNCTION("""COMPUTED_VALUE"""),44694.66666666667)</f>
        <v>44694.66667</v>
      </c>
      <c r="B93" s="1">
        <f>IFERROR(__xludf.DUMMYFUNCTION("""COMPUTED_VALUE"""),0.08)</f>
        <v>0.08</v>
      </c>
      <c r="C93" s="1">
        <f>IFERROR(__xludf.DUMMYFUNCTION("""COMPUTED_VALUE"""),0.08)</f>
        <v>0.08</v>
      </c>
      <c r="D93" s="1">
        <f>IFERROR(__xludf.DUMMYFUNCTION("""COMPUTED_VALUE"""),0.07)</f>
        <v>0.07</v>
      </c>
      <c r="E93" s="1">
        <f>IFERROR(__xludf.DUMMYFUNCTION("""COMPUTED_VALUE"""),0.08)</f>
        <v>0.08</v>
      </c>
      <c r="F93" s="1">
        <f>IFERROR(__xludf.DUMMYFUNCTION("""COMPUTED_VALUE"""),117899.0)</f>
        <v>117899</v>
      </c>
      <c r="G93" s="2" t="s">
        <v>12</v>
      </c>
    </row>
    <row r="94">
      <c r="A94" s="3">
        <f>IFERROR(__xludf.DUMMYFUNCTION("""COMPUTED_VALUE"""),44697.66666666667)</f>
        <v>44697.66667</v>
      </c>
      <c r="B94" s="1">
        <f>IFERROR(__xludf.DUMMYFUNCTION("""COMPUTED_VALUE"""),0.07)</f>
        <v>0.07</v>
      </c>
      <c r="C94" s="1">
        <f>IFERROR(__xludf.DUMMYFUNCTION("""COMPUTED_VALUE"""),0.08)</f>
        <v>0.08</v>
      </c>
      <c r="D94" s="1">
        <f>IFERROR(__xludf.DUMMYFUNCTION("""COMPUTED_VALUE"""),0.07)</f>
        <v>0.07</v>
      </c>
      <c r="E94" s="1">
        <f>IFERROR(__xludf.DUMMYFUNCTION("""COMPUTED_VALUE"""),0.08)</f>
        <v>0.08</v>
      </c>
      <c r="F94" s="1">
        <f>IFERROR(__xludf.DUMMYFUNCTION("""COMPUTED_VALUE"""),158034.0)</f>
        <v>158034</v>
      </c>
      <c r="G94" s="2" t="s">
        <v>12</v>
      </c>
    </row>
    <row r="95">
      <c r="A95" s="3">
        <f>IFERROR(__xludf.DUMMYFUNCTION("""COMPUTED_VALUE"""),44698.66666666667)</f>
        <v>44698.66667</v>
      </c>
      <c r="B95" s="1">
        <f>IFERROR(__xludf.DUMMYFUNCTION("""COMPUTED_VALUE"""),0.08)</f>
        <v>0.08</v>
      </c>
      <c r="C95" s="1">
        <f>IFERROR(__xludf.DUMMYFUNCTION("""COMPUTED_VALUE"""),0.08)</f>
        <v>0.08</v>
      </c>
      <c r="D95" s="1">
        <f>IFERROR(__xludf.DUMMYFUNCTION("""COMPUTED_VALUE"""),0.07)</f>
        <v>0.07</v>
      </c>
      <c r="E95" s="1">
        <f>IFERROR(__xludf.DUMMYFUNCTION("""COMPUTED_VALUE"""),0.07)</f>
        <v>0.07</v>
      </c>
      <c r="F95" s="1">
        <f>IFERROR(__xludf.DUMMYFUNCTION("""COMPUTED_VALUE"""),505900.0)</f>
        <v>505900</v>
      </c>
      <c r="G95" s="2" t="s">
        <v>12</v>
      </c>
    </row>
    <row r="96">
      <c r="A96" s="3">
        <f>IFERROR(__xludf.DUMMYFUNCTION("""COMPUTED_VALUE"""),44699.66666666667)</f>
        <v>44699.66667</v>
      </c>
      <c r="B96" s="1">
        <f>IFERROR(__xludf.DUMMYFUNCTION("""COMPUTED_VALUE"""),0.07)</f>
        <v>0.07</v>
      </c>
      <c r="C96" s="1">
        <f>IFERROR(__xludf.DUMMYFUNCTION("""COMPUTED_VALUE"""),0.07)</f>
        <v>0.07</v>
      </c>
      <c r="D96" s="1">
        <f>IFERROR(__xludf.DUMMYFUNCTION("""COMPUTED_VALUE"""),0.07)</f>
        <v>0.07</v>
      </c>
      <c r="E96" s="1">
        <f>IFERROR(__xludf.DUMMYFUNCTION("""COMPUTED_VALUE"""),0.07)</f>
        <v>0.07</v>
      </c>
      <c r="F96" s="1">
        <f>IFERROR(__xludf.DUMMYFUNCTION("""COMPUTED_VALUE"""),119586.0)</f>
        <v>119586</v>
      </c>
      <c r="G96" s="2" t="s">
        <v>12</v>
      </c>
    </row>
    <row r="97">
      <c r="A97" s="3">
        <f>IFERROR(__xludf.DUMMYFUNCTION("""COMPUTED_VALUE"""),44700.66666666667)</f>
        <v>44700.66667</v>
      </c>
      <c r="B97" s="1">
        <f>IFERROR(__xludf.DUMMYFUNCTION("""COMPUTED_VALUE"""),0.07)</f>
        <v>0.07</v>
      </c>
      <c r="C97" s="1">
        <f>IFERROR(__xludf.DUMMYFUNCTION("""COMPUTED_VALUE"""),0.07)</f>
        <v>0.07</v>
      </c>
      <c r="D97" s="1">
        <f>IFERROR(__xludf.DUMMYFUNCTION("""COMPUTED_VALUE"""),0.07)</f>
        <v>0.07</v>
      </c>
      <c r="E97" s="1">
        <f>IFERROR(__xludf.DUMMYFUNCTION("""COMPUTED_VALUE"""),0.07)</f>
        <v>0.07</v>
      </c>
      <c r="F97" s="1">
        <f>IFERROR(__xludf.DUMMYFUNCTION("""COMPUTED_VALUE"""),23900.0)</f>
        <v>23900</v>
      </c>
      <c r="G97" s="2" t="s">
        <v>12</v>
      </c>
    </row>
    <row r="98">
      <c r="A98" s="3">
        <f>IFERROR(__xludf.DUMMYFUNCTION("""COMPUTED_VALUE"""),44701.66666666667)</f>
        <v>44701.66667</v>
      </c>
      <c r="B98" s="1">
        <f>IFERROR(__xludf.DUMMYFUNCTION("""COMPUTED_VALUE"""),0.07)</f>
        <v>0.07</v>
      </c>
      <c r="C98" s="1">
        <f>IFERROR(__xludf.DUMMYFUNCTION("""COMPUTED_VALUE"""),0.07)</f>
        <v>0.07</v>
      </c>
      <c r="D98" s="1">
        <f>IFERROR(__xludf.DUMMYFUNCTION("""COMPUTED_VALUE"""),0.07)</f>
        <v>0.07</v>
      </c>
      <c r="E98" s="1">
        <f>IFERROR(__xludf.DUMMYFUNCTION("""COMPUTED_VALUE"""),0.07)</f>
        <v>0.07</v>
      </c>
      <c r="F98" s="1">
        <f>IFERROR(__xludf.DUMMYFUNCTION("""COMPUTED_VALUE"""),45000.0)</f>
        <v>45000</v>
      </c>
      <c r="G98" s="2" t="s">
        <v>12</v>
      </c>
    </row>
    <row r="99">
      <c r="A99" s="3">
        <f>IFERROR(__xludf.DUMMYFUNCTION("""COMPUTED_VALUE"""),44706.66666666667)</f>
        <v>44706.66667</v>
      </c>
      <c r="B99" s="1">
        <f>IFERROR(__xludf.DUMMYFUNCTION("""COMPUTED_VALUE"""),0.07)</f>
        <v>0.07</v>
      </c>
      <c r="C99" s="1">
        <f>IFERROR(__xludf.DUMMYFUNCTION("""COMPUTED_VALUE"""),0.07)</f>
        <v>0.07</v>
      </c>
      <c r="D99" s="1">
        <f>IFERROR(__xludf.DUMMYFUNCTION("""COMPUTED_VALUE"""),0.07)</f>
        <v>0.07</v>
      </c>
      <c r="E99" s="1">
        <f>IFERROR(__xludf.DUMMYFUNCTION("""COMPUTED_VALUE"""),0.07)</f>
        <v>0.07</v>
      </c>
      <c r="F99" s="1">
        <f>IFERROR(__xludf.DUMMYFUNCTION("""COMPUTED_VALUE"""),12000.0)</f>
        <v>12000</v>
      </c>
      <c r="G99" s="2" t="s">
        <v>12</v>
      </c>
    </row>
    <row r="100">
      <c r="A100" s="3">
        <f>IFERROR(__xludf.DUMMYFUNCTION("""COMPUTED_VALUE"""),44707.66666666667)</f>
        <v>44707.66667</v>
      </c>
      <c r="B100" s="1">
        <f>IFERROR(__xludf.DUMMYFUNCTION("""COMPUTED_VALUE"""),0.07)</f>
        <v>0.07</v>
      </c>
      <c r="C100" s="1">
        <f>IFERROR(__xludf.DUMMYFUNCTION("""COMPUTED_VALUE"""),0.07)</f>
        <v>0.07</v>
      </c>
      <c r="D100" s="1">
        <f>IFERROR(__xludf.DUMMYFUNCTION("""COMPUTED_VALUE"""),0.06)</f>
        <v>0.06</v>
      </c>
      <c r="E100" s="1">
        <f>IFERROR(__xludf.DUMMYFUNCTION("""COMPUTED_VALUE"""),0.07)</f>
        <v>0.07</v>
      </c>
      <c r="F100" s="1">
        <f>IFERROR(__xludf.DUMMYFUNCTION("""COMPUTED_VALUE"""),35528.0)</f>
        <v>35528</v>
      </c>
      <c r="G100" s="2" t="s">
        <v>12</v>
      </c>
    </row>
    <row r="101">
      <c r="A101" s="3">
        <f>IFERROR(__xludf.DUMMYFUNCTION("""COMPUTED_VALUE"""),44708.66666666667)</f>
        <v>44708.66667</v>
      </c>
      <c r="B101" s="1">
        <f>IFERROR(__xludf.DUMMYFUNCTION("""COMPUTED_VALUE"""),0.07)</f>
        <v>0.07</v>
      </c>
      <c r="C101" s="1">
        <f>IFERROR(__xludf.DUMMYFUNCTION("""COMPUTED_VALUE"""),0.07)</f>
        <v>0.07</v>
      </c>
      <c r="D101" s="1">
        <f>IFERROR(__xludf.DUMMYFUNCTION("""COMPUTED_VALUE"""),0.07)</f>
        <v>0.07</v>
      </c>
      <c r="E101" s="1">
        <f>IFERROR(__xludf.DUMMYFUNCTION("""COMPUTED_VALUE"""),0.07)</f>
        <v>0.07</v>
      </c>
      <c r="F101" s="1">
        <f>IFERROR(__xludf.DUMMYFUNCTION("""COMPUTED_VALUE"""),162000.0)</f>
        <v>162000</v>
      </c>
      <c r="G101" s="2" t="s">
        <v>12</v>
      </c>
    </row>
    <row r="102">
      <c r="A102" s="3">
        <f>IFERROR(__xludf.DUMMYFUNCTION("""COMPUTED_VALUE"""),44711.66666666667)</f>
        <v>44711.66667</v>
      </c>
      <c r="B102" s="1">
        <f>IFERROR(__xludf.DUMMYFUNCTION("""COMPUTED_VALUE"""),0.08)</f>
        <v>0.08</v>
      </c>
      <c r="C102" s="1">
        <f>IFERROR(__xludf.DUMMYFUNCTION("""COMPUTED_VALUE"""),0.08)</f>
        <v>0.08</v>
      </c>
      <c r="D102" s="1">
        <f>IFERROR(__xludf.DUMMYFUNCTION("""COMPUTED_VALUE"""),0.07)</f>
        <v>0.07</v>
      </c>
      <c r="E102" s="1">
        <f>IFERROR(__xludf.DUMMYFUNCTION("""COMPUTED_VALUE"""),0.07)</f>
        <v>0.07</v>
      </c>
      <c r="F102" s="1">
        <f>IFERROR(__xludf.DUMMYFUNCTION("""COMPUTED_VALUE"""),3694.0)</f>
        <v>3694</v>
      </c>
      <c r="G102" s="2" t="s">
        <v>12</v>
      </c>
    </row>
    <row r="103">
      <c r="A103" s="3">
        <f>IFERROR(__xludf.DUMMYFUNCTION("""COMPUTED_VALUE"""),44712.66666666667)</f>
        <v>44712.66667</v>
      </c>
      <c r="B103" s="1">
        <f>IFERROR(__xludf.DUMMYFUNCTION("""COMPUTED_VALUE"""),0.07)</f>
        <v>0.07</v>
      </c>
      <c r="C103" s="1">
        <f>IFERROR(__xludf.DUMMYFUNCTION("""COMPUTED_VALUE"""),0.07)</f>
        <v>0.07</v>
      </c>
      <c r="D103" s="1">
        <f>IFERROR(__xludf.DUMMYFUNCTION("""COMPUTED_VALUE"""),0.07)</f>
        <v>0.07</v>
      </c>
      <c r="E103" s="1">
        <f>IFERROR(__xludf.DUMMYFUNCTION("""COMPUTED_VALUE"""),0.07)</f>
        <v>0.07</v>
      </c>
      <c r="F103" s="1">
        <f>IFERROR(__xludf.DUMMYFUNCTION("""COMPUTED_VALUE"""),7500.0)</f>
        <v>7500</v>
      </c>
      <c r="G103" s="2" t="s">
        <v>12</v>
      </c>
    </row>
    <row r="104">
      <c r="A104" s="3">
        <f>IFERROR(__xludf.DUMMYFUNCTION("""COMPUTED_VALUE"""),44713.66666666667)</f>
        <v>44713.66667</v>
      </c>
      <c r="B104" s="1">
        <f>IFERROR(__xludf.DUMMYFUNCTION("""COMPUTED_VALUE"""),0.07)</f>
        <v>0.07</v>
      </c>
      <c r="C104" s="1">
        <f>IFERROR(__xludf.DUMMYFUNCTION("""COMPUTED_VALUE"""),0.07)</f>
        <v>0.07</v>
      </c>
      <c r="D104" s="1">
        <f>IFERROR(__xludf.DUMMYFUNCTION("""COMPUTED_VALUE"""),0.07)</f>
        <v>0.07</v>
      </c>
      <c r="E104" s="1">
        <f>IFERROR(__xludf.DUMMYFUNCTION("""COMPUTED_VALUE"""),0.07)</f>
        <v>0.07</v>
      </c>
      <c r="F104" s="1">
        <f>IFERROR(__xludf.DUMMYFUNCTION("""COMPUTED_VALUE"""),26000.0)</f>
        <v>26000</v>
      </c>
      <c r="G104" s="2" t="s">
        <v>12</v>
      </c>
    </row>
    <row r="105">
      <c r="A105" s="3">
        <f>IFERROR(__xludf.DUMMYFUNCTION("""COMPUTED_VALUE"""),44714.66666666667)</f>
        <v>44714.66667</v>
      </c>
      <c r="B105" s="1">
        <f>IFERROR(__xludf.DUMMYFUNCTION("""COMPUTED_VALUE"""),0.07)</f>
        <v>0.07</v>
      </c>
      <c r="C105" s="1">
        <f>IFERROR(__xludf.DUMMYFUNCTION("""COMPUTED_VALUE"""),0.07)</f>
        <v>0.07</v>
      </c>
      <c r="D105" s="1">
        <f>IFERROR(__xludf.DUMMYFUNCTION("""COMPUTED_VALUE"""),0.07)</f>
        <v>0.07</v>
      </c>
      <c r="E105" s="1">
        <f>IFERROR(__xludf.DUMMYFUNCTION("""COMPUTED_VALUE"""),0.07)</f>
        <v>0.07</v>
      </c>
      <c r="F105" s="1">
        <f>IFERROR(__xludf.DUMMYFUNCTION("""COMPUTED_VALUE"""),30520.0)</f>
        <v>30520</v>
      </c>
      <c r="G105" s="2" t="s">
        <v>12</v>
      </c>
    </row>
    <row r="106">
      <c r="A106" s="3">
        <f>IFERROR(__xludf.DUMMYFUNCTION("""COMPUTED_VALUE"""),44715.66666666667)</f>
        <v>44715.66667</v>
      </c>
      <c r="B106" s="1">
        <f>IFERROR(__xludf.DUMMYFUNCTION("""COMPUTED_VALUE"""),0.07)</f>
        <v>0.07</v>
      </c>
      <c r="C106" s="1">
        <f>IFERROR(__xludf.DUMMYFUNCTION("""COMPUTED_VALUE"""),0.07)</f>
        <v>0.07</v>
      </c>
      <c r="D106" s="1">
        <f>IFERROR(__xludf.DUMMYFUNCTION("""COMPUTED_VALUE"""),0.07)</f>
        <v>0.07</v>
      </c>
      <c r="E106" s="1">
        <f>IFERROR(__xludf.DUMMYFUNCTION("""COMPUTED_VALUE"""),0.07)</f>
        <v>0.07</v>
      </c>
      <c r="F106" s="1">
        <f>IFERROR(__xludf.DUMMYFUNCTION("""COMPUTED_VALUE"""),5860.0)</f>
        <v>5860</v>
      </c>
      <c r="G106" s="2" t="s">
        <v>12</v>
      </c>
    </row>
    <row r="107">
      <c r="A107" s="3">
        <f>IFERROR(__xludf.DUMMYFUNCTION("""COMPUTED_VALUE"""),44720.66666666667)</f>
        <v>44720.66667</v>
      </c>
      <c r="B107" s="1">
        <f>IFERROR(__xludf.DUMMYFUNCTION("""COMPUTED_VALUE"""),0.06)</f>
        <v>0.06</v>
      </c>
      <c r="C107" s="1">
        <f>IFERROR(__xludf.DUMMYFUNCTION("""COMPUTED_VALUE"""),0.07)</f>
        <v>0.07</v>
      </c>
      <c r="D107" s="1">
        <f>IFERROR(__xludf.DUMMYFUNCTION("""COMPUTED_VALUE"""),0.06)</f>
        <v>0.06</v>
      </c>
      <c r="E107" s="1">
        <f>IFERROR(__xludf.DUMMYFUNCTION("""COMPUTED_VALUE"""),0.07)</f>
        <v>0.07</v>
      </c>
      <c r="F107" s="1">
        <f>IFERROR(__xludf.DUMMYFUNCTION("""COMPUTED_VALUE"""),29000.0)</f>
        <v>29000</v>
      </c>
      <c r="G107" s="2" t="s">
        <v>12</v>
      </c>
    </row>
    <row r="108">
      <c r="A108" s="3">
        <f>IFERROR(__xludf.DUMMYFUNCTION("""COMPUTED_VALUE"""),44721.66666666667)</f>
        <v>44721.66667</v>
      </c>
      <c r="B108" s="1">
        <f>IFERROR(__xludf.DUMMYFUNCTION("""COMPUTED_VALUE"""),0.06)</f>
        <v>0.06</v>
      </c>
      <c r="C108" s="1">
        <f>IFERROR(__xludf.DUMMYFUNCTION("""COMPUTED_VALUE"""),0.07)</f>
        <v>0.07</v>
      </c>
      <c r="D108" s="1">
        <f>IFERROR(__xludf.DUMMYFUNCTION("""COMPUTED_VALUE"""),0.06)</f>
        <v>0.06</v>
      </c>
      <c r="E108" s="1">
        <f>IFERROR(__xludf.DUMMYFUNCTION("""COMPUTED_VALUE"""),0.06)</f>
        <v>0.06</v>
      </c>
      <c r="F108" s="1">
        <f>IFERROR(__xludf.DUMMYFUNCTION("""COMPUTED_VALUE"""),139226.0)</f>
        <v>139226</v>
      </c>
      <c r="G108" s="2" t="s">
        <v>12</v>
      </c>
    </row>
    <row r="109">
      <c r="A109" s="3">
        <f>IFERROR(__xludf.DUMMYFUNCTION("""COMPUTED_VALUE"""),44722.66666666667)</f>
        <v>44722.66667</v>
      </c>
      <c r="B109" s="1">
        <f>IFERROR(__xludf.DUMMYFUNCTION("""COMPUTED_VALUE"""),0.06)</f>
        <v>0.06</v>
      </c>
      <c r="C109" s="1">
        <f>IFERROR(__xludf.DUMMYFUNCTION("""COMPUTED_VALUE"""),0.06)</f>
        <v>0.06</v>
      </c>
      <c r="D109" s="1">
        <f>IFERROR(__xludf.DUMMYFUNCTION("""COMPUTED_VALUE"""),0.06)</f>
        <v>0.06</v>
      </c>
      <c r="E109" s="1">
        <f>IFERROR(__xludf.DUMMYFUNCTION("""COMPUTED_VALUE"""),0.06)</f>
        <v>0.06</v>
      </c>
      <c r="F109" s="1">
        <f>IFERROR(__xludf.DUMMYFUNCTION("""COMPUTED_VALUE"""),1600.0)</f>
        <v>1600</v>
      </c>
      <c r="G109" s="2" t="s">
        <v>12</v>
      </c>
    </row>
    <row r="110">
      <c r="A110" s="3">
        <f>IFERROR(__xludf.DUMMYFUNCTION("""COMPUTED_VALUE"""),44725.66666666667)</f>
        <v>44725.66667</v>
      </c>
      <c r="B110" s="1">
        <f>IFERROR(__xludf.DUMMYFUNCTION("""COMPUTED_VALUE"""),0.06)</f>
        <v>0.06</v>
      </c>
      <c r="C110" s="1">
        <f>IFERROR(__xludf.DUMMYFUNCTION("""COMPUTED_VALUE"""),0.06)</f>
        <v>0.06</v>
      </c>
      <c r="D110" s="1">
        <f>IFERROR(__xludf.DUMMYFUNCTION("""COMPUTED_VALUE"""),0.06)</f>
        <v>0.06</v>
      </c>
      <c r="E110" s="1">
        <f>IFERROR(__xludf.DUMMYFUNCTION("""COMPUTED_VALUE"""),0.06)</f>
        <v>0.06</v>
      </c>
      <c r="F110" s="1">
        <f>IFERROR(__xludf.DUMMYFUNCTION("""COMPUTED_VALUE"""),22000.0)</f>
        <v>22000</v>
      </c>
      <c r="G110" s="2" t="s">
        <v>12</v>
      </c>
    </row>
    <row r="111">
      <c r="A111" s="3">
        <f>IFERROR(__xludf.DUMMYFUNCTION("""COMPUTED_VALUE"""),44726.66666666667)</f>
        <v>44726.66667</v>
      </c>
      <c r="B111" s="1">
        <f>IFERROR(__xludf.DUMMYFUNCTION("""COMPUTED_VALUE"""),0.06)</f>
        <v>0.06</v>
      </c>
      <c r="C111" s="1">
        <f>IFERROR(__xludf.DUMMYFUNCTION("""COMPUTED_VALUE"""),0.06)</f>
        <v>0.06</v>
      </c>
      <c r="D111" s="1">
        <f>IFERROR(__xludf.DUMMYFUNCTION("""COMPUTED_VALUE"""),0.06)</f>
        <v>0.06</v>
      </c>
      <c r="E111" s="1">
        <f>IFERROR(__xludf.DUMMYFUNCTION("""COMPUTED_VALUE"""),0.06)</f>
        <v>0.06</v>
      </c>
      <c r="F111" s="1">
        <f>IFERROR(__xludf.DUMMYFUNCTION("""COMPUTED_VALUE"""),32000.0)</f>
        <v>32000</v>
      </c>
      <c r="G111" s="2" t="s">
        <v>12</v>
      </c>
    </row>
    <row r="112">
      <c r="A112" s="3">
        <f>IFERROR(__xludf.DUMMYFUNCTION("""COMPUTED_VALUE"""),44727.66666666667)</f>
        <v>44727.66667</v>
      </c>
      <c r="B112" s="1">
        <f>IFERROR(__xludf.DUMMYFUNCTION("""COMPUTED_VALUE"""),0.06)</f>
        <v>0.06</v>
      </c>
      <c r="C112" s="1">
        <f>IFERROR(__xludf.DUMMYFUNCTION("""COMPUTED_VALUE"""),0.06)</f>
        <v>0.06</v>
      </c>
      <c r="D112" s="1">
        <f>IFERROR(__xludf.DUMMYFUNCTION("""COMPUTED_VALUE"""),0.05)</f>
        <v>0.05</v>
      </c>
      <c r="E112" s="1">
        <f>IFERROR(__xludf.DUMMYFUNCTION("""COMPUTED_VALUE"""),0.06)</f>
        <v>0.06</v>
      </c>
      <c r="F112" s="1">
        <f>IFERROR(__xludf.DUMMYFUNCTION("""COMPUTED_VALUE"""),281000.0)</f>
        <v>281000</v>
      </c>
      <c r="G112" s="2" t="s">
        <v>12</v>
      </c>
    </row>
    <row r="113">
      <c r="A113" s="3">
        <f>IFERROR(__xludf.DUMMYFUNCTION("""COMPUTED_VALUE"""),44728.66666666667)</f>
        <v>44728.66667</v>
      </c>
      <c r="B113" s="1">
        <f>IFERROR(__xludf.DUMMYFUNCTION("""COMPUTED_VALUE"""),0.06)</f>
        <v>0.06</v>
      </c>
      <c r="C113" s="1">
        <f>IFERROR(__xludf.DUMMYFUNCTION("""COMPUTED_VALUE"""),0.06)</f>
        <v>0.06</v>
      </c>
      <c r="D113" s="1">
        <f>IFERROR(__xludf.DUMMYFUNCTION("""COMPUTED_VALUE"""),0.06)</f>
        <v>0.06</v>
      </c>
      <c r="E113" s="1">
        <f>IFERROR(__xludf.DUMMYFUNCTION("""COMPUTED_VALUE"""),0.06)</f>
        <v>0.06</v>
      </c>
      <c r="F113" s="1">
        <f>IFERROR(__xludf.DUMMYFUNCTION("""COMPUTED_VALUE"""),1000.0)</f>
        <v>1000</v>
      </c>
      <c r="G113" s="2" t="s">
        <v>12</v>
      </c>
    </row>
    <row r="114">
      <c r="A114" s="3">
        <f>IFERROR(__xludf.DUMMYFUNCTION("""COMPUTED_VALUE"""),44729.66666666667)</f>
        <v>44729.66667</v>
      </c>
      <c r="B114" s="1">
        <f>IFERROR(__xludf.DUMMYFUNCTION("""COMPUTED_VALUE"""),0.06)</f>
        <v>0.06</v>
      </c>
      <c r="C114" s="1">
        <f>IFERROR(__xludf.DUMMYFUNCTION("""COMPUTED_VALUE"""),0.06)</f>
        <v>0.06</v>
      </c>
      <c r="D114" s="1">
        <f>IFERROR(__xludf.DUMMYFUNCTION("""COMPUTED_VALUE"""),0.05)</f>
        <v>0.05</v>
      </c>
      <c r="E114" s="1">
        <f>IFERROR(__xludf.DUMMYFUNCTION("""COMPUTED_VALUE"""),0.05)</f>
        <v>0.05</v>
      </c>
      <c r="F114" s="1">
        <f>IFERROR(__xludf.DUMMYFUNCTION("""COMPUTED_VALUE"""),648910.0)</f>
        <v>648910</v>
      </c>
      <c r="G114" s="2" t="s">
        <v>12</v>
      </c>
    </row>
    <row r="115">
      <c r="A115" s="3">
        <f>IFERROR(__xludf.DUMMYFUNCTION("""COMPUTED_VALUE"""),44732.66666666667)</f>
        <v>44732.66667</v>
      </c>
      <c r="B115" s="1">
        <f>IFERROR(__xludf.DUMMYFUNCTION("""COMPUTED_VALUE"""),0.05)</f>
        <v>0.05</v>
      </c>
      <c r="C115" s="1">
        <f>IFERROR(__xludf.DUMMYFUNCTION("""COMPUTED_VALUE"""),0.05)</f>
        <v>0.05</v>
      </c>
      <c r="D115" s="1">
        <f>IFERROR(__xludf.DUMMYFUNCTION("""COMPUTED_VALUE"""),0.05)</f>
        <v>0.05</v>
      </c>
      <c r="E115" s="1">
        <f>IFERROR(__xludf.DUMMYFUNCTION("""COMPUTED_VALUE"""),0.05)</f>
        <v>0.05</v>
      </c>
      <c r="F115" s="1">
        <f>IFERROR(__xludf.DUMMYFUNCTION("""COMPUTED_VALUE"""),271170.0)</f>
        <v>271170</v>
      </c>
      <c r="G115" s="2" t="s">
        <v>12</v>
      </c>
    </row>
    <row r="116">
      <c r="A116" s="3">
        <f>IFERROR(__xludf.DUMMYFUNCTION("""COMPUTED_VALUE"""),44733.66666666667)</f>
        <v>44733.66667</v>
      </c>
      <c r="B116" s="1">
        <f>IFERROR(__xludf.DUMMYFUNCTION("""COMPUTED_VALUE"""),0.05)</f>
        <v>0.05</v>
      </c>
      <c r="C116" s="1">
        <f>IFERROR(__xludf.DUMMYFUNCTION("""COMPUTED_VALUE"""),0.05)</f>
        <v>0.05</v>
      </c>
      <c r="D116" s="1">
        <f>IFERROR(__xludf.DUMMYFUNCTION("""COMPUTED_VALUE"""),0.05)</f>
        <v>0.05</v>
      </c>
      <c r="E116" s="1">
        <f>IFERROR(__xludf.DUMMYFUNCTION("""COMPUTED_VALUE"""),0.05)</f>
        <v>0.05</v>
      </c>
      <c r="F116" s="1">
        <f>IFERROR(__xludf.DUMMYFUNCTION("""COMPUTED_VALUE"""),12150.0)</f>
        <v>12150</v>
      </c>
      <c r="G116" s="2" t="s">
        <v>12</v>
      </c>
    </row>
    <row r="117">
      <c r="A117" s="3">
        <f>IFERROR(__xludf.DUMMYFUNCTION("""COMPUTED_VALUE"""),44734.66666666667)</f>
        <v>44734.66667</v>
      </c>
      <c r="B117" s="1">
        <f>IFERROR(__xludf.DUMMYFUNCTION("""COMPUTED_VALUE"""),0.05)</f>
        <v>0.05</v>
      </c>
      <c r="C117" s="1">
        <f>IFERROR(__xludf.DUMMYFUNCTION("""COMPUTED_VALUE"""),0.05)</f>
        <v>0.05</v>
      </c>
      <c r="D117" s="1">
        <f>IFERROR(__xludf.DUMMYFUNCTION("""COMPUTED_VALUE"""),0.05)</f>
        <v>0.05</v>
      </c>
      <c r="E117" s="1">
        <f>IFERROR(__xludf.DUMMYFUNCTION("""COMPUTED_VALUE"""),0.05)</f>
        <v>0.05</v>
      </c>
      <c r="F117" s="1">
        <f>IFERROR(__xludf.DUMMYFUNCTION("""COMPUTED_VALUE"""),520000.0)</f>
        <v>520000</v>
      </c>
      <c r="G117" s="2" t="s">
        <v>12</v>
      </c>
    </row>
    <row r="118">
      <c r="A118" s="3">
        <f>IFERROR(__xludf.DUMMYFUNCTION("""COMPUTED_VALUE"""),44735.66666666667)</f>
        <v>44735.66667</v>
      </c>
      <c r="B118" s="1">
        <f>IFERROR(__xludf.DUMMYFUNCTION("""COMPUTED_VALUE"""),0.05)</f>
        <v>0.05</v>
      </c>
      <c r="C118" s="1">
        <f>IFERROR(__xludf.DUMMYFUNCTION("""COMPUTED_VALUE"""),0.05)</f>
        <v>0.05</v>
      </c>
      <c r="D118" s="1">
        <f>IFERROR(__xludf.DUMMYFUNCTION("""COMPUTED_VALUE"""),0.05)</f>
        <v>0.05</v>
      </c>
      <c r="E118" s="1">
        <f>IFERROR(__xludf.DUMMYFUNCTION("""COMPUTED_VALUE"""),0.05)</f>
        <v>0.05</v>
      </c>
      <c r="F118" s="1">
        <f>IFERROR(__xludf.DUMMYFUNCTION("""COMPUTED_VALUE"""),176000.0)</f>
        <v>176000</v>
      </c>
      <c r="G118" s="2" t="s">
        <v>12</v>
      </c>
    </row>
    <row r="119">
      <c r="A119" s="3">
        <f>IFERROR(__xludf.DUMMYFUNCTION("""COMPUTED_VALUE"""),44736.66666666667)</f>
        <v>44736.66667</v>
      </c>
      <c r="B119" s="1">
        <f>IFERROR(__xludf.DUMMYFUNCTION("""COMPUTED_VALUE"""),0.05)</f>
        <v>0.05</v>
      </c>
      <c r="C119" s="1">
        <f>IFERROR(__xludf.DUMMYFUNCTION("""COMPUTED_VALUE"""),0.05)</f>
        <v>0.05</v>
      </c>
      <c r="D119" s="1">
        <f>IFERROR(__xludf.DUMMYFUNCTION("""COMPUTED_VALUE"""),0.05)</f>
        <v>0.05</v>
      </c>
      <c r="E119" s="1">
        <f>IFERROR(__xludf.DUMMYFUNCTION("""COMPUTED_VALUE"""),0.05)</f>
        <v>0.05</v>
      </c>
      <c r="F119" s="1">
        <f>IFERROR(__xludf.DUMMYFUNCTION("""COMPUTED_VALUE"""),19510.0)</f>
        <v>19510</v>
      </c>
      <c r="G119" s="2" t="s">
        <v>12</v>
      </c>
    </row>
    <row r="120">
      <c r="A120" s="3">
        <f>IFERROR(__xludf.DUMMYFUNCTION("""COMPUTED_VALUE"""),44739.66666666667)</f>
        <v>44739.66667</v>
      </c>
      <c r="B120" s="1">
        <f>IFERROR(__xludf.DUMMYFUNCTION("""COMPUTED_VALUE"""),0.05)</f>
        <v>0.05</v>
      </c>
      <c r="C120" s="1">
        <f>IFERROR(__xludf.DUMMYFUNCTION("""COMPUTED_VALUE"""),0.05)</f>
        <v>0.05</v>
      </c>
      <c r="D120" s="1">
        <f>IFERROR(__xludf.DUMMYFUNCTION("""COMPUTED_VALUE"""),0.05)</f>
        <v>0.05</v>
      </c>
      <c r="E120" s="1">
        <f>IFERROR(__xludf.DUMMYFUNCTION("""COMPUTED_VALUE"""),0.05)</f>
        <v>0.05</v>
      </c>
      <c r="F120" s="1">
        <f>IFERROR(__xludf.DUMMYFUNCTION("""COMPUTED_VALUE"""),6800.0)</f>
        <v>6800</v>
      </c>
      <c r="G120" s="2" t="s">
        <v>12</v>
      </c>
    </row>
    <row r="121">
      <c r="A121" s="3">
        <f>IFERROR(__xludf.DUMMYFUNCTION("""COMPUTED_VALUE"""),44740.66666666667)</f>
        <v>44740.66667</v>
      </c>
      <c r="B121" s="1">
        <f>IFERROR(__xludf.DUMMYFUNCTION("""COMPUTED_VALUE"""),0.05)</f>
        <v>0.05</v>
      </c>
      <c r="C121" s="1">
        <f>IFERROR(__xludf.DUMMYFUNCTION("""COMPUTED_VALUE"""),0.05)</f>
        <v>0.05</v>
      </c>
      <c r="D121" s="1">
        <f>IFERROR(__xludf.DUMMYFUNCTION("""COMPUTED_VALUE"""),0.05)</f>
        <v>0.05</v>
      </c>
      <c r="E121" s="1">
        <f>IFERROR(__xludf.DUMMYFUNCTION("""COMPUTED_VALUE"""),0.05)</f>
        <v>0.05</v>
      </c>
      <c r="F121" s="1">
        <f>IFERROR(__xludf.DUMMYFUNCTION("""COMPUTED_VALUE"""),40636.0)</f>
        <v>40636</v>
      </c>
      <c r="G121" s="2" t="s">
        <v>12</v>
      </c>
    </row>
    <row r="122">
      <c r="A122" s="3">
        <f>IFERROR(__xludf.DUMMYFUNCTION("""COMPUTED_VALUE"""),44741.66666666667)</f>
        <v>44741.66667</v>
      </c>
      <c r="B122" s="1">
        <f>IFERROR(__xludf.DUMMYFUNCTION("""COMPUTED_VALUE"""),0.05)</f>
        <v>0.05</v>
      </c>
      <c r="C122" s="1">
        <f>IFERROR(__xludf.DUMMYFUNCTION("""COMPUTED_VALUE"""),0.05)</f>
        <v>0.05</v>
      </c>
      <c r="D122" s="1">
        <f>IFERROR(__xludf.DUMMYFUNCTION("""COMPUTED_VALUE"""),0.05)</f>
        <v>0.05</v>
      </c>
      <c r="E122" s="1">
        <f>IFERROR(__xludf.DUMMYFUNCTION("""COMPUTED_VALUE"""),0.05)</f>
        <v>0.05</v>
      </c>
      <c r="F122" s="1">
        <f>IFERROR(__xludf.DUMMYFUNCTION("""COMPUTED_VALUE"""),129500.0)</f>
        <v>129500</v>
      </c>
      <c r="G122" s="2" t="s">
        <v>12</v>
      </c>
    </row>
    <row r="123">
      <c r="A123" s="3">
        <f>IFERROR(__xludf.DUMMYFUNCTION("""COMPUTED_VALUE"""),44742.66666666667)</f>
        <v>44742.66667</v>
      </c>
      <c r="B123" s="1">
        <f>IFERROR(__xludf.DUMMYFUNCTION("""COMPUTED_VALUE"""),0.05)</f>
        <v>0.05</v>
      </c>
      <c r="C123" s="1">
        <f>IFERROR(__xludf.DUMMYFUNCTION("""COMPUTED_VALUE"""),0.05)</f>
        <v>0.05</v>
      </c>
      <c r="D123" s="1">
        <f>IFERROR(__xludf.DUMMYFUNCTION("""COMPUTED_VALUE"""),0.05)</f>
        <v>0.05</v>
      </c>
      <c r="E123" s="1">
        <f>IFERROR(__xludf.DUMMYFUNCTION("""COMPUTED_VALUE"""),0.05)</f>
        <v>0.05</v>
      </c>
      <c r="F123" s="1">
        <f>IFERROR(__xludf.DUMMYFUNCTION("""COMPUTED_VALUE"""),168110.0)</f>
        <v>168110</v>
      </c>
      <c r="G123" s="2" t="s">
        <v>12</v>
      </c>
    </row>
    <row r="124">
      <c r="A124" s="3">
        <f>IFERROR(__xludf.DUMMYFUNCTION("""COMPUTED_VALUE"""),44746.66666666667)</f>
        <v>44746.66667</v>
      </c>
      <c r="B124" s="1">
        <f>IFERROR(__xludf.DUMMYFUNCTION("""COMPUTED_VALUE"""),0.05)</f>
        <v>0.05</v>
      </c>
      <c r="C124" s="1">
        <f>IFERROR(__xludf.DUMMYFUNCTION("""COMPUTED_VALUE"""),0.05)</f>
        <v>0.05</v>
      </c>
      <c r="D124" s="1">
        <f>IFERROR(__xludf.DUMMYFUNCTION("""COMPUTED_VALUE"""),0.05)</f>
        <v>0.05</v>
      </c>
      <c r="E124" s="1">
        <f>IFERROR(__xludf.DUMMYFUNCTION("""COMPUTED_VALUE"""),0.05)</f>
        <v>0.05</v>
      </c>
      <c r="F124" s="1">
        <f>IFERROR(__xludf.DUMMYFUNCTION("""COMPUTED_VALUE"""),1000.0)</f>
        <v>1000</v>
      </c>
      <c r="G124" s="2" t="s">
        <v>12</v>
      </c>
    </row>
    <row r="125">
      <c r="A125" s="3">
        <f>IFERROR(__xludf.DUMMYFUNCTION("""COMPUTED_VALUE"""),44747.66666666667)</f>
        <v>44747.66667</v>
      </c>
      <c r="B125" s="1">
        <f>IFERROR(__xludf.DUMMYFUNCTION("""COMPUTED_VALUE"""),0.05)</f>
        <v>0.05</v>
      </c>
      <c r="C125" s="1">
        <f>IFERROR(__xludf.DUMMYFUNCTION("""COMPUTED_VALUE"""),0.05)</f>
        <v>0.05</v>
      </c>
      <c r="D125" s="1">
        <f>IFERROR(__xludf.DUMMYFUNCTION("""COMPUTED_VALUE"""),0.04)</f>
        <v>0.04</v>
      </c>
      <c r="E125" s="1">
        <f>IFERROR(__xludf.DUMMYFUNCTION("""COMPUTED_VALUE"""),0.05)</f>
        <v>0.05</v>
      </c>
      <c r="F125" s="1">
        <f>IFERROR(__xludf.DUMMYFUNCTION("""COMPUTED_VALUE"""),324000.0)</f>
        <v>324000</v>
      </c>
      <c r="G125" s="2" t="s">
        <v>12</v>
      </c>
    </row>
    <row r="126">
      <c r="A126" s="3">
        <f>IFERROR(__xludf.DUMMYFUNCTION("""COMPUTED_VALUE"""),44748.66666666667)</f>
        <v>44748.66667</v>
      </c>
      <c r="B126" s="1">
        <f>IFERROR(__xludf.DUMMYFUNCTION("""COMPUTED_VALUE"""),0.05)</f>
        <v>0.05</v>
      </c>
      <c r="C126" s="1">
        <f>IFERROR(__xludf.DUMMYFUNCTION("""COMPUTED_VALUE"""),0.05)</f>
        <v>0.05</v>
      </c>
      <c r="D126" s="1">
        <f>IFERROR(__xludf.DUMMYFUNCTION("""COMPUTED_VALUE"""),0.05)</f>
        <v>0.05</v>
      </c>
      <c r="E126" s="1">
        <f>IFERROR(__xludf.DUMMYFUNCTION("""COMPUTED_VALUE"""),0.05)</f>
        <v>0.05</v>
      </c>
      <c r="F126" s="1">
        <f>IFERROR(__xludf.DUMMYFUNCTION("""COMPUTED_VALUE"""),1000.0)</f>
        <v>1000</v>
      </c>
      <c r="G126" s="2" t="s">
        <v>12</v>
      </c>
    </row>
    <row r="127">
      <c r="A127" s="3">
        <f>IFERROR(__xludf.DUMMYFUNCTION("""COMPUTED_VALUE"""),44749.66666666667)</f>
        <v>44749.66667</v>
      </c>
      <c r="B127" s="1">
        <f>IFERROR(__xludf.DUMMYFUNCTION("""COMPUTED_VALUE"""),0.04)</f>
        <v>0.04</v>
      </c>
      <c r="C127" s="1">
        <f>IFERROR(__xludf.DUMMYFUNCTION("""COMPUTED_VALUE"""),0.05)</f>
        <v>0.05</v>
      </c>
      <c r="D127" s="1">
        <f>IFERROR(__xludf.DUMMYFUNCTION("""COMPUTED_VALUE"""),0.04)</f>
        <v>0.04</v>
      </c>
      <c r="E127" s="1">
        <f>IFERROR(__xludf.DUMMYFUNCTION("""COMPUTED_VALUE"""),0.05)</f>
        <v>0.05</v>
      </c>
      <c r="F127" s="1">
        <f>IFERROR(__xludf.DUMMYFUNCTION("""COMPUTED_VALUE"""),12000.0)</f>
        <v>12000</v>
      </c>
      <c r="G127" s="2" t="s">
        <v>12</v>
      </c>
    </row>
    <row r="128">
      <c r="A128" s="3">
        <f>IFERROR(__xludf.DUMMYFUNCTION("""COMPUTED_VALUE"""),44750.66666666667)</f>
        <v>44750.66667</v>
      </c>
      <c r="B128" s="1">
        <f>IFERROR(__xludf.DUMMYFUNCTION("""COMPUTED_VALUE"""),0.04)</f>
        <v>0.04</v>
      </c>
      <c r="C128" s="1">
        <f>IFERROR(__xludf.DUMMYFUNCTION("""COMPUTED_VALUE"""),0.04)</f>
        <v>0.04</v>
      </c>
      <c r="D128" s="1">
        <f>IFERROR(__xludf.DUMMYFUNCTION("""COMPUTED_VALUE"""),0.04)</f>
        <v>0.04</v>
      </c>
      <c r="E128" s="1">
        <f>IFERROR(__xludf.DUMMYFUNCTION("""COMPUTED_VALUE"""),0.04)</f>
        <v>0.04</v>
      </c>
      <c r="F128" s="1">
        <f>IFERROR(__xludf.DUMMYFUNCTION("""COMPUTED_VALUE"""),56000.0)</f>
        <v>56000</v>
      </c>
      <c r="G128" s="2" t="s">
        <v>12</v>
      </c>
    </row>
    <row r="129">
      <c r="A129" s="3">
        <f>IFERROR(__xludf.DUMMYFUNCTION("""COMPUTED_VALUE"""),44753.66666666667)</f>
        <v>44753.66667</v>
      </c>
      <c r="B129" s="1">
        <f>IFERROR(__xludf.DUMMYFUNCTION("""COMPUTED_VALUE"""),0.05)</f>
        <v>0.05</v>
      </c>
      <c r="C129" s="1">
        <f>IFERROR(__xludf.DUMMYFUNCTION("""COMPUTED_VALUE"""),0.05)</f>
        <v>0.05</v>
      </c>
      <c r="D129" s="1">
        <f>IFERROR(__xludf.DUMMYFUNCTION("""COMPUTED_VALUE"""),0.04)</f>
        <v>0.04</v>
      </c>
      <c r="E129" s="1">
        <f>IFERROR(__xludf.DUMMYFUNCTION("""COMPUTED_VALUE"""),0.04)</f>
        <v>0.04</v>
      </c>
      <c r="F129" s="1">
        <f>IFERROR(__xludf.DUMMYFUNCTION("""COMPUTED_VALUE"""),58000.0)</f>
        <v>58000</v>
      </c>
      <c r="G129" s="2" t="s">
        <v>12</v>
      </c>
    </row>
    <row r="130">
      <c r="A130" s="3">
        <f>IFERROR(__xludf.DUMMYFUNCTION("""COMPUTED_VALUE"""),44754.66666666667)</f>
        <v>44754.66667</v>
      </c>
      <c r="B130" s="1">
        <f>IFERROR(__xludf.DUMMYFUNCTION("""COMPUTED_VALUE"""),0.05)</f>
        <v>0.05</v>
      </c>
      <c r="C130" s="1">
        <f>IFERROR(__xludf.DUMMYFUNCTION("""COMPUTED_VALUE"""),0.05)</f>
        <v>0.05</v>
      </c>
      <c r="D130" s="1">
        <f>IFERROR(__xludf.DUMMYFUNCTION("""COMPUTED_VALUE"""),0.04)</f>
        <v>0.04</v>
      </c>
      <c r="E130" s="1">
        <f>IFERROR(__xludf.DUMMYFUNCTION("""COMPUTED_VALUE"""),0.04)</f>
        <v>0.04</v>
      </c>
      <c r="F130" s="1">
        <f>IFERROR(__xludf.DUMMYFUNCTION("""COMPUTED_VALUE"""),27000.0)</f>
        <v>27000</v>
      </c>
      <c r="G130" s="2" t="s">
        <v>12</v>
      </c>
    </row>
    <row r="131">
      <c r="A131" s="3">
        <f>IFERROR(__xludf.DUMMYFUNCTION("""COMPUTED_VALUE"""),44755.66666666667)</f>
        <v>44755.66667</v>
      </c>
      <c r="B131" s="1">
        <f>IFERROR(__xludf.DUMMYFUNCTION("""COMPUTED_VALUE"""),0.05)</f>
        <v>0.05</v>
      </c>
      <c r="C131" s="1">
        <f>IFERROR(__xludf.DUMMYFUNCTION("""COMPUTED_VALUE"""),0.05)</f>
        <v>0.05</v>
      </c>
      <c r="D131" s="1">
        <f>IFERROR(__xludf.DUMMYFUNCTION("""COMPUTED_VALUE"""),0.05)</f>
        <v>0.05</v>
      </c>
      <c r="E131" s="1">
        <f>IFERROR(__xludf.DUMMYFUNCTION("""COMPUTED_VALUE"""),0.05)</f>
        <v>0.05</v>
      </c>
      <c r="F131" s="1">
        <f>IFERROR(__xludf.DUMMYFUNCTION("""COMPUTED_VALUE"""),1000.0)</f>
        <v>1000</v>
      </c>
      <c r="G131" s="2" t="s">
        <v>12</v>
      </c>
    </row>
    <row r="132">
      <c r="A132" s="3">
        <f>IFERROR(__xludf.DUMMYFUNCTION("""COMPUTED_VALUE"""),44756.66666666667)</f>
        <v>44756.66667</v>
      </c>
      <c r="B132" s="1">
        <f>IFERROR(__xludf.DUMMYFUNCTION("""COMPUTED_VALUE"""),0.04)</f>
        <v>0.04</v>
      </c>
      <c r="C132" s="1">
        <f>IFERROR(__xludf.DUMMYFUNCTION("""COMPUTED_VALUE"""),0.04)</f>
        <v>0.04</v>
      </c>
      <c r="D132" s="1">
        <f>IFERROR(__xludf.DUMMYFUNCTION("""COMPUTED_VALUE"""),0.04)</f>
        <v>0.04</v>
      </c>
      <c r="E132" s="1">
        <f>IFERROR(__xludf.DUMMYFUNCTION("""COMPUTED_VALUE"""),0.04)</f>
        <v>0.04</v>
      </c>
      <c r="F132" s="1">
        <f>IFERROR(__xludf.DUMMYFUNCTION("""COMPUTED_VALUE"""),10000.0)</f>
        <v>10000</v>
      </c>
      <c r="G132" s="2" t="s">
        <v>12</v>
      </c>
    </row>
    <row r="133">
      <c r="A133" s="3">
        <f>IFERROR(__xludf.DUMMYFUNCTION("""COMPUTED_VALUE"""),44757.66666666667)</f>
        <v>44757.66667</v>
      </c>
      <c r="B133" s="1">
        <f>IFERROR(__xludf.DUMMYFUNCTION("""COMPUTED_VALUE"""),0.04)</f>
        <v>0.04</v>
      </c>
      <c r="C133" s="1">
        <f>IFERROR(__xludf.DUMMYFUNCTION("""COMPUTED_VALUE"""),0.05)</f>
        <v>0.05</v>
      </c>
      <c r="D133" s="1">
        <f>IFERROR(__xludf.DUMMYFUNCTION("""COMPUTED_VALUE"""),0.04)</f>
        <v>0.04</v>
      </c>
      <c r="E133" s="1">
        <f>IFERROR(__xludf.DUMMYFUNCTION("""COMPUTED_VALUE"""),0.05)</f>
        <v>0.05</v>
      </c>
      <c r="F133" s="1">
        <f>IFERROR(__xludf.DUMMYFUNCTION("""COMPUTED_VALUE"""),269000.0)</f>
        <v>269000</v>
      </c>
      <c r="G133" s="2" t="s">
        <v>12</v>
      </c>
    </row>
    <row r="134">
      <c r="A134" s="3">
        <f>IFERROR(__xludf.DUMMYFUNCTION("""COMPUTED_VALUE"""),44760.66666666667)</f>
        <v>44760.66667</v>
      </c>
      <c r="B134" s="1">
        <f>IFERROR(__xludf.DUMMYFUNCTION("""COMPUTED_VALUE"""),0.05)</f>
        <v>0.05</v>
      </c>
      <c r="C134" s="1">
        <f>IFERROR(__xludf.DUMMYFUNCTION("""COMPUTED_VALUE"""),0.05)</f>
        <v>0.05</v>
      </c>
      <c r="D134" s="1">
        <f>IFERROR(__xludf.DUMMYFUNCTION("""COMPUTED_VALUE"""),0.05)</f>
        <v>0.05</v>
      </c>
      <c r="E134" s="1">
        <f>IFERROR(__xludf.DUMMYFUNCTION("""COMPUTED_VALUE"""),0.05)</f>
        <v>0.05</v>
      </c>
      <c r="F134" s="1">
        <f>IFERROR(__xludf.DUMMYFUNCTION("""COMPUTED_VALUE"""),10000.0)</f>
        <v>10000</v>
      </c>
      <c r="G134" s="2" t="s">
        <v>12</v>
      </c>
    </row>
    <row r="135">
      <c r="A135" s="3">
        <f>IFERROR(__xludf.DUMMYFUNCTION("""COMPUTED_VALUE"""),44761.66666666667)</f>
        <v>44761.66667</v>
      </c>
      <c r="B135" s="1">
        <f>IFERROR(__xludf.DUMMYFUNCTION("""COMPUTED_VALUE"""),0.05)</f>
        <v>0.05</v>
      </c>
      <c r="C135" s="1">
        <f>IFERROR(__xludf.DUMMYFUNCTION("""COMPUTED_VALUE"""),0.05)</f>
        <v>0.05</v>
      </c>
      <c r="D135" s="1">
        <f>IFERROR(__xludf.DUMMYFUNCTION("""COMPUTED_VALUE"""),0.05)</f>
        <v>0.05</v>
      </c>
      <c r="E135" s="1">
        <f>IFERROR(__xludf.DUMMYFUNCTION("""COMPUTED_VALUE"""),0.05)</f>
        <v>0.05</v>
      </c>
      <c r="F135" s="1">
        <f>IFERROR(__xludf.DUMMYFUNCTION("""COMPUTED_VALUE"""),1500.0)</f>
        <v>1500</v>
      </c>
      <c r="G135" s="2" t="s">
        <v>12</v>
      </c>
    </row>
    <row r="136">
      <c r="A136" s="3">
        <f>IFERROR(__xludf.DUMMYFUNCTION("""COMPUTED_VALUE"""),44762.66666666667)</f>
        <v>44762.66667</v>
      </c>
      <c r="B136" s="1">
        <f>IFERROR(__xludf.DUMMYFUNCTION("""COMPUTED_VALUE"""),0.05)</f>
        <v>0.05</v>
      </c>
      <c r="C136" s="1">
        <f>IFERROR(__xludf.DUMMYFUNCTION("""COMPUTED_VALUE"""),0.06)</f>
        <v>0.06</v>
      </c>
      <c r="D136" s="1">
        <f>IFERROR(__xludf.DUMMYFUNCTION("""COMPUTED_VALUE"""),0.05)</f>
        <v>0.05</v>
      </c>
      <c r="E136" s="1">
        <f>IFERROR(__xludf.DUMMYFUNCTION("""COMPUTED_VALUE"""),0.06)</f>
        <v>0.06</v>
      </c>
      <c r="F136" s="1">
        <f>IFERROR(__xludf.DUMMYFUNCTION("""COMPUTED_VALUE"""),170290.0)</f>
        <v>170290</v>
      </c>
      <c r="G136" s="2" t="s">
        <v>12</v>
      </c>
    </row>
    <row r="137">
      <c r="A137" s="3">
        <f>IFERROR(__xludf.DUMMYFUNCTION("""COMPUTED_VALUE"""),44763.66666666667)</f>
        <v>44763.66667</v>
      </c>
      <c r="B137" s="1">
        <f>IFERROR(__xludf.DUMMYFUNCTION("""COMPUTED_VALUE"""),0.05)</f>
        <v>0.05</v>
      </c>
      <c r="C137" s="1">
        <f>IFERROR(__xludf.DUMMYFUNCTION("""COMPUTED_VALUE"""),0.06)</f>
        <v>0.06</v>
      </c>
      <c r="D137" s="1">
        <f>IFERROR(__xludf.DUMMYFUNCTION("""COMPUTED_VALUE"""),0.05)</f>
        <v>0.05</v>
      </c>
      <c r="E137" s="1">
        <f>IFERROR(__xludf.DUMMYFUNCTION("""COMPUTED_VALUE"""),0.06)</f>
        <v>0.06</v>
      </c>
      <c r="F137" s="1">
        <f>IFERROR(__xludf.DUMMYFUNCTION("""COMPUTED_VALUE"""),4900.0)</f>
        <v>4900</v>
      </c>
      <c r="G137" s="2" t="s">
        <v>12</v>
      </c>
    </row>
    <row r="138">
      <c r="A138" s="3">
        <f>IFERROR(__xludf.DUMMYFUNCTION("""COMPUTED_VALUE"""),44764.66666666667)</f>
        <v>44764.66667</v>
      </c>
      <c r="B138" s="1">
        <f>IFERROR(__xludf.DUMMYFUNCTION("""COMPUTED_VALUE"""),0.06)</f>
        <v>0.06</v>
      </c>
      <c r="C138" s="1">
        <f>IFERROR(__xludf.DUMMYFUNCTION("""COMPUTED_VALUE"""),0.06)</f>
        <v>0.06</v>
      </c>
      <c r="D138" s="1">
        <f>IFERROR(__xludf.DUMMYFUNCTION("""COMPUTED_VALUE"""),0.06)</f>
        <v>0.06</v>
      </c>
      <c r="E138" s="1">
        <f>IFERROR(__xludf.DUMMYFUNCTION("""COMPUTED_VALUE"""),0.06)</f>
        <v>0.06</v>
      </c>
      <c r="F138" s="1">
        <f>IFERROR(__xludf.DUMMYFUNCTION("""COMPUTED_VALUE"""),10000.0)</f>
        <v>10000</v>
      </c>
      <c r="G138" s="2" t="s">
        <v>12</v>
      </c>
    </row>
    <row r="139">
      <c r="A139" s="3">
        <f>IFERROR(__xludf.DUMMYFUNCTION("""COMPUTED_VALUE"""),44767.66666666667)</f>
        <v>44767.66667</v>
      </c>
      <c r="B139" s="1">
        <f>IFERROR(__xludf.DUMMYFUNCTION("""COMPUTED_VALUE"""),0.05)</f>
        <v>0.05</v>
      </c>
      <c r="C139" s="1">
        <f>IFERROR(__xludf.DUMMYFUNCTION("""COMPUTED_VALUE"""),0.06)</f>
        <v>0.06</v>
      </c>
      <c r="D139" s="1">
        <f>IFERROR(__xludf.DUMMYFUNCTION("""COMPUTED_VALUE"""),0.05)</f>
        <v>0.05</v>
      </c>
      <c r="E139" s="1">
        <f>IFERROR(__xludf.DUMMYFUNCTION("""COMPUTED_VALUE"""),0.06)</f>
        <v>0.06</v>
      </c>
      <c r="F139" s="1">
        <f>IFERROR(__xludf.DUMMYFUNCTION("""COMPUTED_VALUE"""),3000.0)</f>
        <v>3000</v>
      </c>
      <c r="G139" s="2" t="s">
        <v>12</v>
      </c>
    </row>
    <row r="140">
      <c r="A140" s="3">
        <f>IFERROR(__xludf.DUMMYFUNCTION("""COMPUTED_VALUE"""),44768.66666666667)</f>
        <v>44768.66667</v>
      </c>
      <c r="B140" s="1">
        <f>IFERROR(__xludf.DUMMYFUNCTION("""COMPUTED_VALUE"""),0.06)</f>
        <v>0.06</v>
      </c>
      <c r="C140" s="1">
        <f>IFERROR(__xludf.DUMMYFUNCTION("""COMPUTED_VALUE"""),0.06)</f>
        <v>0.06</v>
      </c>
      <c r="D140" s="1">
        <f>IFERROR(__xludf.DUMMYFUNCTION("""COMPUTED_VALUE"""),0.06)</f>
        <v>0.06</v>
      </c>
      <c r="E140" s="1">
        <f>IFERROR(__xludf.DUMMYFUNCTION("""COMPUTED_VALUE"""),0.06)</f>
        <v>0.06</v>
      </c>
      <c r="F140" s="1">
        <f>IFERROR(__xludf.DUMMYFUNCTION("""COMPUTED_VALUE"""),1893.0)</f>
        <v>1893</v>
      </c>
      <c r="G140" s="2" t="s">
        <v>12</v>
      </c>
    </row>
    <row r="141">
      <c r="A141" s="3">
        <f>IFERROR(__xludf.DUMMYFUNCTION("""COMPUTED_VALUE"""),44769.66666666667)</f>
        <v>44769.66667</v>
      </c>
      <c r="B141" s="1">
        <f>IFERROR(__xludf.DUMMYFUNCTION("""COMPUTED_VALUE"""),0.06)</f>
        <v>0.06</v>
      </c>
      <c r="C141" s="1">
        <f>IFERROR(__xludf.DUMMYFUNCTION("""COMPUTED_VALUE"""),0.06)</f>
        <v>0.06</v>
      </c>
      <c r="D141" s="1">
        <f>IFERROR(__xludf.DUMMYFUNCTION("""COMPUTED_VALUE"""),0.05)</f>
        <v>0.05</v>
      </c>
      <c r="E141" s="1">
        <f>IFERROR(__xludf.DUMMYFUNCTION("""COMPUTED_VALUE"""),0.05)</f>
        <v>0.05</v>
      </c>
      <c r="F141" s="1">
        <f>IFERROR(__xludf.DUMMYFUNCTION("""COMPUTED_VALUE"""),48001.0)</f>
        <v>48001</v>
      </c>
      <c r="G141" s="2" t="s">
        <v>12</v>
      </c>
    </row>
    <row r="142">
      <c r="A142" s="3">
        <f>IFERROR(__xludf.DUMMYFUNCTION("""COMPUTED_VALUE"""),44770.66666666667)</f>
        <v>44770.66667</v>
      </c>
      <c r="B142" s="1">
        <f>IFERROR(__xludf.DUMMYFUNCTION("""COMPUTED_VALUE"""),0.06)</f>
        <v>0.06</v>
      </c>
      <c r="C142" s="1">
        <f>IFERROR(__xludf.DUMMYFUNCTION("""COMPUTED_VALUE"""),0.06)</f>
        <v>0.06</v>
      </c>
      <c r="D142" s="1">
        <f>IFERROR(__xludf.DUMMYFUNCTION("""COMPUTED_VALUE"""),0.06)</f>
        <v>0.06</v>
      </c>
      <c r="E142" s="1">
        <f>IFERROR(__xludf.DUMMYFUNCTION("""COMPUTED_VALUE"""),0.06)</f>
        <v>0.06</v>
      </c>
      <c r="F142" s="1">
        <f>IFERROR(__xludf.DUMMYFUNCTION("""COMPUTED_VALUE"""),66500.0)</f>
        <v>66500</v>
      </c>
      <c r="G142" s="2" t="s">
        <v>12</v>
      </c>
    </row>
    <row r="143">
      <c r="A143" s="3">
        <f>IFERROR(__xludf.DUMMYFUNCTION("""COMPUTED_VALUE"""),44771.66666666667)</f>
        <v>44771.66667</v>
      </c>
      <c r="B143" s="1">
        <f>IFERROR(__xludf.DUMMYFUNCTION("""COMPUTED_VALUE"""),0.06)</f>
        <v>0.06</v>
      </c>
      <c r="C143" s="1">
        <f>IFERROR(__xludf.DUMMYFUNCTION("""COMPUTED_VALUE"""),0.06)</f>
        <v>0.06</v>
      </c>
      <c r="D143" s="1">
        <f>IFERROR(__xludf.DUMMYFUNCTION("""COMPUTED_VALUE"""),0.06)</f>
        <v>0.06</v>
      </c>
      <c r="E143" s="1">
        <f>IFERROR(__xludf.DUMMYFUNCTION("""COMPUTED_VALUE"""),0.06)</f>
        <v>0.06</v>
      </c>
      <c r="F143" s="1">
        <f>IFERROR(__xludf.DUMMYFUNCTION("""COMPUTED_VALUE"""),84700.0)</f>
        <v>84700</v>
      </c>
      <c r="G143" s="2" t="s">
        <v>12</v>
      </c>
    </row>
    <row r="144">
      <c r="A144" s="3">
        <f>IFERROR(__xludf.DUMMYFUNCTION("""COMPUTED_VALUE"""),44775.66666666667)</f>
        <v>44775.66667</v>
      </c>
      <c r="B144" s="1">
        <f>IFERROR(__xludf.DUMMYFUNCTION("""COMPUTED_VALUE"""),0.06)</f>
        <v>0.06</v>
      </c>
      <c r="C144" s="1">
        <f>IFERROR(__xludf.DUMMYFUNCTION("""COMPUTED_VALUE"""),0.06)</f>
        <v>0.06</v>
      </c>
      <c r="D144" s="1">
        <f>IFERROR(__xludf.DUMMYFUNCTION("""COMPUTED_VALUE"""),0.06)</f>
        <v>0.06</v>
      </c>
      <c r="E144" s="1">
        <f>IFERROR(__xludf.DUMMYFUNCTION("""COMPUTED_VALUE"""),0.06)</f>
        <v>0.06</v>
      </c>
      <c r="F144" s="1">
        <f>IFERROR(__xludf.DUMMYFUNCTION("""COMPUTED_VALUE"""),79500.0)</f>
        <v>79500</v>
      </c>
      <c r="G144" s="2" t="s">
        <v>12</v>
      </c>
    </row>
    <row r="145">
      <c r="A145" s="3">
        <f>IFERROR(__xludf.DUMMYFUNCTION("""COMPUTED_VALUE"""),44776.66666666667)</f>
        <v>44776.66667</v>
      </c>
      <c r="B145" s="1">
        <f>IFERROR(__xludf.DUMMYFUNCTION("""COMPUTED_VALUE"""),0.05)</f>
        <v>0.05</v>
      </c>
      <c r="C145" s="1">
        <f>IFERROR(__xludf.DUMMYFUNCTION("""COMPUTED_VALUE"""),0.06)</f>
        <v>0.06</v>
      </c>
      <c r="D145" s="1">
        <f>IFERROR(__xludf.DUMMYFUNCTION("""COMPUTED_VALUE"""),0.05)</f>
        <v>0.05</v>
      </c>
      <c r="E145" s="1">
        <f>IFERROR(__xludf.DUMMYFUNCTION("""COMPUTED_VALUE"""),0.05)</f>
        <v>0.05</v>
      </c>
      <c r="F145" s="1">
        <f>IFERROR(__xludf.DUMMYFUNCTION("""COMPUTED_VALUE"""),8000.0)</f>
        <v>8000</v>
      </c>
      <c r="G145" s="2" t="s">
        <v>12</v>
      </c>
    </row>
    <row r="146">
      <c r="A146" s="3">
        <f>IFERROR(__xludf.DUMMYFUNCTION("""COMPUTED_VALUE"""),44777.66666666667)</f>
        <v>44777.66667</v>
      </c>
      <c r="B146" s="1">
        <f>IFERROR(__xludf.DUMMYFUNCTION("""COMPUTED_VALUE"""),0.06)</f>
        <v>0.06</v>
      </c>
      <c r="C146" s="1">
        <f>IFERROR(__xludf.DUMMYFUNCTION("""COMPUTED_VALUE"""),0.06)</f>
        <v>0.06</v>
      </c>
      <c r="D146" s="1">
        <f>IFERROR(__xludf.DUMMYFUNCTION("""COMPUTED_VALUE"""),0.06)</f>
        <v>0.06</v>
      </c>
      <c r="E146" s="1">
        <f>IFERROR(__xludf.DUMMYFUNCTION("""COMPUTED_VALUE"""),0.06)</f>
        <v>0.06</v>
      </c>
      <c r="F146" s="1">
        <f>IFERROR(__xludf.DUMMYFUNCTION("""COMPUTED_VALUE"""),14500.0)</f>
        <v>14500</v>
      </c>
      <c r="G146" s="2" t="s">
        <v>12</v>
      </c>
    </row>
    <row r="147">
      <c r="A147" s="3">
        <f>IFERROR(__xludf.DUMMYFUNCTION("""COMPUTED_VALUE"""),44778.66666666667)</f>
        <v>44778.66667</v>
      </c>
      <c r="B147" s="1">
        <f>IFERROR(__xludf.DUMMYFUNCTION("""COMPUTED_VALUE"""),0.06)</f>
        <v>0.06</v>
      </c>
      <c r="C147" s="1">
        <f>IFERROR(__xludf.DUMMYFUNCTION("""COMPUTED_VALUE"""),0.06)</f>
        <v>0.06</v>
      </c>
      <c r="D147" s="1">
        <f>IFERROR(__xludf.DUMMYFUNCTION("""COMPUTED_VALUE"""),0.05)</f>
        <v>0.05</v>
      </c>
      <c r="E147" s="1">
        <f>IFERROR(__xludf.DUMMYFUNCTION("""COMPUTED_VALUE"""),0.06)</f>
        <v>0.06</v>
      </c>
      <c r="F147" s="1">
        <f>IFERROR(__xludf.DUMMYFUNCTION("""COMPUTED_VALUE"""),48400.0)</f>
        <v>48400</v>
      </c>
      <c r="G147" s="2" t="s">
        <v>12</v>
      </c>
    </row>
    <row r="148">
      <c r="A148" s="3">
        <f>IFERROR(__xludf.DUMMYFUNCTION("""COMPUTED_VALUE"""),44781.66666666667)</f>
        <v>44781.66667</v>
      </c>
      <c r="B148" s="1">
        <f>IFERROR(__xludf.DUMMYFUNCTION("""COMPUTED_VALUE"""),0.06)</f>
        <v>0.06</v>
      </c>
      <c r="C148" s="1">
        <f>IFERROR(__xludf.DUMMYFUNCTION("""COMPUTED_VALUE"""),0.06)</f>
        <v>0.06</v>
      </c>
      <c r="D148" s="1">
        <f>IFERROR(__xludf.DUMMYFUNCTION("""COMPUTED_VALUE"""),0.06)</f>
        <v>0.06</v>
      </c>
      <c r="E148" s="1">
        <f>IFERROR(__xludf.DUMMYFUNCTION("""COMPUTED_VALUE"""),0.06)</f>
        <v>0.06</v>
      </c>
      <c r="F148" s="1">
        <f>IFERROR(__xludf.DUMMYFUNCTION("""COMPUTED_VALUE"""),11050.0)</f>
        <v>11050</v>
      </c>
      <c r="G148" s="2" t="s">
        <v>12</v>
      </c>
    </row>
    <row r="149">
      <c r="A149" s="3">
        <f>IFERROR(__xludf.DUMMYFUNCTION("""COMPUTED_VALUE"""),44782.66666666667)</f>
        <v>44782.66667</v>
      </c>
      <c r="B149" s="1">
        <f>IFERROR(__xludf.DUMMYFUNCTION("""COMPUTED_VALUE"""),0.05)</f>
        <v>0.05</v>
      </c>
      <c r="C149" s="1">
        <f>IFERROR(__xludf.DUMMYFUNCTION("""COMPUTED_VALUE"""),0.05)</f>
        <v>0.05</v>
      </c>
      <c r="D149" s="1">
        <f>IFERROR(__xludf.DUMMYFUNCTION("""COMPUTED_VALUE"""),0.05)</f>
        <v>0.05</v>
      </c>
      <c r="E149" s="1">
        <f>IFERROR(__xludf.DUMMYFUNCTION("""COMPUTED_VALUE"""),0.05)</f>
        <v>0.05</v>
      </c>
      <c r="F149" s="1">
        <f>IFERROR(__xludf.DUMMYFUNCTION("""COMPUTED_VALUE"""),3000.0)</f>
        <v>3000</v>
      </c>
      <c r="G149" s="2" t="s">
        <v>12</v>
      </c>
    </row>
    <row r="150">
      <c r="A150" s="3">
        <f>IFERROR(__xludf.DUMMYFUNCTION("""COMPUTED_VALUE"""),44783.66666666667)</f>
        <v>44783.66667</v>
      </c>
      <c r="B150" s="1">
        <f>IFERROR(__xludf.DUMMYFUNCTION("""COMPUTED_VALUE"""),0.06)</f>
        <v>0.06</v>
      </c>
      <c r="C150" s="1">
        <f>IFERROR(__xludf.DUMMYFUNCTION("""COMPUTED_VALUE"""),0.06)</f>
        <v>0.06</v>
      </c>
      <c r="D150" s="1">
        <f>IFERROR(__xludf.DUMMYFUNCTION("""COMPUTED_VALUE"""),0.06)</f>
        <v>0.06</v>
      </c>
      <c r="E150" s="1">
        <f>IFERROR(__xludf.DUMMYFUNCTION("""COMPUTED_VALUE"""),0.06)</f>
        <v>0.06</v>
      </c>
      <c r="F150" s="1">
        <f>IFERROR(__xludf.DUMMYFUNCTION("""COMPUTED_VALUE"""),26500.0)</f>
        <v>26500</v>
      </c>
      <c r="G150" s="2" t="s">
        <v>12</v>
      </c>
    </row>
    <row r="151">
      <c r="A151" s="3">
        <f>IFERROR(__xludf.DUMMYFUNCTION("""COMPUTED_VALUE"""),44784.66666666667)</f>
        <v>44784.66667</v>
      </c>
      <c r="B151" s="1">
        <f>IFERROR(__xludf.DUMMYFUNCTION("""COMPUTED_VALUE"""),0.06)</f>
        <v>0.06</v>
      </c>
      <c r="C151" s="1">
        <f>IFERROR(__xludf.DUMMYFUNCTION("""COMPUTED_VALUE"""),0.06)</f>
        <v>0.06</v>
      </c>
      <c r="D151" s="1">
        <f>IFERROR(__xludf.DUMMYFUNCTION("""COMPUTED_VALUE"""),0.06)</f>
        <v>0.06</v>
      </c>
      <c r="E151" s="1">
        <f>IFERROR(__xludf.DUMMYFUNCTION("""COMPUTED_VALUE"""),0.06)</f>
        <v>0.06</v>
      </c>
      <c r="F151" s="1">
        <f>IFERROR(__xludf.DUMMYFUNCTION("""COMPUTED_VALUE"""),53000.0)</f>
        <v>53000</v>
      </c>
      <c r="G151" s="2" t="s">
        <v>12</v>
      </c>
    </row>
    <row r="152">
      <c r="A152" s="3">
        <f>IFERROR(__xludf.DUMMYFUNCTION("""COMPUTED_VALUE"""),44785.66666666667)</f>
        <v>44785.66667</v>
      </c>
      <c r="B152" s="1">
        <f>IFERROR(__xludf.DUMMYFUNCTION("""COMPUTED_VALUE"""),0.06)</f>
        <v>0.06</v>
      </c>
      <c r="C152" s="1">
        <f>IFERROR(__xludf.DUMMYFUNCTION("""COMPUTED_VALUE"""),0.06)</f>
        <v>0.06</v>
      </c>
      <c r="D152" s="1">
        <f>IFERROR(__xludf.DUMMYFUNCTION("""COMPUTED_VALUE"""),0.06)</f>
        <v>0.06</v>
      </c>
      <c r="E152" s="1">
        <f>IFERROR(__xludf.DUMMYFUNCTION("""COMPUTED_VALUE"""),0.06)</f>
        <v>0.06</v>
      </c>
      <c r="F152" s="1">
        <f>IFERROR(__xludf.DUMMYFUNCTION("""COMPUTED_VALUE"""),20910.0)</f>
        <v>20910</v>
      </c>
      <c r="G152" s="2" t="s">
        <v>12</v>
      </c>
    </row>
    <row r="153">
      <c r="A153" s="3">
        <f>IFERROR(__xludf.DUMMYFUNCTION("""COMPUTED_VALUE"""),44788.66666666667)</f>
        <v>44788.66667</v>
      </c>
      <c r="B153" s="1">
        <f>IFERROR(__xludf.DUMMYFUNCTION("""COMPUTED_VALUE"""),0.06)</f>
        <v>0.06</v>
      </c>
      <c r="C153" s="1">
        <f>IFERROR(__xludf.DUMMYFUNCTION("""COMPUTED_VALUE"""),0.06)</f>
        <v>0.06</v>
      </c>
      <c r="D153" s="1">
        <f>IFERROR(__xludf.DUMMYFUNCTION("""COMPUTED_VALUE"""),0.06)</f>
        <v>0.06</v>
      </c>
      <c r="E153" s="1">
        <f>IFERROR(__xludf.DUMMYFUNCTION("""COMPUTED_VALUE"""),0.06)</f>
        <v>0.06</v>
      </c>
      <c r="F153" s="1">
        <f>IFERROR(__xludf.DUMMYFUNCTION("""COMPUTED_VALUE"""),20700.0)</f>
        <v>20700</v>
      </c>
      <c r="G153" s="2" t="s">
        <v>12</v>
      </c>
    </row>
    <row r="154">
      <c r="A154" s="3">
        <f>IFERROR(__xludf.DUMMYFUNCTION("""COMPUTED_VALUE"""),44789.66666666667)</f>
        <v>44789.66667</v>
      </c>
      <c r="B154" s="1">
        <f>IFERROR(__xludf.DUMMYFUNCTION("""COMPUTED_VALUE"""),0.06)</f>
        <v>0.06</v>
      </c>
      <c r="C154" s="1">
        <f>IFERROR(__xludf.DUMMYFUNCTION("""COMPUTED_VALUE"""),0.06)</f>
        <v>0.06</v>
      </c>
      <c r="D154" s="1">
        <f>IFERROR(__xludf.DUMMYFUNCTION("""COMPUTED_VALUE"""),0.06)</f>
        <v>0.06</v>
      </c>
      <c r="E154" s="1">
        <f>IFERROR(__xludf.DUMMYFUNCTION("""COMPUTED_VALUE"""),0.06)</f>
        <v>0.06</v>
      </c>
      <c r="F154" s="1">
        <f>IFERROR(__xludf.DUMMYFUNCTION("""COMPUTED_VALUE"""),52504.0)</f>
        <v>52504</v>
      </c>
      <c r="G154" s="2" t="s">
        <v>12</v>
      </c>
    </row>
    <row r="155">
      <c r="A155" s="3">
        <f>IFERROR(__xludf.DUMMYFUNCTION("""COMPUTED_VALUE"""),44790.66666666667)</f>
        <v>44790.66667</v>
      </c>
      <c r="B155" s="1">
        <f>IFERROR(__xludf.DUMMYFUNCTION("""COMPUTED_VALUE"""),0.06)</f>
        <v>0.06</v>
      </c>
      <c r="C155" s="1">
        <f>IFERROR(__xludf.DUMMYFUNCTION("""COMPUTED_VALUE"""),0.06)</f>
        <v>0.06</v>
      </c>
      <c r="D155" s="1">
        <f>IFERROR(__xludf.DUMMYFUNCTION("""COMPUTED_VALUE"""),0.06)</f>
        <v>0.06</v>
      </c>
      <c r="E155" s="1">
        <f>IFERROR(__xludf.DUMMYFUNCTION("""COMPUTED_VALUE"""),0.06)</f>
        <v>0.06</v>
      </c>
      <c r="F155" s="1">
        <f>IFERROR(__xludf.DUMMYFUNCTION("""COMPUTED_VALUE"""),50000.0)</f>
        <v>50000</v>
      </c>
      <c r="G155" s="2" t="s">
        <v>12</v>
      </c>
    </row>
    <row r="156">
      <c r="A156" s="3">
        <f>IFERROR(__xludf.DUMMYFUNCTION("""COMPUTED_VALUE"""),44791.66666666667)</f>
        <v>44791.66667</v>
      </c>
      <c r="B156" s="1">
        <f>IFERROR(__xludf.DUMMYFUNCTION("""COMPUTED_VALUE"""),0.06)</f>
        <v>0.06</v>
      </c>
      <c r="C156" s="1">
        <f>IFERROR(__xludf.DUMMYFUNCTION("""COMPUTED_VALUE"""),0.07)</f>
        <v>0.07</v>
      </c>
      <c r="D156" s="1">
        <f>IFERROR(__xludf.DUMMYFUNCTION("""COMPUTED_VALUE"""),0.06)</f>
        <v>0.06</v>
      </c>
      <c r="E156" s="1">
        <f>IFERROR(__xludf.DUMMYFUNCTION("""COMPUTED_VALUE"""),0.07)</f>
        <v>0.07</v>
      </c>
      <c r="F156" s="1">
        <f>IFERROR(__xludf.DUMMYFUNCTION("""COMPUTED_VALUE"""),354000.0)</f>
        <v>354000</v>
      </c>
      <c r="G156" s="2" t="s">
        <v>12</v>
      </c>
    </row>
    <row r="157">
      <c r="A157" s="3">
        <f>IFERROR(__xludf.DUMMYFUNCTION("""COMPUTED_VALUE"""),44792.66666666667)</f>
        <v>44792.66667</v>
      </c>
      <c r="B157" s="1">
        <f>IFERROR(__xludf.DUMMYFUNCTION("""COMPUTED_VALUE"""),0.07)</f>
        <v>0.07</v>
      </c>
      <c r="C157" s="1">
        <f>IFERROR(__xludf.DUMMYFUNCTION("""COMPUTED_VALUE"""),0.07)</f>
        <v>0.07</v>
      </c>
      <c r="D157" s="1">
        <f>IFERROR(__xludf.DUMMYFUNCTION("""COMPUTED_VALUE"""),0.07)</f>
        <v>0.07</v>
      </c>
      <c r="E157" s="1">
        <f>IFERROR(__xludf.DUMMYFUNCTION("""COMPUTED_VALUE"""),0.07)</f>
        <v>0.07</v>
      </c>
      <c r="F157" s="1">
        <f>IFERROR(__xludf.DUMMYFUNCTION("""COMPUTED_VALUE"""),55945.0)</f>
        <v>55945</v>
      </c>
      <c r="G157" s="2" t="s">
        <v>12</v>
      </c>
    </row>
    <row r="158">
      <c r="A158" s="3">
        <f>IFERROR(__xludf.DUMMYFUNCTION("""COMPUTED_VALUE"""),44795.66666666667)</f>
        <v>44795.66667</v>
      </c>
      <c r="B158" s="1">
        <f>IFERROR(__xludf.DUMMYFUNCTION("""COMPUTED_VALUE"""),0.06)</f>
        <v>0.06</v>
      </c>
      <c r="C158" s="1">
        <f>IFERROR(__xludf.DUMMYFUNCTION("""COMPUTED_VALUE"""),0.06)</f>
        <v>0.06</v>
      </c>
      <c r="D158" s="1">
        <f>IFERROR(__xludf.DUMMYFUNCTION("""COMPUTED_VALUE"""),0.06)</f>
        <v>0.06</v>
      </c>
      <c r="E158" s="1">
        <f>IFERROR(__xludf.DUMMYFUNCTION("""COMPUTED_VALUE"""),0.06)</f>
        <v>0.06</v>
      </c>
      <c r="F158" s="1">
        <f>IFERROR(__xludf.DUMMYFUNCTION("""COMPUTED_VALUE"""),11001.0)</f>
        <v>11001</v>
      </c>
      <c r="G158" s="2" t="s">
        <v>12</v>
      </c>
    </row>
    <row r="159">
      <c r="A159" s="3">
        <f>IFERROR(__xludf.DUMMYFUNCTION("""COMPUTED_VALUE"""),44796.66666666667)</f>
        <v>44796.66667</v>
      </c>
      <c r="B159" s="1">
        <f>IFERROR(__xludf.DUMMYFUNCTION("""COMPUTED_VALUE"""),0.06)</f>
        <v>0.06</v>
      </c>
      <c r="C159" s="1">
        <f>IFERROR(__xludf.DUMMYFUNCTION("""COMPUTED_VALUE"""),0.06)</f>
        <v>0.06</v>
      </c>
      <c r="D159" s="1">
        <f>IFERROR(__xludf.DUMMYFUNCTION("""COMPUTED_VALUE"""),0.06)</f>
        <v>0.06</v>
      </c>
      <c r="E159" s="1">
        <f>IFERROR(__xludf.DUMMYFUNCTION("""COMPUTED_VALUE"""),0.06)</f>
        <v>0.06</v>
      </c>
      <c r="F159" s="1">
        <f>IFERROR(__xludf.DUMMYFUNCTION("""COMPUTED_VALUE"""),70200.0)</f>
        <v>70200</v>
      </c>
      <c r="G159" s="2" t="s">
        <v>12</v>
      </c>
    </row>
    <row r="160">
      <c r="A160" s="3">
        <f>IFERROR(__xludf.DUMMYFUNCTION("""COMPUTED_VALUE"""),44797.66666666667)</f>
        <v>44797.66667</v>
      </c>
      <c r="B160" s="1">
        <f>IFERROR(__xludf.DUMMYFUNCTION("""COMPUTED_VALUE"""),0.06)</f>
        <v>0.06</v>
      </c>
      <c r="C160" s="1">
        <f>IFERROR(__xludf.DUMMYFUNCTION("""COMPUTED_VALUE"""),0.06)</f>
        <v>0.06</v>
      </c>
      <c r="D160" s="1">
        <f>IFERROR(__xludf.DUMMYFUNCTION("""COMPUTED_VALUE"""),0.06)</f>
        <v>0.06</v>
      </c>
      <c r="E160" s="1">
        <f>IFERROR(__xludf.DUMMYFUNCTION("""COMPUTED_VALUE"""),0.06)</f>
        <v>0.06</v>
      </c>
      <c r="F160" s="1">
        <f>IFERROR(__xludf.DUMMYFUNCTION("""COMPUTED_VALUE"""),35000.0)</f>
        <v>35000</v>
      </c>
      <c r="G160" s="2" t="s">
        <v>12</v>
      </c>
    </row>
    <row r="161">
      <c r="A161" s="3">
        <f>IFERROR(__xludf.DUMMYFUNCTION("""COMPUTED_VALUE"""),44798.66666666667)</f>
        <v>44798.66667</v>
      </c>
      <c r="B161" s="1">
        <f>IFERROR(__xludf.DUMMYFUNCTION("""COMPUTED_VALUE"""),0.06)</f>
        <v>0.06</v>
      </c>
      <c r="C161" s="1">
        <f>IFERROR(__xludf.DUMMYFUNCTION("""COMPUTED_VALUE"""),0.06)</f>
        <v>0.06</v>
      </c>
      <c r="D161" s="1">
        <f>IFERROR(__xludf.DUMMYFUNCTION("""COMPUTED_VALUE"""),0.06)</f>
        <v>0.06</v>
      </c>
      <c r="E161" s="1">
        <f>IFERROR(__xludf.DUMMYFUNCTION("""COMPUTED_VALUE"""),0.06)</f>
        <v>0.06</v>
      </c>
      <c r="F161" s="1">
        <f>IFERROR(__xludf.DUMMYFUNCTION("""COMPUTED_VALUE"""),48000.0)</f>
        <v>48000</v>
      </c>
      <c r="G161" s="2" t="s">
        <v>12</v>
      </c>
    </row>
    <row r="162">
      <c r="A162" s="3">
        <f>IFERROR(__xludf.DUMMYFUNCTION("""COMPUTED_VALUE"""),44799.66666666667)</f>
        <v>44799.66667</v>
      </c>
      <c r="B162" s="1">
        <f>IFERROR(__xludf.DUMMYFUNCTION("""COMPUTED_VALUE"""),0.06)</f>
        <v>0.06</v>
      </c>
      <c r="C162" s="1">
        <f>IFERROR(__xludf.DUMMYFUNCTION("""COMPUTED_VALUE"""),0.06)</f>
        <v>0.06</v>
      </c>
      <c r="D162" s="1">
        <f>IFERROR(__xludf.DUMMYFUNCTION("""COMPUTED_VALUE"""),0.06)</f>
        <v>0.06</v>
      </c>
      <c r="E162" s="1">
        <f>IFERROR(__xludf.DUMMYFUNCTION("""COMPUTED_VALUE"""),0.06)</f>
        <v>0.06</v>
      </c>
      <c r="F162" s="1">
        <f>IFERROR(__xludf.DUMMYFUNCTION("""COMPUTED_VALUE"""),1000.0)</f>
        <v>1000</v>
      </c>
      <c r="G162" s="2" t="s">
        <v>12</v>
      </c>
    </row>
    <row r="163">
      <c r="A163" s="3">
        <f>IFERROR(__xludf.DUMMYFUNCTION("""COMPUTED_VALUE"""),44804.66666666667)</f>
        <v>44804.66667</v>
      </c>
      <c r="B163" s="1">
        <f>IFERROR(__xludf.DUMMYFUNCTION("""COMPUTED_VALUE"""),0.06)</f>
        <v>0.06</v>
      </c>
      <c r="C163" s="1">
        <f>IFERROR(__xludf.DUMMYFUNCTION("""COMPUTED_VALUE"""),0.06)</f>
        <v>0.06</v>
      </c>
      <c r="D163" s="1">
        <f>IFERROR(__xludf.DUMMYFUNCTION("""COMPUTED_VALUE"""),0.06)</f>
        <v>0.06</v>
      </c>
      <c r="E163" s="1">
        <f>IFERROR(__xludf.DUMMYFUNCTION("""COMPUTED_VALUE"""),0.06)</f>
        <v>0.06</v>
      </c>
      <c r="F163" s="1">
        <f>IFERROR(__xludf.DUMMYFUNCTION("""COMPUTED_VALUE"""),1000.0)</f>
        <v>1000</v>
      </c>
      <c r="G163" s="2" t="s">
        <v>12</v>
      </c>
    </row>
    <row r="164">
      <c r="A164" s="3">
        <f>IFERROR(__xludf.DUMMYFUNCTION("""COMPUTED_VALUE"""),44805.66666666667)</f>
        <v>44805.66667</v>
      </c>
      <c r="B164" s="1">
        <f>IFERROR(__xludf.DUMMYFUNCTION("""COMPUTED_VALUE"""),0.06)</f>
        <v>0.06</v>
      </c>
      <c r="C164" s="1">
        <f>IFERROR(__xludf.DUMMYFUNCTION("""COMPUTED_VALUE"""),0.06)</f>
        <v>0.06</v>
      </c>
      <c r="D164" s="1">
        <f>IFERROR(__xludf.DUMMYFUNCTION("""COMPUTED_VALUE"""),0.06)</f>
        <v>0.06</v>
      </c>
      <c r="E164" s="1">
        <f>IFERROR(__xludf.DUMMYFUNCTION("""COMPUTED_VALUE"""),0.06)</f>
        <v>0.06</v>
      </c>
      <c r="F164" s="1">
        <f>IFERROR(__xludf.DUMMYFUNCTION("""COMPUTED_VALUE"""),46000.0)</f>
        <v>46000</v>
      </c>
      <c r="G164" s="2" t="s">
        <v>12</v>
      </c>
    </row>
    <row r="165">
      <c r="A165" s="3">
        <f>IFERROR(__xludf.DUMMYFUNCTION("""COMPUTED_VALUE"""),44806.66666666667)</f>
        <v>44806.66667</v>
      </c>
      <c r="B165" s="1">
        <f>IFERROR(__xludf.DUMMYFUNCTION("""COMPUTED_VALUE"""),0.06)</f>
        <v>0.06</v>
      </c>
      <c r="C165" s="1">
        <f>IFERROR(__xludf.DUMMYFUNCTION("""COMPUTED_VALUE"""),0.06)</f>
        <v>0.06</v>
      </c>
      <c r="D165" s="1">
        <f>IFERROR(__xludf.DUMMYFUNCTION("""COMPUTED_VALUE"""),0.06)</f>
        <v>0.06</v>
      </c>
      <c r="E165" s="1">
        <f>IFERROR(__xludf.DUMMYFUNCTION("""COMPUTED_VALUE"""),0.06)</f>
        <v>0.06</v>
      </c>
      <c r="F165" s="1">
        <f>IFERROR(__xludf.DUMMYFUNCTION("""COMPUTED_VALUE"""),10000.0)</f>
        <v>10000</v>
      </c>
      <c r="G165" s="2" t="s">
        <v>12</v>
      </c>
    </row>
    <row r="166">
      <c r="A166" s="3">
        <f>IFERROR(__xludf.DUMMYFUNCTION("""COMPUTED_VALUE"""),44810.66666666667)</f>
        <v>44810.66667</v>
      </c>
      <c r="B166" s="1">
        <f>IFERROR(__xludf.DUMMYFUNCTION("""COMPUTED_VALUE"""),0.06)</f>
        <v>0.06</v>
      </c>
      <c r="C166" s="1">
        <f>IFERROR(__xludf.DUMMYFUNCTION("""COMPUTED_VALUE"""),0.06)</f>
        <v>0.06</v>
      </c>
      <c r="D166" s="1">
        <f>IFERROR(__xludf.DUMMYFUNCTION("""COMPUTED_VALUE"""),0.06)</f>
        <v>0.06</v>
      </c>
      <c r="E166" s="1">
        <f>IFERROR(__xludf.DUMMYFUNCTION("""COMPUTED_VALUE"""),0.06)</f>
        <v>0.06</v>
      </c>
      <c r="F166" s="1">
        <f>IFERROR(__xludf.DUMMYFUNCTION("""COMPUTED_VALUE"""),15650.0)</f>
        <v>15650</v>
      </c>
      <c r="G166" s="2" t="s">
        <v>12</v>
      </c>
    </row>
    <row r="167">
      <c r="A167" s="3">
        <f>IFERROR(__xludf.DUMMYFUNCTION("""COMPUTED_VALUE"""),44811.66666666667)</f>
        <v>44811.66667</v>
      </c>
      <c r="B167" s="1">
        <f>IFERROR(__xludf.DUMMYFUNCTION("""COMPUTED_VALUE"""),0.06)</f>
        <v>0.06</v>
      </c>
      <c r="C167" s="1">
        <f>IFERROR(__xludf.DUMMYFUNCTION("""COMPUTED_VALUE"""),0.06)</f>
        <v>0.06</v>
      </c>
      <c r="D167" s="1">
        <f>IFERROR(__xludf.DUMMYFUNCTION("""COMPUTED_VALUE"""),0.05)</f>
        <v>0.05</v>
      </c>
      <c r="E167" s="1">
        <f>IFERROR(__xludf.DUMMYFUNCTION("""COMPUTED_VALUE"""),0.05)</f>
        <v>0.05</v>
      </c>
      <c r="F167" s="1">
        <f>IFERROR(__xludf.DUMMYFUNCTION("""COMPUTED_VALUE"""),7000.0)</f>
        <v>7000</v>
      </c>
      <c r="G167" s="2" t="s">
        <v>12</v>
      </c>
    </row>
    <row r="168">
      <c r="A168" s="3">
        <f>IFERROR(__xludf.DUMMYFUNCTION("""COMPUTED_VALUE"""),44812.66666666667)</f>
        <v>44812.66667</v>
      </c>
      <c r="B168" s="1">
        <f>IFERROR(__xludf.DUMMYFUNCTION("""COMPUTED_VALUE"""),0.05)</f>
        <v>0.05</v>
      </c>
      <c r="C168" s="1">
        <f>IFERROR(__xludf.DUMMYFUNCTION("""COMPUTED_VALUE"""),0.05)</f>
        <v>0.05</v>
      </c>
      <c r="D168" s="1">
        <f>IFERROR(__xludf.DUMMYFUNCTION("""COMPUTED_VALUE"""),0.05)</f>
        <v>0.05</v>
      </c>
      <c r="E168" s="1">
        <f>IFERROR(__xludf.DUMMYFUNCTION("""COMPUTED_VALUE"""),0.05)</f>
        <v>0.05</v>
      </c>
      <c r="F168" s="1">
        <f>IFERROR(__xludf.DUMMYFUNCTION("""COMPUTED_VALUE"""),19770.0)</f>
        <v>19770</v>
      </c>
      <c r="G168" s="2" t="s">
        <v>12</v>
      </c>
    </row>
    <row r="169">
      <c r="A169" s="3">
        <f>IFERROR(__xludf.DUMMYFUNCTION("""COMPUTED_VALUE"""),44813.66666666667)</f>
        <v>44813.66667</v>
      </c>
      <c r="B169" s="1">
        <f>IFERROR(__xludf.DUMMYFUNCTION("""COMPUTED_VALUE"""),0.05)</f>
        <v>0.05</v>
      </c>
      <c r="C169" s="1">
        <f>IFERROR(__xludf.DUMMYFUNCTION("""COMPUTED_VALUE"""),0.05)</f>
        <v>0.05</v>
      </c>
      <c r="D169" s="1">
        <f>IFERROR(__xludf.DUMMYFUNCTION("""COMPUTED_VALUE"""),0.05)</f>
        <v>0.05</v>
      </c>
      <c r="E169" s="1">
        <f>IFERROR(__xludf.DUMMYFUNCTION("""COMPUTED_VALUE"""),0.05)</f>
        <v>0.05</v>
      </c>
      <c r="F169" s="1">
        <f>IFERROR(__xludf.DUMMYFUNCTION("""COMPUTED_VALUE"""),14000.0)</f>
        <v>14000</v>
      </c>
      <c r="G169" s="2" t="s">
        <v>12</v>
      </c>
    </row>
    <row r="170">
      <c r="A170" s="3">
        <f>IFERROR(__xludf.DUMMYFUNCTION("""COMPUTED_VALUE"""),44816.66666666667)</f>
        <v>44816.66667</v>
      </c>
      <c r="B170" s="1">
        <f>IFERROR(__xludf.DUMMYFUNCTION("""COMPUTED_VALUE"""),0.05)</f>
        <v>0.05</v>
      </c>
      <c r="C170" s="1">
        <f>IFERROR(__xludf.DUMMYFUNCTION("""COMPUTED_VALUE"""),0.05)</f>
        <v>0.05</v>
      </c>
      <c r="D170" s="1">
        <f>IFERROR(__xludf.DUMMYFUNCTION("""COMPUTED_VALUE"""),0.05)</f>
        <v>0.05</v>
      </c>
      <c r="E170" s="1">
        <f>IFERROR(__xludf.DUMMYFUNCTION("""COMPUTED_VALUE"""),0.05)</f>
        <v>0.05</v>
      </c>
      <c r="F170" s="1">
        <f>IFERROR(__xludf.DUMMYFUNCTION("""COMPUTED_VALUE"""),61000.0)</f>
        <v>61000</v>
      </c>
      <c r="G170" s="2" t="s">
        <v>12</v>
      </c>
    </row>
    <row r="171">
      <c r="A171" s="3">
        <f>IFERROR(__xludf.DUMMYFUNCTION("""COMPUTED_VALUE"""),44817.66666666667)</f>
        <v>44817.66667</v>
      </c>
      <c r="B171" s="1">
        <f>IFERROR(__xludf.DUMMYFUNCTION("""COMPUTED_VALUE"""),0.05)</f>
        <v>0.05</v>
      </c>
      <c r="C171" s="1">
        <f>IFERROR(__xludf.DUMMYFUNCTION("""COMPUTED_VALUE"""),0.05)</f>
        <v>0.05</v>
      </c>
      <c r="D171" s="1">
        <f>IFERROR(__xludf.DUMMYFUNCTION("""COMPUTED_VALUE"""),0.05)</f>
        <v>0.05</v>
      </c>
      <c r="E171" s="1">
        <f>IFERROR(__xludf.DUMMYFUNCTION("""COMPUTED_VALUE"""),0.05)</f>
        <v>0.05</v>
      </c>
      <c r="F171" s="1">
        <f>IFERROR(__xludf.DUMMYFUNCTION("""COMPUTED_VALUE"""),23000.0)</f>
        <v>23000</v>
      </c>
      <c r="G171" s="2" t="s">
        <v>12</v>
      </c>
    </row>
    <row r="172">
      <c r="A172" s="3">
        <f>IFERROR(__xludf.DUMMYFUNCTION("""COMPUTED_VALUE"""),44818.66666666667)</f>
        <v>44818.66667</v>
      </c>
      <c r="B172" s="1">
        <f>IFERROR(__xludf.DUMMYFUNCTION("""COMPUTED_VALUE"""),0.05)</f>
        <v>0.05</v>
      </c>
      <c r="C172" s="1">
        <f>IFERROR(__xludf.DUMMYFUNCTION("""COMPUTED_VALUE"""),0.05)</f>
        <v>0.05</v>
      </c>
      <c r="D172" s="1">
        <f>IFERROR(__xludf.DUMMYFUNCTION("""COMPUTED_VALUE"""),0.05)</f>
        <v>0.05</v>
      </c>
      <c r="E172" s="1">
        <f>IFERROR(__xludf.DUMMYFUNCTION("""COMPUTED_VALUE"""),0.05)</f>
        <v>0.05</v>
      </c>
      <c r="F172" s="1">
        <f>IFERROR(__xludf.DUMMYFUNCTION("""COMPUTED_VALUE"""),41250.0)</f>
        <v>41250</v>
      </c>
      <c r="G172" s="2" t="s">
        <v>12</v>
      </c>
    </row>
    <row r="173">
      <c r="A173" s="3">
        <f>IFERROR(__xludf.DUMMYFUNCTION("""COMPUTED_VALUE"""),44819.66666666667)</f>
        <v>44819.66667</v>
      </c>
      <c r="B173" s="1">
        <f>IFERROR(__xludf.DUMMYFUNCTION("""COMPUTED_VALUE"""),0.06)</f>
        <v>0.06</v>
      </c>
      <c r="C173" s="1">
        <f>IFERROR(__xludf.DUMMYFUNCTION("""COMPUTED_VALUE"""),0.06)</f>
        <v>0.06</v>
      </c>
      <c r="D173" s="1">
        <f>IFERROR(__xludf.DUMMYFUNCTION("""COMPUTED_VALUE"""),0.06)</f>
        <v>0.06</v>
      </c>
      <c r="E173" s="1">
        <f>IFERROR(__xludf.DUMMYFUNCTION("""COMPUTED_VALUE"""),0.06)</f>
        <v>0.06</v>
      </c>
      <c r="F173" s="1">
        <f>IFERROR(__xludf.DUMMYFUNCTION("""COMPUTED_VALUE"""),131200.0)</f>
        <v>131200</v>
      </c>
      <c r="G173" s="2" t="s">
        <v>12</v>
      </c>
    </row>
    <row r="174">
      <c r="A174" s="3">
        <f>IFERROR(__xludf.DUMMYFUNCTION("""COMPUTED_VALUE"""),44820.66666666667)</f>
        <v>44820.66667</v>
      </c>
      <c r="B174" s="1">
        <f>IFERROR(__xludf.DUMMYFUNCTION("""COMPUTED_VALUE"""),0.06)</f>
        <v>0.06</v>
      </c>
      <c r="C174" s="1">
        <f>IFERROR(__xludf.DUMMYFUNCTION("""COMPUTED_VALUE"""),0.06)</f>
        <v>0.06</v>
      </c>
      <c r="D174" s="1">
        <f>IFERROR(__xludf.DUMMYFUNCTION("""COMPUTED_VALUE"""),0.06)</f>
        <v>0.06</v>
      </c>
      <c r="E174" s="1">
        <f>IFERROR(__xludf.DUMMYFUNCTION("""COMPUTED_VALUE"""),0.06)</f>
        <v>0.06</v>
      </c>
      <c r="F174" s="1">
        <f>IFERROR(__xludf.DUMMYFUNCTION("""COMPUTED_VALUE"""),101410.0)</f>
        <v>101410</v>
      </c>
      <c r="G174" s="2" t="s">
        <v>12</v>
      </c>
    </row>
    <row r="175">
      <c r="A175" s="3">
        <f>IFERROR(__xludf.DUMMYFUNCTION("""COMPUTED_VALUE"""),44823.66666666667)</f>
        <v>44823.66667</v>
      </c>
      <c r="B175" s="1">
        <f>IFERROR(__xludf.DUMMYFUNCTION("""COMPUTED_VALUE"""),0.07)</f>
        <v>0.07</v>
      </c>
      <c r="C175" s="1">
        <f>IFERROR(__xludf.DUMMYFUNCTION("""COMPUTED_VALUE"""),0.07)</f>
        <v>0.07</v>
      </c>
      <c r="D175" s="1">
        <f>IFERROR(__xludf.DUMMYFUNCTION("""COMPUTED_VALUE"""),0.06)</f>
        <v>0.06</v>
      </c>
      <c r="E175" s="1">
        <f>IFERROR(__xludf.DUMMYFUNCTION("""COMPUTED_VALUE"""),0.07)</f>
        <v>0.07</v>
      </c>
      <c r="F175" s="1">
        <f>IFERROR(__xludf.DUMMYFUNCTION("""COMPUTED_VALUE"""),607000.0)</f>
        <v>607000</v>
      </c>
      <c r="G175" s="2" t="s">
        <v>12</v>
      </c>
    </row>
    <row r="176">
      <c r="A176" s="3">
        <f>IFERROR(__xludf.DUMMYFUNCTION("""COMPUTED_VALUE"""),44824.66666666667)</f>
        <v>44824.66667</v>
      </c>
      <c r="B176" s="1">
        <f>IFERROR(__xludf.DUMMYFUNCTION("""COMPUTED_VALUE"""),0.07)</f>
        <v>0.07</v>
      </c>
      <c r="C176" s="1">
        <f>IFERROR(__xludf.DUMMYFUNCTION("""COMPUTED_VALUE"""),0.07)</f>
        <v>0.07</v>
      </c>
      <c r="D176" s="1">
        <f>IFERROR(__xludf.DUMMYFUNCTION("""COMPUTED_VALUE"""),0.06)</f>
        <v>0.06</v>
      </c>
      <c r="E176" s="1">
        <f>IFERROR(__xludf.DUMMYFUNCTION("""COMPUTED_VALUE"""),0.06)</f>
        <v>0.06</v>
      </c>
      <c r="F176" s="1">
        <f>IFERROR(__xludf.DUMMYFUNCTION("""COMPUTED_VALUE"""),15250.0)</f>
        <v>15250</v>
      </c>
      <c r="G176" s="2" t="s">
        <v>12</v>
      </c>
    </row>
    <row r="177">
      <c r="A177" s="3">
        <f>IFERROR(__xludf.DUMMYFUNCTION("""COMPUTED_VALUE"""),44825.66666666667)</f>
        <v>44825.66667</v>
      </c>
      <c r="B177" s="1">
        <f>IFERROR(__xludf.DUMMYFUNCTION("""COMPUTED_VALUE"""),0.06)</f>
        <v>0.06</v>
      </c>
      <c r="C177" s="1">
        <f>IFERROR(__xludf.DUMMYFUNCTION("""COMPUTED_VALUE"""),0.06)</f>
        <v>0.06</v>
      </c>
      <c r="D177" s="1">
        <f>IFERROR(__xludf.DUMMYFUNCTION("""COMPUTED_VALUE"""),0.06)</f>
        <v>0.06</v>
      </c>
      <c r="E177" s="1">
        <f>IFERROR(__xludf.DUMMYFUNCTION("""COMPUTED_VALUE"""),0.06)</f>
        <v>0.06</v>
      </c>
      <c r="F177" s="1">
        <f>IFERROR(__xludf.DUMMYFUNCTION("""COMPUTED_VALUE"""),1000.0)</f>
        <v>1000</v>
      </c>
      <c r="G177" s="2" t="s">
        <v>12</v>
      </c>
    </row>
    <row r="178">
      <c r="A178" s="3">
        <f>IFERROR(__xludf.DUMMYFUNCTION("""COMPUTED_VALUE"""),44826.66666666667)</f>
        <v>44826.66667</v>
      </c>
      <c r="B178" s="1">
        <f>IFERROR(__xludf.DUMMYFUNCTION("""COMPUTED_VALUE"""),0.06)</f>
        <v>0.06</v>
      </c>
      <c r="C178" s="1">
        <f>IFERROR(__xludf.DUMMYFUNCTION("""COMPUTED_VALUE"""),0.06)</f>
        <v>0.06</v>
      </c>
      <c r="D178" s="1">
        <f>IFERROR(__xludf.DUMMYFUNCTION("""COMPUTED_VALUE"""),0.06)</f>
        <v>0.06</v>
      </c>
      <c r="E178" s="1">
        <f>IFERROR(__xludf.DUMMYFUNCTION("""COMPUTED_VALUE"""),0.06)</f>
        <v>0.06</v>
      </c>
      <c r="F178" s="1">
        <f>IFERROR(__xludf.DUMMYFUNCTION("""COMPUTED_VALUE"""),7001.0)</f>
        <v>7001</v>
      </c>
      <c r="G178" s="2" t="s">
        <v>12</v>
      </c>
    </row>
    <row r="179">
      <c r="A179" s="3">
        <f>IFERROR(__xludf.DUMMYFUNCTION("""COMPUTED_VALUE"""),44827.66666666667)</f>
        <v>44827.66667</v>
      </c>
      <c r="B179" s="1">
        <f>IFERROR(__xludf.DUMMYFUNCTION("""COMPUTED_VALUE"""),0.06)</f>
        <v>0.06</v>
      </c>
      <c r="C179" s="1">
        <f>IFERROR(__xludf.DUMMYFUNCTION("""COMPUTED_VALUE"""),0.06)</f>
        <v>0.06</v>
      </c>
      <c r="D179" s="1">
        <f>IFERROR(__xludf.DUMMYFUNCTION("""COMPUTED_VALUE"""),0.06)</f>
        <v>0.06</v>
      </c>
      <c r="E179" s="1">
        <f>IFERROR(__xludf.DUMMYFUNCTION("""COMPUTED_VALUE"""),0.06)</f>
        <v>0.06</v>
      </c>
      <c r="F179" s="1">
        <f>IFERROR(__xludf.DUMMYFUNCTION("""COMPUTED_VALUE"""),11000.0)</f>
        <v>11000</v>
      </c>
      <c r="G179" s="2" t="s">
        <v>12</v>
      </c>
    </row>
    <row r="180">
      <c r="A180" s="3">
        <f>IFERROR(__xludf.DUMMYFUNCTION("""COMPUTED_VALUE"""),44830.66666666667)</f>
        <v>44830.66667</v>
      </c>
      <c r="B180" s="1">
        <f>IFERROR(__xludf.DUMMYFUNCTION("""COMPUTED_VALUE"""),0.06)</f>
        <v>0.06</v>
      </c>
      <c r="C180" s="1">
        <f>IFERROR(__xludf.DUMMYFUNCTION("""COMPUTED_VALUE"""),0.06)</f>
        <v>0.06</v>
      </c>
      <c r="D180" s="1">
        <f>IFERROR(__xludf.DUMMYFUNCTION("""COMPUTED_VALUE"""),0.06)</f>
        <v>0.06</v>
      </c>
      <c r="E180" s="1">
        <f>IFERROR(__xludf.DUMMYFUNCTION("""COMPUTED_VALUE"""),0.06)</f>
        <v>0.06</v>
      </c>
      <c r="F180" s="1">
        <f>IFERROR(__xludf.DUMMYFUNCTION("""COMPUTED_VALUE"""),15930.0)</f>
        <v>15930</v>
      </c>
      <c r="G180" s="2" t="s">
        <v>12</v>
      </c>
    </row>
    <row r="181">
      <c r="A181" s="3">
        <f>IFERROR(__xludf.DUMMYFUNCTION("""COMPUTED_VALUE"""),44831.66666666667)</f>
        <v>44831.66667</v>
      </c>
      <c r="B181" s="1">
        <f>IFERROR(__xludf.DUMMYFUNCTION("""COMPUTED_VALUE"""),0.06)</f>
        <v>0.06</v>
      </c>
      <c r="C181" s="1">
        <f>IFERROR(__xludf.DUMMYFUNCTION("""COMPUTED_VALUE"""),0.06)</f>
        <v>0.06</v>
      </c>
      <c r="D181" s="1">
        <f>IFERROR(__xludf.DUMMYFUNCTION("""COMPUTED_VALUE"""),0.06)</f>
        <v>0.06</v>
      </c>
      <c r="E181" s="1">
        <f>IFERROR(__xludf.DUMMYFUNCTION("""COMPUTED_VALUE"""),0.06)</f>
        <v>0.06</v>
      </c>
      <c r="F181" s="1">
        <f>IFERROR(__xludf.DUMMYFUNCTION("""COMPUTED_VALUE"""),2000.0)</f>
        <v>2000</v>
      </c>
      <c r="G181" s="2" t="s">
        <v>12</v>
      </c>
    </row>
    <row r="182">
      <c r="A182" s="3">
        <f>IFERROR(__xludf.DUMMYFUNCTION("""COMPUTED_VALUE"""),44834.66666666667)</f>
        <v>44834.66667</v>
      </c>
      <c r="B182" s="1">
        <f>IFERROR(__xludf.DUMMYFUNCTION("""COMPUTED_VALUE"""),0.06)</f>
        <v>0.06</v>
      </c>
      <c r="C182" s="1">
        <f>IFERROR(__xludf.DUMMYFUNCTION("""COMPUTED_VALUE"""),0.06)</f>
        <v>0.06</v>
      </c>
      <c r="D182" s="1">
        <f>IFERROR(__xludf.DUMMYFUNCTION("""COMPUTED_VALUE"""),0.06)</f>
        <v>0.06</v>
      </c>
      <c r="E182" s="1">
        <f>IFERROR(__xludf.DUMMYFUNCTION("""COMPUTED_VALUE"""),0.06)</f>
        <v>0.06</v>
      </c>
      <c r="F182" s="1">
        <f>IFERROR(__xludf.DUMMYFUNCTION("""COMPUTED_VALUE"""),55005.0)</f>
        <v>55005</v>
      </c>
      <c r="G182" s="2" t="s">
        <v>12</v>
      </c>
    </row>
    <row r="183">
      <c r="A183" s="3">
        <f>IFERROR(__xludf.DUMMYFUNCTION("""COMPUTED_VALUE"""),44837.66666666667)</f>
        <v>44837.66667</v>
      </c>
      <c r="B183" s="1">
        <f>IFERROR(__xludf.DUMMYFUNCTION("""COMPUTED_VALUE"""),0.06)</f>
        <v>0.06</v>
      </c>
      <c r="C183" s="1">
        <f>IFERROR(__xludf.DUMMYFUNCTION("""COMPUTED_VALUE"""),0.07)</f>
        <v>0.07</v>
      </c>
      <c r="D183" s="1">
        <f>IFERROR(__xludf.DUMMYFUNCTION("""COMPUTED_VALUE"""),0.06)</f>
        <v>0.06</v>
      </c>
      <c r="E183" s="1">
        <f>IFERROR(__xludf.DUMMYFUNCTION("""COMPUTED_VALUE"""),0.07)</f>
        <v>0.07</v>
      </c>
      <c r="F183" s="1">
        <f>IFERROR(__xludf.DUMMYFUNCTION("""COMPUTED_VALUE"""),28271.0)</f>
        <v>28271</v>
      </c>
      <c r="G183" s="2" t="s">
        <v>12</v>
      </c>
    </row>
    <row r="184">
      <c r="A184" s="3">
        <f>IFERROR(__xludf.DUMMYFUNCTION("""COMPUTED_VALUE"""),44838.66666666667)</f>
        <v>44838.66667</v>
      </c>
      <c r="B184" s="1">
        <f>IFERROR(__xludf.DUMMYFUNCTION("""COMPUTED_VALUE"""),0.06)</f>
        <v>0.06</v>
      </c>
      <c r="C184" s="1">
        <f>IFERROR(__xludf.DUMMYFUNCTION("""COMPUTED_VALUE"""),0.07)</f>
        <v>0.07</v>
      </c>
      <c r="D184" s="1">
        <f>IFERROR(__xludf.DUMMYFUNCTION("""COMPUTED_VALUE"""),0.06)</f>
        <v>0.06</v>
      </c>
      <c r="E184" s="1">
        <f>IFERROR(__xludf.DUMMYFUNCTION("""COMPUTED_VALUE"""),0.07)</f>
        <v>0.07</v>
      </c>
      <c r="F184" s="1">
        <f>IFERROR(__xludf.DUMMYFUNCTION("""COMPUTED_VALUE"""),133000.0)</f>
        <v>133000</v>
      </c>
      <c r="G184" s="2" t="s">
        <v>12</v>
      </c>
    </row>
    <row r="185">
      <c r="A185" s="3">
        <f>IFERROR(__xludf.DUMMYFUNCTION("""COMPUTED_VALUE"""),44839.66666666667)</f>
        <v>44839.66667</v>
      </c>
      <c r="B185" s="1">
        <f>IFERROR(__xludf.DUMMYFUNCTION("""COMPUTED_VALUE"""),0.06)</f>
        <v>0.06</v>
      </c>
      <c r="C185" s="1">
        <f>IFERROR(__xludf.DUMMYFUNCTION("""COMPUTED_VALUE"""),0.06)</f>
        <v>0.06</v>
      </c>
      <c r="D185" s="1">
        <f>IFERROR(__xludf.DUMMYFUNCTION("""COMPUTED_VALUE"""),0.06)</f>
        <v>0.06</v>
      </c>
      <c r="E185" s="1">
        <f>IFERROR(__xludf.DUMMYFUNCTION("""COMPUTED_VALUE"""),0.06)</f>
        <v>0.06</v>
      </c>
      <c r="F185" s="1">
        <f>IFERROR(__xludf.DUMMYFUNCTION("""COMPUTED_VALUE"""),105200.0)</f>
        <v>105200</v>
      </c>
      <c r="G185" s="2" t="s">
        <v>12</v>
      </c>
    </row>
    <row r="186">
      <c r="A186" s="3">
        <f>IFERROR(__xludf.DUMMYFUNCTION("""COMPUTED_VALUE"""),44840.66666666667)</f>
        <v>44840.66667</v>
      </c>
      <c r="B186" s="1">
        <f>IFERROR(__xludf.DUMMYFUNCTION("""COMPUTED_VALUE"""),0.06)</f>
        <v>0.06</v>
      </c>
      <c r="C186" s="1">
        <f>IFERROR(__xludf.DUMMYFUNCTION("""COMPUTED_VALUE"""),0.06)</f>
        <v>0.06</v>
      </c>
      <c r="D186" s="1">
        <f>IFERROR(__xludf.DUMMYFUNCTION("""COMPUTED_VALUE"""),0.06)</f>
        <v>0.06</v>
      </c>
      <c r="E186" s="1">
        <f>IFERROR(__xludf.DUMMYFUNCTION("""COMPUTED_VALUE"""),0.06)</f>
        <v>0.06</v>
      </c>
      <c r="F186" s="1">
        <f>IFERROR(__xludf.DUMMYFUNCTION("""COMPUTED_VALUE"""),4000.0)</f>
        <v>4000</v>
      </c>
      <c r="G186" s="2" t="s">
        <v>12</v>
      </c>
    </row>
    <row r="187">
      <c r="A187" s="3">
        <f>IFERROR(__xludf.DUMMYFUNCTION("""COMPUTED_VALUE"""),44841.66666666667)</f>
        <v>44841.66667</v>
      </c>
      <c r="B187" s="1">
        <f>IFERROR(__xludf.DUMMYFUNCTION("""COMPUTED_VALUE"""),0.06)</f>
        <v>0.06</v>
      </c>
      <c r="C187" s="1">
        <f>IFERROR(__xludf.DUMMYFUNCTION("""COMPUTED_VALUE"""),0.06)</f>
        <v>0.06</v>
      </c>
      <c r="D187" s="1">
        <f>IFERROR(__xludf.DUMMYFUNCTION("""COMPUTED_VALUE"""),0.06)</f>
        <v>0.06</v>
      </c>
      <c r="E187" s="1">
        <f>IFERROR(__xludf.DUMMYFUNCTION("""COMPUTED_VALUE"""),0.06)</f>
        <v>0.06</v>
      </c>
      <c r="F187" s="1">
        <f>IFERROR(__xludf.DUMMYFUNCTION("""COMPUTED_VALUE"""),20000.0)</f>
        <v>20000</v>
      </c>
      <c r="G187" s="2" t="s">
        <v>12</v>
      </c>
    </row>
    <row r="188">
      <c r="A188" s="3">
        <f>IFERROR(__xludf.DUMMYFUNCTION("""COMPUTED_VALUE"""),44845.66666666667)</f>
        <v>44845.66667</v>
      </c>
      <c r="B188" s="1">
        <f>IFERROR(__xludf.DUMMYFUNCTION("""COMPUTED_VALUE"""),0.06)</f>
        <v>0.06</v>
      </c>
      <c r="C188" s="1">
        <f>IFERROR(__xludf.DUMMYFUNCTION("""COMPUTED_VALUE"""),0.06)</f>
        <v>0.06</v>
      </c>
      <c r="D188" s="1">
        <f>IFERROR(__xludf.DUMMYFUNCTION("""COMPUTED_VALUE"""),0.06)</f>
        <v>0.06</v>
      </c>
      <c r="E188" s="1">
        <f>IFERROR(__xludf.DUMMYFUNCTION("""COMPUTED_VALUE"""),0.06)</f>
        <v>0.06</v>
      </c>
      <c r="F188" s="1">
        <f>IFERROR(__xludf.DUMMYFUNCTION("""COMPUTED_VALUE"""),2000.0)</f>
        <v>2000</v>
      </c>
      <c r="G188" s="2" t="s">
        <v>12</v>
      </c>
    </row>
    <row r="189">
      <c r="A189" s="3">
        <f>IFERROR(__xludf.DUMMYFUNCTION("""COMPUTED_VALUE"""),44846.66666666667)</f>
        <v>44846.66667</v>
      </c>
      <c r="B189" s="1">
        <f>IFERROR(__xludf.DUMMYFUNCTION("""COMPUTED_VALUE"""),0.06)</f>
        <v>0.06</v>
      </c>
      <c r="C189" s="1">
        <f>IFERROR(__xludf.DUMMYFUNCTION("""COMPUTED_VALUE"""),0.06)</f>
        <v>0.06</v>
      </c>
      <c r="D189" s="1">
        <f>IFERROR(__xludf.DUMMYFUNCTION("""COMPUTED_VALUE"""),0.06)</f>
        <v>0.06</v>
      </c>
      <c r="E189" s="1">
        <f>IFERROR(__xludf.DUMMYFUNCTION("""COMPUTED_VALUE"""),0.06)</f>
        <v>0.06</v>
      </c>
      <c r="F189" s="1">
        <f>IFERROR(__xludf.DUMMYFUNCTION("""COMPUTED_VALUE"""),13500.0)</f>
        <v>13500</v>
      </c>
      <c r="G189" s="2" t="s">
        <v>12</v>
      </c>
    </row>
    <row r="190">
      <c r="A190" s="3">
        <f>IFERROR(__xludf.DUMMYFUNCTION("""COMPUTED_VALUE"""),44847.66666666667)</f>
        <v>44847.66667</v>
      </c>
      <c r="B190" s="1">
        <f>IFERROR(__xludf.DUMMYFUNCTION("""COMPUTED_VALUE"""),0.06)</f>
        <v>0.06</v>
      </c>
      <c r="C190" s="1">
        <f>IFERROR(__xludf.DUMMYFUNCTION("""COMPUTED_VALUE"""),0.06)</f>
        <v>0.06</v>
      </c>
      <c r="D190" s="1">
        <f>IFERROR(__xludf.DUMMYFUNCTION("""COMPUTED_VALUE"""),0.06)</f>
        <v>0.06</v>
      </c>
      <c r="E190" s="1">
        <f>IFERROR(__xludf.DUMMYFUNCTION("""COMPUTED_VALUE"""),0.06)</f>
        <v>0.06</v>
      </c>
      <c r="F190" s="1">
        <f>IFERROR(__xludf.DUMMYFUNCTION("""COMPUTED_VALUE"""),65495.0)</f>
        <v>65495</v>
      </c>
      <c r="G190" s="2" t="s">
        <v>12</v>
      </c>
    </row>
    <row r="191">
      <c r="A191" s="3">
        <f>IFERROR(__xludf.DUMMYFUNCTION("""COMPUTED_VALUE"""),44848.66666666667)</f>
        <v>44848.66667</v>
      </c>
      <c r="B191" s="1">
        <f>IFERROR(__xludf.DUMMYFUNCTION("""COMPUTED_VALUE"""),0.06)</f>
        <v>0.06</v>
      </c>
      <c r="C191" s="1">
        <f>IFERROR(__xludf.DUMMYFUNCTION("""COMPUTED_VALUE"""),0.06)</f>
        <v>0.06</v>
      </c>
      <c r="D191" s="1">
        <f>IFERROR(__xludf.DUMMYFUNCTION("""COMPUTED_VALUE"""),0.06)</f>
        <v>0.06</v>
      </c>
      <c r="E191" s="1">
        <f>IFERROR(__xludf.DUMMYFUNCTION("""COMPUTED_VALUE"""),0.06)</f>
        <v>0.06</v>
      </c>
      <c r="F191" s="1">
        <f>IFERROR(__xludf.DUMMYFUNCTION("""COMPUTED_VALUE"""),23500.0)</f>
        <v>23500</v>
      </c>
      <c r="G191" s="2" t="s">
        <v>12</v>
      </c>
    </row>
    <row r="192">
      <c r="A192" s="3">
        <f>IFERROR(__xludf.DUMMYFUNCTION("""COMPUTED_VALUE"""),44851.66666666667)</f>
        <v>44851.66667</v>
      </c>
      <c r="B192" s="1">
        <f>IFERROR(__xludf.DUMMYFUNCTION("""COMPUTED_VALUE"""),0.05)</f>
        <v>0.05</v>
      </c>
      <c r="C192" s="1">
        <f>IFERROR(__xludf.DUMMYFUNCTION("""COMPUTED_VALUE"""),0.05)</f>
        <v>0.05</v>
      </c>
      <c r="D192" s="1">
        <f>IFERROR(__xludf.DUMMYFUNCTION("""COMPUTED_VALUE"""),0.05)</f>
        <v>0.05</v>
      </c>
      <c r="E192" s="1">
        <f>IFERROR(__xludf.DUMMYFUNCTION("""COMPUTED_VALUE"""),0.05)</f>
        <v>0.05</v>
      </c>
      <c r="F192" s="1">
        <f>IFERROR(__xludf.DUMMYFUNCTION("""COMPUTED_VALUE"""),46050.0)</f>
        <v>46050</v>
      </c>
      <c r="G192" s="2" t="s">
        <v>12</v>
      </c>
    </row>
    <row r="193">
      <c r="A193" s="3">
        <f>IFERROR(__xludf.DUMMYFUNCTION("""COMPUTED_VALUE"""),44852.66666666667)</f>
        <v>44852.66667</v>
      </c>
      <c r="B193" s="1">
        <f>IFERROR(__xludf.DUMMYFUNCTION("""COMPUTED_VALUE"""),0.05)</f>
        <v>0.05</v>
      </c>
      <c r="C193" s="1">
        <f>IFERROR(__xludf.DUMMYFUNCTION("""COMPUTED_VALUE"""),0.05)</f>
        <v>0.05</v>
      </c>
      <c r="D193" s="1">
        <f>IFERROR(__xludf.DUMMYFUNCTION("""COMPUTED_VALUE"""),0.05)</f>
        <v>0.05</v>
      </c>
      <c r="E193" s="1">
        <f>IFERROR(__xludf.DUMMYFUNCTION("""COMPUTED_VALUE"""),0.05)</f>
        <v>0.05</v>
      </c>
      <c r="F193" s="1">
        <f>IFERROR(__xludf.DUMMYFUNCTION("""COMPUTED_VALUE"""),24050.0)</f>
        <v>24050</v>
      </c>
      <c r="G193" s="2" t="s">
        <v>12</v>
      </c>
    </row>
    <row r="194">
      <c r="A194" s="3">
        <f>IFERROR(__xludf.DUMMYFUNCTION("""COMPUTED_VALUE"""),44853.66666666667)</f>
        <v>44853.66667</v>
      </c>
      <c r="B194" s="1">
        <f>IFERROR(__xludf.DUMMYFUNCTION("""COMPUTED_VALUE"""),0.06)</f>
        <v>0.06</v>
      </c>
      <c r="C194" s="1">
        <f>IFERROR(__xludf.DUMMYFUNCTION("""COMPUTED_VALUE"""),0.06)</f>
        <v>0.06</v>
      </c>
      <c r="D194" s="1">
        <f>IFERROR(__xludf.DUMMYFUNCTION("""COMPUTED_VALUE"""),0.05)</f>
        <v>0.05</v>
      </c>
      <c r="E194" s="1">
        <f>IFERROR(__xludf.DUMMYFUNCTION("""COMPUTED_VALUE"""),0.05)</f>
        <v>0.05</v>
      </c>
      <c r="F194" s="1">
        <f>IFERROR(__xludf.DUMMYFUNCTION("""COMPUTED_VALUE"""),30000.0)</f>
        <v>30000</v>
      </c>
      <c r="G194" s="2" t="s">
        <v>12</v>
      </c>
    </row>
    <row r="195">
      <c r="A195" s="3">
        <f>IFERROR(__xludf.DUMMYFUNCTION("""COMPUTED_VALUE"""),44854.66666666667)</f>
        <v>44854.66667</v>
      </c>
      <c r="B195" s="1">
        <f>IFERROR(__xludf.DUMMYFUNCTION("""COMPUTED_VALUE"""),0.05)</f>
        <v>0.05</v>
      </c>
      <c r="C195" s="1">
        <f>IFERROR(__xludf.DUMMYFUNCTION("""COMPUTED_VALUE"""),0.05)</f>
        <v>0.05</v>
      </c>
      <c r="D195" s="1">
        <f>IFERROR(__xludf.DUMMYFUNCTION("""COMPUTED_VALUE"""),0.05)</f>
        <v>0.05</v>
      </c>
      <c r="E195" s="1">
        <f>IFERROR(__xludf.DUMMYFUNCTION("""COMPUTED_VALUE"""),0.05)</f>
        <v>0.05</v>
      </c>
      <c r="F195" s="1">
        <f>IFERROR(__xludf.DUMMYFUNCTION("""COMPUTED_VALUE"""),276000.0)</f>
        <v>276000</v>
      </c>
      <c r="G195" s="2" t="s">
        <v>12</v>
      </c>
    </row>
    <row r="196">
      <c r="A196" s="3">
        <f>IFERROR(__xludf.DUMMYFUNCTION("""COMPUTED_VALUE"""),44855.66666666667)</f>
        <v>44855.66667</v>
      </c>
      <c r="B196" s="1">
        <f>IFERROR(__xludf.DUMMYFUNCTION("""COMPUTED_VALUE"""),0.06)</f>
        <v>0.06</v>
      </c>
      <c r="C196" s="1">
        <f>IFERROR(__xludf.DUMMYFUNCTION("""COMPUTED_VALUE"""),0.06)</f>
        <v>0.06</v>
      </c>
      <c r="D196" s="1">
        <f>IFERROR(__xludf.DUMMYFUNCTION("""COMPUTED_VALUE"""),0.06)</f>
        <v>0.06</v>
      </c>
      <c r="E196" s="1">
        <f>IFERROR(__xludf.DUMMYFUNCTION("""COMPUTED_VALUE"""),0.06)</f>
        <v>0.06</v>
      </c>
      <c r="F196" s="1">
        <f>IFERROR(__xludf.DUMMYFUNCTION("""COMPUTED_VALUE"""),305000.0)</f>
        <v>305000</v>
      </c>
      <c r="G196" s="2" t="s">
        <v>12</v>
      </c>
    </row>
    <row r="197">
      <c r="A197" s="3">
        <f>IFERROR(__xludf.DUMMYFUNCTION("""COMPUTED_VALUE"""),44858.66666666667)</f>
        <v>44858.66667</v>
      </c>
      <c r="B197" s="1">
        <f>IFERROR(__xludf.DUMMYFUNCTION("""COMPUTED_VALUE"""),0.06)</f>
        <v>0.06</v>
      </c>
      <c r="C197" s="1">
        <f>IFERROR(__xludf.DUMMYFUNCTION("""COMPUTED_VALUE"""),0.06)</f>
        <v>0.06</v>
      </c>
      <c r="D197" s="1">
        <f>IFERROR(__xludf.DUMMYFUNCTION("""COMPUTED_VALUE"""),0.06)</f>
        <v>0.06</v>
      </c>
      <c r="E197" s="1">
        <f>IFERROR(__xludf.DUMMYFUNCTION("""COMPUTED_VALUE"""),0.06)</f>
        <v>0.06</v>
      </c>
      <c r="F197" s="1">
        <f>IFERROR(__xludf.DUMMYFUNCTION("""COMPUTED_VALUE"""),60000.0)</f>
        <v>60000</v>
      </c>
      <c r="G197" s="2" t="s">
        <v>12</v>
      </c>
    </row>
    <row r="198">
      <c r="A198" s="3">
        <f>IFERROR(__xludf.DUMMYFUNCTION("""COMPUTED_VALUE"""),44859.66666666667)</f>
        <v>44859.66667</v>
      </c>
      <c r="B198" s="1">
        <f>IFERROR(__xludf.DUMMYFUNCTION("""COMPUTED_VALUE"""),0.06)</f>
        <v>0.06</v>
      </c>
      <c r="C198" s="1">
        <f>IFERROR(__xludf.DUMMYFUNCTION("""COMPUTED_VALUE"""),0.06)</f>
        <v>0.06</v>
      </c>
      <c r="D198" s="1">
        <f>IFERROR(__xludf.DUMMYFUNCTION("""COMPUTED_VALUE"""),0.05)</f>
        <v>0.05</v>
      </c>
      <c r="E198" s="1">
        <f>IFERROR(__xludf.DUMMYFUNCTION("""COMPUTED_VALUE"""),0.06)</f>
        <v>0.06</v>
      </c>
      <c r="F198" s="1">
        <f>IFERROR(__xludf.DUMMYFUNCTION("""COMPUTED_VALUE"""),22983.0)</f>
        <v>22983</v>
      </c>
      <c r="G198" s="2" t="s">
        <v>12</v>
      </c>
    </row>
    <row r="199">
      <c r="A199" s="3">
        <f>IFERROR(__xludf.DUMMYFUNCTION("""COMPUTED_VALUE"""),44860.66666666667)</f>
        <v>44860.66667</v>
      </c>
      <c r="B199" s="1">
        <f>IFERROR(__xludf.DUMMYFUNCTION("""COMPUTED_VALUE"""),0.06)</f>
        <v>0.06</v>
      </c>
      <c r="C199" s="1">
        <f>IFERROR(__xludf.DUMMYFUNCTION("""COMPUTED_VALUE"""),0.06)</f>
        <v>0.06</v>
      </c>
      <c r="D199" s="1">
        <f>IFERROR(__xludf.DUMMYFUNCTION("""COMPUTED_VALUE"""),0.06)</f>
        <v>0.06</v>
      </c>
      <c r="E199" s="1">
        <f>IFERROR(__xludf.DUMMYFUNCTION("""COMPUTED_VALUE"""),0.06)</f>
        <v>0.06</v>
      </c>
      <c r="F199" s="1">
        <f>IFERROR(__xludf.DUMMYFUNCTION("""COMPUTED_VALUE"""),15000.0)</f>
        <v>15000</v>
      </c>
      <c r="G199" s="2" t="s">
        <v>12</v>
      </c>
    </row>
    <row r="200">
      <c r="A200" s="3">
        <f>IFERROR(__xludf.DUMMYFUNCTION("""COMPUTED_VALUE"""),44861.66666666667)</f>
        <v>44861.66667</v>
      </c>
      <c r="B200" s="1">
        <f>IFERROR(__xludf.DUMMYFUNCTION("""COMPUTED_VALUE"""),0.06)</f>
        <v>0.06</v>
      </c>
      <c r="C200" s="1">
        <f>IFERROR(__xludf.DUMMYFUNCTION("""COMPUTED_VALUE"""),0.06)</f>
        <v>0.06</v>
      </c>
      <c r="D200" s="1">
        <f>IFERROR(__xludf.DUMMYFUNCTION("""COMPUTED_VALUE"""),0.06)</f>
        <v>0.06</v>
      </c>
      <c r="E200" s="1">
        <f>IFERROR(__xludf.DUMMYFUNCTION("""COMPUTED_VALUE"""),0.06)</f>
        <v>0.06</v>
      </c>
      <c r="F200" s="1">
        <f>IFERROR(__xludf.DUMMYFUNCTION("""COMPUTED_VALUE"""),72627.0)</f>
        <v>72627</v>
      </c>
      <c r="G200" s="2" t="s">
        <v>12</v>
      </c>
    </row>
    <row r="201">
      <c r="A201" s="3">
        <f>IFERROR(__xludf.DUMMYFUNCTION("""COMPUTED_VALUE"""),44866.66666666667)</f>
        <v>44866.66667</v>
      </c>
      <c r="B201" s="1">
        <f>IFERROR(__xludf.DUMMYFUNCTION("""COMPUTED_VALUE"""),0.06)</f>
        <v>0.06</v>
      </c>
      <c r="C201" s="1">
        <f>IFERROR(__xludf.DUMMYFUNCTION("""COMPUTED_VALUE"""),0.06)</f>
        <v>0.06</v>
      </c>
      <c r="D201" s="1">
        <f>IFERROR(__xludf.DUMMYFUNCTION("""COMPUTED_VALUE"""),0.06)</f>
        <v>0.06</v>
      </c>
      <c r="E201" s="1">
        <f>IFERROR(__xludf.DUMMYFUNCTION("""COMPUTED_VALUE"""),0.06)</f>
        <v>0.06</v>
      </c>
      <c r="F201" s="1">
        <f>IFERROR(__xludf.DUMMYFUNCTION("""COMPUTED_VALUE"""),18000.0)</f>
        <v>18000</v>
      </c>
      <c r="G201" s="2" t="s">
        <v>12</v>
      </c>
    </row>
    <row r="202">
      <c r="A202" s="3">
        <f>IFERROR(__xludf.DUMMYFUNCTION("""COMPUTED_VALUE"""),44867.66666666667)</f>
        <v>44867.66667</v>
      </c>
      <c r="B202" s="1">
        <f>IFERROR(__xludf.DUMMYFUNCTION("""COMPUTED_VALUE"""),0.05)</f>
        <v>0.05</v>
      </c>
      <c r="C202" s="1">
        <f>IFERROR(__xludf.DUMMYFUNCTION("""COMPUTED_VALUE"""),0.06)</f>
        <v>0.06</v>
      </c>
      <c r="D202" s="1">
        <f>IFERROR(__xludf.DUMMYFUNCTION("""COMPUTED_VALUE"""),0.05)</f>
        <v>0.05</v>
      </c>
      <c r="E202" s="1">
        <f>IFERROR(__xludf.DUMMYFUNCTION("""COMPUTED_VALUE"""),0.06)</f>
        <v>0.06</v>
      </c>
      <c r="F202" s="1">
        <f>IFERROR(__xludf.DUMMYFUNCTION("""COMPUTED_VALUE"""),47500.0)</f>
        <v>47500</v>
      </c>
      <c r="G202" s="2" t="s">
        <v>12</v>
      </c>
    </row>
    <row r="203">
      <c r="A203" s="3">
        <f>IFERROR(__xludf.DUMMYFUNCTION("""COMPUTED_VALUE"""),44868.66666666667)</f>
        <v>44868.66667</v>
      </c>
      <c r="B203" s="1">
        <f>IFERROR(__xludf.DUMMYFUNCTION("""COMPUTED_VALUE"""),0.05)</f>
        <v>0.05</v>
      </c>
      <c r="C203" s="1">
        <f>IFERROR(__xludf.DUMMYFUNCTION("""COMPUTED_VALUE"""),0.06)</f>
        <v>0.06</v>
      </c>
      <c r="D203" s="1">
        <f>IFERROR(__xludf.DUMMYFUNCTION("""COMPUTED_VALUE"""),0.05)</f>
        <v>0.05</v>
      </c>
      <c r="E203" s="1">
        <f>IFERROR(__xludf.DUMMYFUNCTION("""COMPUTED_VALUE"""),0.06)</f>
        <v>0.06</v>
      </c>
      <c r="F203" s="1">
        <f>IFERROR(__xludf.DUMMYFUNCTION("""COMPUTED_VALUE"""),27000.0)</f>
        <v>27000</v>
      </c>
      <c r="G203" s="2" t="s">
        <v>12</v>
      </c>
    </row>
    <row r="204">
      <c r="A204" s="3">
        <f>IFERROR(__xludf.DUMMYFUNCTION("""COMPUTED_VALUE"""),44869.66666666667)</f>
        <v>44869.66667</v>
      </c>
      <c r="B204" s="1">
        <f>IFERROR(__xludf.DUMMYFUNCTION("""COMPUTED_VALUE"""),0.06)</f>
        <v>0.06</v>
      </c>
      <c r="C204" s="1">
        <f>IFERROR(__xludf.DUMMYFUNCTION("""COMPUTED_VALUE"""),0.06)</f>
        <v>0.06</v>
      </c>
      <c r="D204" s="1">
        <f>IFERROR(__xludf.DUMMYFUNCTION("""COMPUTED_VALUE"""),0.05)</f>
        <v>0.05</v>
      </c>
      <c r="E204" s="1">
        <f>IFERROR(__xludf.DUMMYFUNCTION("""COMPUTED_VALUE"""),0.05)</f>
        <v>0.05</v>
      </c>
      <c r="F204" s="1">
        <f>IFERROR(__xludf.DUMMYFUNCTION("""COMPUTED_VALUE"""),103000.0)</f>
        <v>103000</v>
      </c>
      <c r="G204" s="2" t="s">
        <v>12</v>
      </c>
    </row>
    <row r="205">
      <c r="A205" s="3">
        <f>IFERROR(__xludf.DUMMYFUNCTION("""COMPUTED_VALUE"""),44872.66666666667)</f>
        <v>44872.66667</v>
      </c>
      <c r="B205" s="1">
        <f>IFERROR(__xludf.DUMMYFUNCTION("""COMPUTED_VALUE"""),0.05)</f>
        <v>0.05</v>
      </c>
      <c r="C205" s="1">
        <f>IFERROR(__xludf.DUMMYFUNCTION("""COMPUTED_VALUE"""),0.05)</f>
        <v>0.05</v>
      </c>
      <c r="D205" s="1">
        <f>IFERROR(__xludf.DUMMYFUNCTION("""COMPUTED_VALUE"""),0.05)</f>
        <v>0.05</v>
      </c>
      <c r="E205" s="1">
        <f>IFERROR(__xludf.DUMMYFUNCTION("""COMPUTED_VALUE"""),0.05)</f>
        <v>0.05</v>
      </c>
      <c r="F205" s="1">
        <f>IFERROR(__xludf.DUMMYFUNCTION("""COMPUTED_VALUE"""),50000.0)</f>
        <v>50000</v>
      </c>
      <c r="G205" s="2" t="s">
        <v>12</v>
      </c>
    </row>
    <row r="206">
      <c r="A206" s="3">
        <f>IFERROR(__xludf.DUMMYFUNCTION("""COMPUTED_VALUE"""),44873.66666666667)</f>
        <v>44873.66667</v>
      </c>
      <c r="B206" s="1">
        <f>IFERROR(__xludf.DUMMYFUNCTION("""COMPUTED_VALUE"""),0.05)</f>
        <v>0.05</v>
      </c>
      <c r="C206" s="1">
        <f>IFERROR(__xludf.DUMMYFUNCTION("""COMPUTED_VALUE"""),0.05)</f>
        <v>0.05</v>
      </c>
      <c r="D206" s="1">
        <f>IFERROR(__xludf.DUMMYFUNCTION("""COMPUTED_VALUE"""),0.05)</f>
        <v>0.05</v>
      </c>
      <c r="E206" s="1">
        <f>IFERROR(__xludf.DUMMYFUNCTION("""COMPUTED_VALUE"""),0.05)</f>
        <v>0.05</v>
      </c>
      <c r="F206" s="1">
        <f>IFERROR(__xludf.DUMMYFUNCTION("""COMPUTED_VALUE"""),14000.0)</f>
        <v>14000</v>
      </c>
      <c r="G206" s="2" t="s">
        <v>12</v>
      </c>
    </row>
    <row r="207">
      <c r="A207" s="3">
        <f>IFERROR(__xludf.DUMMYFUNCTION("""COMPUTED_VALUE"""),44875.66666666667)</f>
        <v>44875.66667</v>
      </c>
      <c r="B207" s="1">
        <f>IFERROR(__xludf.DUMMYFUNCTION("""COMPUTED_VALUE"""),0.05)</f>
        <v>0.05</v>
      </c>
      <c r="C207" s="1">
        <f>IFERROR(__xludf.DUMMYFUNCTION("""COMPUTED_VALUE"""),0.05)</f>
        <v>0.05</v>
      </c>
      <c r="D207" s="1">
        <f>IFERROR(__xludf.DUMMYFUNCTION("""COMPUTED_VALUE"""),0.05)</f>
        <v>0.05</v>
      </c>
      <c r="E207" s="1">
        <f>IFERROR(__xludf.DUMMYFUNCTION("""COMPUTED_VALUE"""),0.05)</f>
        <v>0.05</v>
      </c>
      <c r="F207" s="1">
        <f>IFERROR(__xludf.DUMMYFUNCTION("""COMPUTED_VALUE"""),19000.0)</f>
        <v>19000</v>
      </c>
      <c r="G207" s="2" t="s">
        <v>12</v>
      </c>
    </row>
    <row r="208">
      <c r="A208" s="3">
        <f>IFERROR(__xludf.DUMMYFUNCTION("""COMPUTED_VALUE"""),44876.66666666667)</f>
        <v>44876.66667</v>
      </c>
      <c r="B208" s="1">
        <f>IFERROR(__xludf.DUMMYFUNCTION("""COMPUTED_VALUE"""),0.05)</f>
        <v>0.05</v>
      </c>
      <c r="C208" s="1">
        <f>IFERROR(__xludf.DUMMYFUNCTION("""COMPUTED_VALUE"""),0.05)</f>
        <v>0.05</v>
      </c>
      <c r="D208" s="1">
        <f>IFERROR(__xludf.DUMMYFUNCTION("""COMPUTED_VALUE"""),0.05)</f>
        <v>0.05</v>
      </c>
      <c r="E208" s="1">
        <f>IFERROR(__xludf.DUMMYFUNCTION("""COMPUTED_VALUE"""),0.05)</f>
        <v>0.05</v>
      </c>
      <c r="F208" s="1">
        <f>IFERROR(__xludf.DUMMYFUNCTION("""COMPUTED_VALUE"""),87875.0)</f>
        <v>87875</v>
      </c>
      <c r="G208" s="2" t="s">
        <v>12</v>
      </c>
    </row>
    <row r="209">
      <c r="A209" s="3">
        <f>IFERROR(__xludf.DUMMYFUNCTION("""COMPUTED_VALUE"""),44879.66666666667)</f>
        <v>44879.66667</v>
      </c>
      <c r="B209" s="1">
        <f>IFERROR(__xludf.DUMMYFUNCTION("""COMPUTED_VALUE"""),0.05)</f>
        <v>0.05</v>
      </c>
      <c r="C209" s="1">
        <f>IFERROR(__xludf.DUMMYFUNCTION("""COMPUTED_VALUE"""),0.05)</f>
        <v>0.05</v>
      </c>
      <c r="D209" s="1">
        <f>IFERROR(__xludf.DUMMYFUNCTION("""COMPUTED_VALUE"""),0.05)</f>
        <v>0.05</v>
      </c>
      <c r="E209" s="1">
        <f>IFERROR(__xludf.DUMMYFUNCTION("""COMPUTED_VALUE"""),0.05)</f>
        <v>0.05</v>
      </c>
      <c r="F209" s="1">
        <f>IFERROR(__xludf.DUMMYFUNCTION("""COMPUTED_VALUE"""),1100.0)</f>
        <v>1100</v>
      </c>
      <c r="G209" s="2" t="s">
        <v>12</v>
      </c>
    </row>
    <row r="210">
      <c r="A210" s="3">
        <f>IFERROR(__xludf.DUMMYFUNCTION("""COMPUTED_VALUE"""),44880.66666666667)</f>
        <v>44880.66667</v>
      </c>
      <c r="B210" s="1">
        <f>IFERROR(__xludf.DUMMYFUNCTION("""COMPUTED_VALUE"""),0.05)</f>
        <v>0.05</v>
      </c>
      <c r="C210" s="1">
        <f>IFERROR(__xludf.DUMMYFUNCTION("""COMPUTED_VALUE"""),0.05)</f>
        <v>0.05</v>
      </c>
      <c r="D210" s="1">
        <f>IFERROR(__xludf.DUMMYFUNCTION("""COMPUTED_VALUE"""),0.05)</f>
        <v>0.05</v>
      </c>
      <c r="E210" s="1">
        <f>IFERROR(__xludf.DUMMYFUNCTION("""COMPUTED_VALUE"""),0.05)</f>
        <v>0.05</v>
      </c>
      <c r="F210" s="1">
        <f>IFERROR(__xludf.DUMMYFUNCTION("""COMPUTED_VALUE"""),1000.0)</f>
        <v>1000</v>
      </c>
      <c r="G210" s="2" t="s">
        <v>12</v>
      </c>
    </row>
    <row r="211">
      <c r="A211" s="3">
        <f>IFERROR(__xludf.DUMMYFUNCTION("""COMPUTED_VALUE"""),44881.66666666667)</f>
        <v>44881.66667</v>
      </c>
      <c r="B211" s="1">
        <f>IFERROR(__xludf.DUMMYFUNCTION("""COMPUTED_VALUE"""),0.05)</f>
        <v>0.05</v>
      </c>
      <c r="C211" s="1">
        <f>IFERROR(__xludf.DUMMYFUNCTION("""COMPUTED_VALUE"""),0.05)</f>
        <v>0.05</v>
      </c>
      <c r="D211" s="1">
        <f>IFERROR(__xludf.DUMMYFUNCTION("""COMPUTED_VALUE"""),0.05)</f>
        <v>0.05</v>
      </c>
      <c r="E211" s="1">
        <f>IFERROR(__xludf.DUMMYFUNCTION("""COMPUTED_VALUE"""),0.05)</f>
        <v>0.05</v>
      </c>
      <c r="F211" s="1">
        <f>IFERROR(__xludf.DUMMYFUNCTION("""COMPUTED_VALUE"""),124500.0)</f>
        <v>124500</v>
      </c>
      <c r="G211" s="2" t="s">
        <v>12</v>
      </c>
    </row>
    <row r="212">
      <c r="A212" s="3">
        <f>IFERROR(__xludf.DUMMYFUNCTION("""COMPUTED_VALUE"""),44882.66666666667)</f>
        <v>44882.66667</v>
      </c>
      <c r="B212" s="1">
        <f>IFERROR(__xludf.DUMMYFUNCTION("""COMPUTED_VALUE"""),0.06)</f>
        <v>0.06</v>
      </c>
      <c r="C212" s="1">
        <f>IFERROR(__xludf.DUMMYFUNCTION("""COMPUTED_VALUE"""),0.06)</f>
        <v>0.06</v>
      </c>
      <c r="D212" s="1">
        <f>IFERROR(__xludf.DUMMYFUNCTION("""COMPUTED_VALUE"""),0.06)</f>
        <v>0.06</v>
      </c>
      <c r="E212" s="1">
        <f>IFERROR(__xludf.DUMMYFUNCTION("""COMPUTED_VALUE"""),0.06)</f>
        <v>0.06</v>
      </c>
      <c r="F212" s="1">
        <f>IFERROR(__xludf.DUMMYFUNCTION("""COMPUTED_VALUE"""),1000.0)</f>
        <v>1000</v>
      </c>
      <c r="G212" s="2" t="s">
        <v>12</v>
      </c>
    </row>
    <row r="213">
      <c r="A213" s="3">
        <f>IFERROR(__xludf.DUMMYFUNCTION("""COMPUTED_VALUE"""),44883.66666666667)</f>
        <v>44883.66667</v>
      </c>
      <c r="B213" s="1">
        <f>IFERROR(__xludf.DUMMYFUNCTION("""COMPUTED_VALUE"""),0.06)</f>
        <v>0.06</v>
      </c>
      <c r="C213" s="1">
        <f>IFERROR(__xludf.DUMMYFUNCTION("""COMPUTED_VALUE"""),0.06)</f>
        <v>0.06</v>
      </c>
      <c r="D213" s="1">
        <f>IFERROR(__xludf.DUMMYFUNCTION("""COMPUTED_VALUE"""),0.06)</f>
        <v>0.06</v>
      </c>
      <c r="E213" s="1">
        <f>IFERROR(__xludf.DUMMYFUNCTION("""COMPUTED_VALUE"""),0.06)</f>
        <v>0.06</v>
      </c>
      <c r="F213" s="1">
        <f>IFERROR(__xludf.DUMMYFUNCTION("""COMPUTED_VALUE"""),75500.0)</f>
        <v>75500</v>
      </c>
      <c r="G213" s="2" t="s">
        <v>12</v>
      </c>
    </row>
    <row r="214">
      <c r="A214" s="3">
        <f>IFERROR(__xludf.DUMMYFUNCTION("""COMPUTED_VALUE"""),44886.66666666667)</f>
        <v>44886.66667</v>
      </c>
      <c r="B214" s="1">
        <f>IFERROR(__xludf.DUMMYFUNCTION("""COMPUTED_VALUE"""),0.06)</f>
        <v>0.06</v>
      </c>
      <c r="C214" s="1">
        <f>IFERROR(__xludf.DUMMYFUNCTION("""COMPUTED_VALUE"""),0.06)</f>
        <v>0.06</v>
      </c>
      <c r="D214" s="1">
        <f>IFERROR(__xludf.DUMMYFUNCTION("""COMPUTED_VALUE"""),0.05)</f>
        <v>0.05</v>
      </c>
      <c r="E214" s="1">
        <f>IFERROR(__xludf.DUMMYFUNCTION("""COMPUTED_VALUE"""),0.05)</f>
        <v>0.05</v>
      </c>
      <c r="F214" s="1">
        <f>IFERROR(__xludf.DUMMYFUNCTION("""COMPUTED_VALUE"""),11000.0)</f>
        <v>11000</v>
      </c>
      <c r="G214" s="2" t="s">
        <v>12</v>
      </c>
    </row>
    <row r="215">
      <c r="A215" s="3">
        <f>IFERROR(__xludf.DUMMYFUNCTION("""COMPUTED_VALUE"""),44887.66666666667)</f>
        <v>44887.66667</v>
      </c>
      <c r="B215" s="1">
        <f>IFERROR(__xludf.DUMMYFUNCTION("""COMPUTED_VALUE"""),0.05)</f>
        <v>0.05</v>
      </c>
      <c r="C215" s="1">
        <f>IFERROR(__xludf.DUMMYFUNCTION("""COMPUTED_VALUE"""),0.05)</f>
        <v>0.05</v>
      </c>
      <c r="D215" s="1">
        <f>IFERROR(__xludf.DUMMYFUNCTION("""COMPUTED_VALUE"""),0.05)</f>
        <v>0.05</v>
      </c>
      <c r="E215" s="1">
        <f>IFERROR(__xludf.DUMMYFUNCTION("""COMPUTED_VALUE"""),0.05)</f>
        <v>0.05</v>
      </c>
      <c r="F215" s="1">
        <f>IFERROR(__xludf.DUMMYFUNCTION("""COMPUTED_VALUE"""),36800.0)</f>
        <v>36800</v>
      </c>
      <c r="G215" s="2" t="s">
        <v>12</v>
      </c>
    </row>
    <row r="216">
      <c r="A216" s="3">
        <f>IFERROR(__xludf.DUMMYFUNCTION("""COMPUTED_VALUE"""),44888.66666666667)</f>
        <v>44888.66667</v>
      </c>
      <c r="B216" s="1">
        <f>IFERROR(__xludf.DUMMYFUNCTION("""COMPUTED_VALUE"""),0.05)</f>
        <v>0.05</v>
      </c>
      <c r="C216" s="1">
        <f>IFERROR(__xludf.DUMMYFUNCTION("""COMPUTED_VALUE"""),0.05)</f>
        <v>0.05</v>
      </c>
      <c r="D216" s="1">
        <f>IFERROR(__xludf.DUMMYFUNCTION("""COMPUTED_VALUE"""),0.05)</f>
        <v>0.05</v>
      </c>
      <c r="E216" s="1">
        <f>IFERROR(__xludf.DUMMYFUNCTION("""COMPUTED_VALUE"""),0.05)</f>
        <v>0.05</v>
      </c>
      <c r="F216" s="1">
        <f>IFERROR(__xludf.DUMMYFUNCTION("""COMPUTED_VALUE"""),115000.0)</f>
        <v>115000</v>
      </c>
      <c r="G216" s="2" t="s">
        <v>12</v>
      </c>
    </row>
    <row r="217">
      <c r="A217" s="3">
        <f>IFERROR(__xludf.DUMMYFUNCTION("""COMPUTED_VALUE"""),44889.66666666667)</f>
        <v>44889.66667</v>
      </c>
      <c r="B217" s="1">
        <f>IFERROR(__xludf.DUMMYFUNCTION("""COMPUTED_VALUE"""),0.05)</f>
        <v>0.05</v>
      </c>
      <c r="C217" s="1">
        <f>IFERROR(__xludf.DUMMYFUNCTION("""COMPUTED_VALUE"""),0.05)</f>
        <v>0.05</v>
      </c>
      <c r="D217" s="1">
        <f>IFERROR(__xludf.DUMMYFUNCTION("""COMPUTED_VALUE"""),0.05)</f>
        <v>0.05</v>
      </c>
      <c r="E217" s="1">
        <f>IFERROR(__xludf.DUMMYFUNCTION("""COMPUTED_VALUE"""),0.05)</f>
        <v>0.05</v>
      </c>
      <c r="F217" s="1">
        <f>IFERROR(__xludf.DUMMYFUNCTION("""COMPUTED_VALUE"""),10400.0)</f>
        <v>10400</v>
      </c>
      <c r="G217" s="2" t="s">
        <v>12</v>
      </c>
    </row>
    <row r="218">
      <c r="A218" s="3">
        <f>IFERROR(__xludf.DUMMYFUNCTION("""COMPUTED_VALUE"""),44893.66666666667)</f>
        <v>44893.66667</v>
      </c>
      <c r="B218" s="1">
        <f>IFERROR(__xludf.DUMMYFUNCTION("""COMPUTED_VALUE"""),0.05)</f>
        <v>0.05</v>
      </c>
      <c r="C218" s="1">
        <f>IFERROR(__xludf.DUMMYFUNCTION("""COMPUTED_VALUE"""),0.05)</f>
        <v>0.05</v>
      </c>
      <c r="D218" s="1">
        <f>IFERROR(__xludf.DUMMYFUNCTION("""COMPUTED_VALUE"""),0.05)</f>
        <v>0.05</v>
      </c>
      <c r="E218" s="1">
        <f>IFERROR(__xludf.DUMMYFUNCTION("""COMPUTED_VALUE"""),0.05)</f>
        <v>0.05</v>
      </c>
      <c r="F218" s="1">
        <f>IFERROR(__xludf.DUMMYFUNCTION("""COMPUTED_VALUE"""),30500.0)</f>
        <v>30500</v>
      </c>
      <c r="G218" s="2" t="s">
        <v>12</v>
      </c>
    </row>
    <row r="219">
      <c r="A219" s="3">
        <f>IFERROR(__xludf.DUMMYFUNCTION("""COMPUTED_VALUE"""),44895.66666666667)</f>
        <v>44895.66667</v>
      </c>
      <c r="B219" s="1">
        <f>IFERROR(__xludf.DUMMYFUNCTION("""COMPUTED_VALUE"""),0.05)</f>
        <v>0.05</v>
      </c>
      <c r="C219" s="1">
        <f>IFERROR(__xludf.DUMMYFUNCTION("""COMPUTED_VALUE"""),0.05)</f>
        <v>0.05</v>
      </c>
      <c r="D219" s="1">
        <f>IFERROR(__xludf.DUMMYFUNCTION("""COMPUTED_VALUE"""),0.05)</f>
        <v>0.05</v>
      </c>
      <c r="E219" s="1">
        <f>IFERROR(__xludf.DUMMYFUNCTION("""COMPUTED_VALUE"""),0.05)</f>
        <v>0.05</v>
      </c>
      <c r="F219" s="1">
        <f>IFERROR(__xludf.DUMMYFUNCTION("""COMPUTED_VALUE"""),41789.0)</f>
        <v>41789</v>
      </c>
      <c r="G219" s="2" t="s">
        <v>12</v>
      </c>
    </row>
    <row r="220">
      <c r="A220" s="3">
        <f>IFERROR(__xludf.DUMMYFUNCTION("""COMPUTED_VALUE"""),44896.66666666667)</f>
        <v>44896.66667</v>
      </c>
      <c r="B220" s="1">
        <f>IFERROR(__xludf.DUMMYFUNCTION("""COMPUTED_VALUE"""),0.05)</f>
        <v>0.05</v>
      </c>
      <c r="C220" s="1">
        <f>IFERROR(__xludf.DUMMYFUNCTION("""COMPUTED_VALUE"""),0.05)</f>
        <v>0.05</v>
      </c>
      <c r="D220" s="1">
        <f>IFERROR(__xludf.DUMMYFUNCTION("""COMPUTED_VALUE"""),0.05)</f>
        <v>0.05</v>
      </c>
      <c r="E220" s="1">
        <f>IFERROR(__xludf.DUMMYFUNCTION("""COMPUTED_VALUE"""),0.05)</f>
        <v>0.05</v>
      </c>
      <c r="F220" s="1">
        <f>IFERROR(__xludf.DUMMYFUNCTION("""COMPUTED_VALUE"""),56849.0)</f>
        <v>56849</v>
      </c>
      <c r="G220" s="2" t="s">
        <v>12</v>
      </c>
    </row>
    <row r="221">
      <c r="A221" s="3">
        <f>IFERROR(__xludf.DUMMYFUNCTION("""COMPUTED_VALUE"""),44897.66666666667)</f>
        <v>44897.66667</v>
      </c>
      <c r="B221" s="1">
        <f>IFERROR(__xludf.DUMMYFUNCTION("""COMPUTED_VALUE"""),0.05)</f>
        <v>0.05</v>
      </c>
      <c r="C221" s="1">
        <f>IFERROR(__xludf.DUMMYFUNCTION("""COMPUTED_VALUE"""),0.05)</f>
        <v>0.05</v>
      </c>
      <c r="D221" s="1">
        <f>IFERROR(__xludf.DUMMYFUNCTION("""COMPUTED_VALUE"""),0.05)</f>
        <v>0.05</v>
      </c>
      <c r="E221" s="1">
        <f>IFERROR(__xludf.DUMMYFUNCTION("""COMPUTED_VALUE"""),0.05)</f>
        <v>0.05</v>
      </c>
      <c r="F221" s="1">
        <f>IFERROR(__xludf.DUMMYFUNCTION("""COMPUTED_VALUE"""),548093.0)</f>
        <v>548093</v>
      </c>
      <c r="G221" s="2" t="s">
        <v>12</v>
      </c>
    </row>
    <row r="222">
      <c r="A222" s="3">
        <f>IFERROR(__xludf.DUMMYFUNCTION("""COMPUTED_VALUE"""),44900.66666666667)</f>
        <v>44900.66667</v>
      </c>
      <c r="B222" s="1">
        <f>IFERROR(__xludf.DUMMYFUNCTION("""COMPUTED_VALUE"""),0.04)</f>
        <v>0.04</v>
      </c>
      <c r="C222" s="1">
        <f>IFERROR(__xludf.DUMMYFUNCTION("""COMPUTED_VALUE"""),0.05)</f>
        <v>0.05</v>
      </c>
      <c r="D222" s="1">
        <f>IFERROR(__xludf.DUMMYFUNCTION("""COMPUTED_VALUE"""),0.04)</f>
        <v>0.04</v>
      </c>
      <c r="E222" s="1">
        <f>IFERROR(__xludf.DUMMYFUNCTION("""COMPUTED_VALUE"""),0.04)</f>
        <v>0.04</v>
      </c>
      <c r="F222" s="1">
        <f>IFERROR(__xludf.DUMMYFUNCTION("""COMPUTED_VALUE"""),9000.0)</f>
        <v>9000</v>
      </c>
      <c r="G222" s="2" t="s">
        <v>12</v>
      </c>
    </row>
    <row r="223">
      <c r="A223" s="3">
        <f>IFERROR(__xludf.DUMMYFUNCTION("""COMPUTED_VALUE"""),44901.66666666667)</f>
        <v>44901.66667</v>
      </c>
      <c r="B223" s="1">
        <f>IFERROR(__xludf.DUMMYFUNCTION("""COMPUTED_VALUE"""),0.05)</f>
        <v>0.05</v>
      </c>
      <c r="C223" s="1">
        <f>IFERROR(__xludf.DUMMYFUNCTION("""COMPUTED_VALUE"""),0.05)</f>
        <v>0.05</v>
      </c>
      <c r="D223" s="1">
        <f>IFERROR(__xludf.DUMMYFUNCTION("""COMPUTED_VALUE"""),0.04)</f>
        <v>0.04</v>
      </c>
      <c r="E223" s="1">
        <f>IFERROR(__xludf.DUMMYFUNCTION("""COMPUTED_VALUE"""),0.04)</f>
        <v>0.04</v>
      </c>
      <c r="F223" s="1">
        <f>IFERROR(__xludf.DUMMYFUNCTION("""COMPUTED_VALUE"""),54451.0)</f>
        <v>54451</v>
      </c>
      <c r="G223" s="2" t="s">
        <v>12</v>
      </c>
    </row>
    <row r="224">
      <c r="A224" s="3">
        <f>IFERROR(__xludf.DUMMYFUNCTION("""COMPUTED_VALUE"""),44902.66666666667)</f>
        <v>44902.66667</v>
      </c>
      <c r="B224" s="1">
        <f>IFERROR(__xludf.DUMMYFUNCTION("""COMPUTED_VALUE"""),0.04)</f>
        <v>0.04</v>
      </c>
      <c r="C224" s="1">
        <f>IFERROR(__xludf.DUMMYFUNCTION("""COMPUTED_VALUE"""),0.05)</f>
        <v>0.05</v>
      </c>
      <c r="D224" s="1">
        <f>IFERROR(__xludf.DUMMYFUNCTION("""COMPUTED_VALUE"""),0.04)</f>
        <v>0.04</v>
      </c>
      <c r="E224" s="1">
        <f>IFERROR(__xludf.DUMMYFUNCTION("""COMPUTED_VALUE"""),0.05)</f>
        <v>0.05</v>
      </c>
      <c r="F224" s="1">
        <f>IFERROR(__xludf.DUMMYFUNCTION("""COMPUTED_VALUE"""),92330.0)</f>
        <v>92330</v>
      </c>
      <c r="G224" s="2" t="s">
        <v>12</v>
      </c>
    </row>
    <row r="225">
      <c r="A225" s="3">
        <f>IFERROR(__xludf.DUMMYFUNCTION("""COMPUTED_VALUE"""),44903.66666666667)</f>
        <v>44903.66667</v>
      </c>
      <c r="B225" s="1">
        <f>IFERROR(__xludf.DUMMYFUNCTION("""COMPUTED_VALUE"""),0.04)</f>
        <v>0.04</v>
      </c>
      <c r="C225" s="1">
        <f>IFERROR(__xludf.DUMMYFUNCTION("""COMPUTED_VALUE"""),0.04)</f>
        <v>0.04</v>
      </c>
      <c r="D225" s="1">
        <f>IFERROR(__xludf.DUMMYFUNCTION("""COMPUTED_VALUE"""),0.04)</f>
        <v>0.04</v>
      </c>
      <c r="E225" s="1">
        <f>IFERROR(__xludf.DUMMYFUNCTION("""COMPUTED_VALUE"""),0.04)</f>
        <v>0.04</v>
      </c>
      <c r="F225" s="1">
        <f>IFERROR(__xludf.DUMMYFUNCTION("""COMPUTED_VALUE"""),17500.0)</f>
        <v>17500</v>
      </c>
      <c r="G225" s="2" t="s">
        <v>12</v>
      </c>
    </row>
    <row r="226">
      <c r="A226" s="3">
        <f>IFERROR(__xludf.DUMMYFUNCTION("""COMPUTED_VALUE"""),44904.66666666667)</f>
        <v>44904.66667</v>
      </c>
      <c r="B226" s="1">
        <f>IFERROR(__xludf.DUMMYFUNCTION("""COMPUTED_VALUE"""),0.04)</f>
        <v>0.04</v>
      </c>
      <c r="C226" s="1">
        <f>IFERROR(__xludf.DUMMYFUNCTION("""COMPUTED_VALUE"""),0.04)</f>
        <v>0.04</v>
      </c>
      <c r="D226" s="1">
        <f>IFERROR(__xludf.DUMMYFUNCTION("""COMPUTED_VALUE"""),0.04)</f>
        <v>0.04</v>
      </c>
      <c r="E226" s="1">
        <f>IFERROR(__xludf.DUMMYFUNCTION("""COMPUTED_VALUE"""),0.04)</f>
        <v>0.04</v>
      </c>
      <c r="F226" s="1">
        <f>IFERROR(__xludf.DUMMYFUNCTION("""COMPUTED_VALUE"""),96000.0)</f>
        <v>96000</v>
      </c>
      <c r="G226" s="2" t="s">
        <v>12</v>
      </c>
    </row>
    <row r="227">
      <c r="A227" s="3">
        <f>IFERROR(__xludf.DUMMYFUNCTION("""COMPUTED_VALUE"""),44907.66666666667)</f>
        <v>44907.66667</v>
      </c>
      <c r="B227" s="1">
        <f>IFERROR(__xludf.DUMMYFUNCTION("""COMPUTED_VALUE"""),0.04)</f>
        <v>0.04</v>
      </c>
      <c r="C227" s="1">
        <f>IFERROR(__xludf.DUMMYFUNCTION("""COMPUTED_VALUE"""),0.04)</f>
        <v>0.04</v>
      </c>
      <c r="D227" s="1">
        <f>IFERROR(__xludf.DUMMYFUNCTION("""COMPUTED_VALUE"""),0.04)</f>
        <v>0.04</v>
      </c>
      <c r="E227" s="1">
        <f>IFERROR(__xludf.DUMMYFUNCTION("""COMPUTED_VALUE"""),0.04)</f>
        <v>0.04</v>
      </c>
      <c r="F227" s="1">
        <f>IFERROR(__xludf.DUMMYFUNCTION("""COMPUTED_VALUE"""),42000.0)</f>
        <v>42000</v>
      </c>
      <c r="G227" s="2" t="s">
        <v>12</v>
      </c>
    </row>
    <row r="228">
      <c r="A228" s="3">
        <f>IFERROR(__xludf.DUMMYFUNCTION("""COMPUTED_VALUE"""),44909.66666666667)</f>
        <v>44909.66667</v>
      </c>
      <c r="B228" s="1">
        <f>IFERROR(__xludf.DUMMYFUNCTION("""COMPUTED_VALUE"""),0.05)</f>
        <v>0.05</v>
      </c>
      <c r="C228" s="1">
        <f>IFERROR(__xludf.DUMMYFUNCTION("""COMPUTED_VALUE"""),0.05)</f>
        <v>0.05</v>
      </c>
      <c r="D228" s="1">
        <f>IFERROR(__xludf.DUMMYFUNCTION("""COMPUTED_VALUE"""),0.05)</f>
        <v>0.05</v>
      </c>
      <c r="E228" s="1">
        <f>IFERROR(__xludf.DUMMYFUNCTION("""COMPUTED_VALUE"""),0.05)</f>
        <v>0.05</v>
      </c>
      <c r="F228" s="1">
        <f>IFERROR(__xludf.DUMMYFUNCTION("""COMPUTED_VALUE"""),1948563.0)</f>
        <v>1948563</v>
      </c>
      <c r="G228" s="2" t="s">
        <v>12</v>
      </c>
    </row>
    <row r="229">
      <c r="A229" s="3">
        <f>IFERROR(__xludf.DUMMYFUNCTION("""COMPUTED_VALUE"""),44910.66666666667)</f>
        <v>44910.66667</v>
      </c>
      <c r="B229" s="1">
        <f>IFERROR(__xludf.DUMMYFUNCTION("""COMPUTED_VALUE"""),0.05)</f>
        <v>0.05</v>
      </c>
      <c r="C229" s="1">
        <f>IFERROR(__xludf.DUMMYFUNCTION("""COMPUTED_VALUE"""),0.05)</f>
        <v>0.05</v>
      </c>
      <c r="D229" s="1">
        <f>IFERROR(__xludf.DUMMYFUNCTION("""COMPUTED_VALUE"""),0.04)</f>
        <v>0.04</v>
      </c>
      <c r="E229" s="1">
        <f>IFERROR(__xludf.DUMMYFUNCTION("""COMPUTED_VALUE"""),0.04)</f>
        <v>0.04</v>
      </c>
      <c r="F229" s="1">
        <f>IFERROR(__xludf.DUMMYFUNCTION("""COMPUTED_VALUE"""),410001.0)</f>
        <v>410001</v>
      </c>
      <c r="G229" s="2" t="s">
        <v>12</v>
      </c>
    </row>
    <row r="230">
      <c r="A230" s="3">
        <f>IFERROR(__xludf.DUMMYFUNCTION("""COMPUTED_VALUE"""),44911.66666666667)</f>
        <v>44911.66667</v>
      </c>
      <c r="B230" s="1">
        <f>IFERROR(__xludf.DUMMYFUNCTION("""COMPUTED_VALUE"""),0.04)</f>
        <v>0.04</v>
      </c>
      <c r="C230" s="1">
        <f>IFERROR(__xludf.DUMMYFUNCTION("""COMPUTED_VALUE"""),0.04)</f>
        <v>0.04</v>
      </c>
      <c r="D230" s="1">
        <f>IFERROR(__xludf.DUMMYFUNCTION("""COMPUTED_VALUE"""),0.04)</f>
        <v>0.04</v>
      </c>
      <c r="E230" s="1">
        <f>IFERROR(__xludf.DUMMYFUNCTION("""COMPUTED_VALUE"""),0.04)</f>
        <v>0.04</v>
      </c>
      <c r="F230" s="1">
        <f>IFERROR(__xludf.DUMMYFUNCTION("""COMPUTED_VALUE"""),68000.0)</f>
        <v>68000</v>
      </c>
      <c r="G230" s="2" t="s">
        <v>12</v>
      </c>
    </row>
    <row r="231">
      <c r="A231" s="3">
        <f>IFERROR(__xludf.DUMMYFUNCTION("""COMPUTED_VALUE"""),44914.66666666667)</f>
        <v>44914.66667</v>
      </c>
      <c r="B231" s="1">
        <f>IFERROR(__xludf.DUMMYFUNCTION("""COMPUTED_VALUE"""),0.04)</f>
        <v>0.04</v>
      </c>
      <c r="C231" s="1">
        <f>IFERROR(__xludf.DUMMYFUNCTION("""COMPUTED_VALUE"""),0.04)</f>
        <v>0.04</v>
      </c>
      <c r="D231" s="1">
        <f>IFERROR(__xludf.DUMMYFUNCTION("""COMPUTED_VALUE"""),0.04)</f>
        <v>0.04</v>
      </c>
      <c r="E231" s="1">
        <f>IFERROR(__xludf.DUMMYFUNCTION("""COMPUTED_VALUE"""),0.04)</f>
        <v>0.04</v>
      </c>
      <c r="F231" s="1">
        <f>IFERROR(__xludf.DUMMYFUNCTION("""COMPUTED_VALUE"""),264979.0)</f>
        <v>264979</v>
      </c>
      <c r="G231" s="2" t="s">
        <v>12</v>
      </c>
    </row>
    <row r="232">
      <c r="A232" s="3">
        <f>IFERROR(__xludf.DUMMYFUNCTION("""COMPUTED_VALUE"""),44915.66666666667)</f>
        <v>44915.66667</v>
      </c>
      <c r="B232" s="1">
        <f>IFERROR(__xludf.DUMMYFUNCTION("""COMPUTED_VALUE"""),0.04)</f>
        <v>0.04</v>
      </c>
      <c r="C232" s="1">
        <f>IFERROR(__xludf.DUMMYFUNCTION("""COMPUTED_VALUE"""),0.05)</f>
        <v>0.05</v>
      </c>
      <c r="D232" s="1">
        <f>IFERROR(__xludf.DUMMYFUNCTION("""COMPUTED_VALUE"""),0.04)</f>
        <v>0.04</v>
      </c>
      <c r="E232" s="1">
        <f>IFERROR(__xludf.DUMMYFUNCTION("""COMPUTED_VALUE"""),0.04)</f>
        <v>0.04</v>
      </c>
      <c r="F232" s="1">
        <f>IFERROR(__xludf.DUMMYFUNCTION("""COMPUTED_VALUE"""),157000.0)</f>
        <v>157000</v>
      </c>
      <c r="G232" s="2" t="s">
        <v>12</v>
      </c>
    </row>
    <row r="233">
      <c r="A233" s="3">
        <f>IFERROR(__xludf.DUMMYFUNCTION("""COMPUTED_VALUE"""),44916.66666666667)</f>
        <v>44916.66667</v>
      </c>
      <c r="B233" s="1">
        <f>IFERROR(__xludf.DUMMYFUNCTION("""COMPUTED_VALUE"""),0.04)</f>
        <v>0.04</v>
      </c>
      <c r="C233" s="1">
        <f>IFERROR(__xludf.DUMMYFUNCTION("""COMPUTED_VALUE"""),0.04)</f>
        <v>0.04</v>
      </c>
      <c r="D233" s="1">
        <f>IFERROR(__xludf.DUMMYFUNCTION("""COMPUTED_VALUE"""),0.04)</f>
        <v>0.04</v>
      </c>
      <c r="E233" s="1">
        <f>IFERROR(__xludf.DUMMYFUNCTION("""COMPUTED_VALUE"""),0.04)</f>
        <v>0.04</v>
      </c>
      <c r="F233" s="1">
        <f>IFERROR(__xludf.DUMMYFUNCTION("""COMPUTED_VALUE"""),66000.0)</f>
        <v>66000</v>
      </c>
      <c r="G233" s="2" t="s">
        <v>12</v>
      </c>
    </row>
    <row r="234">
      <c r="A234" s="3">
        <f>IFERROR(__xludf.DUMMYFUNCTION("""COMPUTED_VALUE"""),44917.66666666667)</f>
        <v>44917.66667</v>
      </c>
      <c r="B234" s="1">
        <f>IFERROR(__xludf.DUMMYFUNCTION("""COMPUTED_VALUE"""),0.04)</f>
        <v>0.04</v>
      </c>
      <c r="C234" s="1">
        <f>IFERROR(__xludf.DUMMYFUNCTION("""COMPUTED_VALUE"""),0.05)</f>
        <v>0.05</v>
      </c>
      <c r="D234" s="1">
        <f>IFERROR(__xludf.DUMMYFUNCTION("""COMPUTED_VALUE"""),0.04)</f>
        <v>0.04</v>
      </c>
      <c r="E234" s="1">
        <f>IFERROR(__xludf.DUMMYFUNCTION("""COMPUTED_VALUE"""),0.05)</f>
        <v>0.05</v>
      </c>
      <c r="F234" s="1">
        <f>IFERROR(__xludf.DUMMYFUNCTION("""COMPUTED_VALUE"""),31300.0)</f>
        <v>31300</v>
      </c>
      <c r="G234" s="2" t="s">
        <v>12</v>
      </c>
    </row>
    <row r="235">
      <c r="A235" s="3">
        <f>IFERROR(__xludf.DUMMYFUNCTION("""COMPUTED_VALUE"""),44918.66666666667)</f>
        <v>44918.66667</v>
      </c>
      <c r="B235" s="1">
        <f>IFERROR(__xludf.DUMMYFUNCTION("""COMPUTED_VALUE"""),0.04)</f>
        <v>0.04</v>
      </c>
      <c r="C235" s="1">
        <f>IFERROR(__xludf.DUMMYFUNCTION("""COMPUTED_VALUE"""),0.04)</f>
        <v>0.04</v>
      </c>
      <c r="D235" s="1">
        <f>IFERROR(__xludf.DUMMYFUNCTION("""COMPUTED_VALUE"""),0.04)</f>
        <v>0.04</v>
      </c>
      <c r="E235" s="1">
        <f>IFERROR(__xludf.DUMMYFUNCTION("""COMPUTED_VALUE"""),0.04)</f>
        <v>0.04</v>
      </c>
      <c r="F235" s="1">
        <f>IFERROR(__xludf.DUMMYFUNCTION("""COMPUTED_VALUE"""),128000.0)</f>
        <v>128000</v>
      </c>
      <c r="G235" s="2" t="s">
        <v>12</v>
      </c>
    </row>
    <row r="236">
      <c r="A236" s="3">
        <f>IFERROR(__xludf.DUMMYFUNCTION("""COMPUTED_VALUE"""),44923.66666666667)</f>
        <v>44923.66667</v>
      </c>
      <c r="B236" s="1">
        <f>IFERROR(__xludf.DUMMYFUNCTION("""COMPUTED_VALUE"""),0.04)</f>
        <v>0.04</v>
      </c>
      <c r="C236" s="1">
        <f>IFERROR(__xludf.DUMMYFUNCTION("""COMPUTED_VALUE"""),0.04)</f>
        <v>0.04</v>
      </c>
      <c r="D236" s="1">
        <f>IFERROR(__xludf.DUMMYFUNCTION("""COMPUTED_VALUE"""),0.04)</f>
        <v>0.04</v>
      </c>
      <c r="E236" s="1">
        <f>IFERROR(__xludf.DUMMYFUNCTION("""COMPUTED_VALUE"""),0.04)</f>
        <v>0.04</v>
      </c>
      <c r="F236" s="1">
        <f>IFERROR(__xludf.DUMMYFUNCTION("""COMPUTED_VALUE"""),74100.0)</f>
        <v>74100</v>
      </c>
      <c r="G236" s="2" t="s">
        <v>12</v>
      </c>
    </row>
    <row r="237">
      <c r="A237" s="3">
        <f>IFERROR(__xludf.DUMMYFUNCTION("""COMPUTED_VALUE"""),44924.66666666667)</f>
        <v>44924.66667</v>
      </c>
      <c r="B237" s="1">
        <f>IFERROR(__xludf.DUMMYFUNCTION("""COMPUTED_VALUE"""),0.04)</f>
        <v>0.04</v>
      </c>
      <c r="C237" s="1">
        <f>IFERROR(__xludf.DUMMYFUNCTION("""COMPUTED_VALUE"""),0.04)</f>
        <v>0.04</v>
      </c>
      <c r="D237" s="1">
        <f>IFERROR(__xludf.DUMMYFUNCTION("""COMPUTED_VALUE"""),0.04)</f>
        <v>0.04</v>
      </c>
      <c r="E237" s="1">
        <f>IFERROR(__xludf.DUMMYFUNCTION("""COMPUTED_VALUE"""),0.04)</f>
        <v>0.04</v>
      </c>
      <c r="F237" s="1">
        <f>IFERROR(__xludf.DUMMYFUNCTION("""COMPUTED_VALUE"""),22000.0)</f>
        <v>22000</v>
      </c>
      <c r="G237" s="2" t="s">
        <v>12</v>
      </c>
    </row>
    <row r="238">
      <c r="A238" s="3">
        <f>IFERROR(__xludf.DUMMYFUNCTION("""COMPUTED_VALUE"""),44925.66666666667)</f>
        <v>44925.66667</v>
      </c>
      <c r="B238" s="1">
        <f>IFERROR(__xludf.DUMMYFUNCTION("""COMPUTED_VALUE"""),0.04)</f>
        <v>0.04</v>
      </c>
      <c r="C238" s="1">
        <f>IFERROR(__xludf.DUMMYFUNCTION("""COMPUTED_VALUE"""),0.04)</f>
        <v>0.04</v>
      </c>
      <c r="D238" s="1">
        <f>IFERROR(__xludf.DUMMYFUNCTION("""COMPUTED_VALUE"""),0.04)</f>
        <v>0.04</v>
      </c>
      <c r="E238" s="1">
        <f>IFERROR(__xludf.DUMMYFUNCTION("""COMPUTED_VALUE"""),0.04)</f>
        <v>0.04</v>
      </c>
      <c r="F238" s="1">
        <f>IFERROR(__xludf.DUMMYFUNCTION("""COMPUTED_VALUE"""),19500.0)</f>
        <v>19500</v>
      </c>
      <c r="G238" s="2" t="s">
        <v>12</v>
      </c>
    </row>
    <row r="239">
      <c r="A239" s="3">
        <f>IFERROR(__xludf.DUMMYFUNCTION("""COMPUTED_VALUE"""),44929.66666666667)</f>
        <v>44929.66667</v>
      </c>
      <c r="B239" s="1">
        <f>IFERROR(__xludf.DUMMYFUNCTION("""COMPUTED_VALUE"""),0.04)</f>
        <v>0.04</v>
      </c>
      <c r="C239" s="1">
        <f>IFERROR(__xludf.DUMMYFUNCTION("""COMPUTED_VALUE"""),0.04)</f>
        <v>0.04</v>
      </c>
      <c r="D239" s="1">
        <f>IFERROR(__xludf.DUMMYFUNCTION("""COMPUTED_VALUE"""),0.04)</f>
        <v>0.04</v>
      </c>
      <c r="E239" s="1">
        <f>IFERROR(__xludf.DUMMYFUNCTION("""COMPUTED_VALUE"""),0.04)</f>
        <v>0.04</v>
      </c>
      <c r="F239" s="1">
        <f>IFERROR(__xludf.DUMMYFUNCTION("""COMPUTED_VALUE"""),65026.0)</f>
        <v>65026</v>
      </c>
      <c r="G239" s="2" t="s">
        <v>12</v>
      </c>
    </row>
    <row r="240">
      <c r="A240" s="3">
        <f>IFERROR(__xludf.DUMMYFUNCTION("""COMPUTED_VALUE"""),44930.66666666667)</f>
        <v>44930.66667</v>
      </c>
      <c r="B240" s="1">
        <f>IFERROR(__xludf.DUMMYFUNCTION("""COMPUTED_VALUE"""),0.04)</f>
        <v>0.04</v>
      </c>
      <c r="C240" s="1">
        <f>IFERROR(__xludf.DUMMYFUNCTION("""COMPUTED_VALUE"""),0.04)</f>
        <v>0.04</v>
      </c>
      <c r="D240" s="1">
        <f>IFERROR(__xludf.DUMMYFUNCTION("""COMPUTED_VALUE"""),0.04)</f>
        <v>0.04</v>
      </c>
      <c r="E240" s="1">
        <f>IFERROR(__xludf.DUMMYFUNCTION("""COMPUTED_VALUE"""),0.04)</f>
        <v>0.04</v>
      </c>
      <c r="F240" s="1">
        <f>IFERROR(__xludf.DUMMYFUNCTION("""COMPUTED_VALUE"""),12000.0)</f>
        <v>12000</v>
      </c>
      <c r="G240" s="2" t="s">
        <v>12</v>
      </c>
    </row>
    <row r="241">
      <c r="A241" s="3">
        <f>IFERROR(__xludf.DUMMYFUNCTION("""COMPUTED_VALUE"""),44931.66666666667)</f>
        <v>44931.66667</v>
      </c>
      <c r="B241" s="1">
        <f>IFERROR(__xludf.DUMMYFUNCTION("""COMPUTED_VALUE"""),0.04)</f>
        <v>0.04</v>
      </c>
      <c r="C241" s="1">
        <f>IFERROR(__xludf.DUMMYFUNCTION("""COMPUTED_VALUE"""),0.04)</f>
        <v>0.04</v>
      </c>
      <c r="D241" s="1">
        <f>IFERROR(__xludf.DUMMYFUNCTION("""COMPUTED_VALUE"""),0.04)</f>
        <v>0.04</v>
      </c>
      <c r="E241" s="1">
        <f>IFERROR(__xludf.DUMMYFUNCTION("""COMPUTED_VALUE"""),0.04)</f>
        <v>0.04</v>
      </c>
      <c r="F241" s="1">
        <f>IFERROR(__xludf.DUMMYFUNCTION("""COMPUTED_VALUE"""),69300.0)</f>
        <v>69300</v>
      </c>
      <c r="G241" s="2" t="s">
        <v>12</v>
      </c>
    </row>
    <row r="242">
      <c r="A242" s="3">
        <f>IFERROR(__xludf.DUMMYFUNCTION("""COMPUTED_VALUE"""),44932.66666666667)</f>
        <v>44932.66667</v>
      </c>
      <c r="B242" s="1">
        <f>IFERROR(__xludf.DUMMYFUNCTION("""COMPUTED_VALUE"""),0.04)</f>
        <v>0.04</v>
      </c>
      <c r="C242" s="1">
        <f>IFERROR(__xludf.DUMMYFUNCTION("""COMPUTED_VALUE"""),0.04)</f>
        <v>0.04</v>
      </c>
      <c r="D242" s="1">
        <f>IFERROR(__xludf.DUMMYFUNCTION("""COMPUTED_VALUE"""),0.04)</f>
        <v>0.04</v>
      </c>
      <c r="E242" s="1">
        <f>IFERROR(__xludf.DUMMYFUNCTION("""COMPUTED_VALUE"""),0.04)</f>
        <v>0.04</v>
      </c>
      <c r="F242" s="1">
        <f>IFERROR(__xludf.DUMMYFUNCTION("""COMPUTED_VALUE"""),34000.0)</f>
        <v>34000</v>
      </c>
      <c r="G242" s="2" t="s">
        <v>12</v>
      </c>
    </row>
    <row r="243">
      <c r="A243" s="3">
        <f>IFERROR(__xludf.DUMMYFUNCTION("""COMPUTED_VALUE"""),44935.66666666667)</f>
        <v>44935.66667</v>
      </c>
      <c r="B243" s="1">
        <f>IFERROR(__xludf.DUMMYFUNCTION("""COMPUTED_VALUE"""),0.04)</f>
        <v>0.04</v>
      </c>
      <c r="C243" s="1">
        <f>IFERROR(__xludf.DUMMYFUNCTION("""COMPUTED_VALUE"""),0.04)</f>
        <v>0.04</v>
      </c>
      <c r="D243" s="1">
        <f>IFERROR(__xludf.DUMMYFUNCTION("""COMPUTED_VALUE"""),0.04)</f>
        <v>0.04</v>
      </c>
      <c r="E243" s="1">
        <f>IFERROR(__xludf.DUMMYFUNCTION("""COMPUTED_VALUE"""),0.04)</f>
        <v>0.04</v>
      </c>
      <c r="F243" s="1">
        <f>IFERROR(__xludf.DUMMYFUNCTION("""COMPUTED_VALUE"""),191955.0)</f>
        <v>191955</v>
      </c>
      <c r="G243" s="2" t="s">
        <v>12</v>
      </c>
    </row>
    <row r="244">
      <c r="A244" s="3">
        <f>IFERROR(__xludf.DUMMYFUNCTION("""COMPUTED_VALUE"""),44936.66666666667)</f>
        <v>44936.66667</v>
      </c>
      <c r="B244" s="1">
        <f>IFERROR(__xludf.DUMMYFUNCTION("""COMPUTED_VALUE"""),0.05)</f>
        <v>0.05</v>
      </c>
      <c r="C244" s="1">
        <f>IFERROR(__xludf.DUMMYFUNCTION("""COMPUTED_VALUE"""),0.05)</f>
        <v>0.05</v>
      </c>
      <c r="D244" s="1">
        <f>IFERROR(__xludf.DUMMYFUNCTION("""COMPUTED_VALUE"""),0.05)</f>
        <v>0.05</v>
      </c>
      <c r="E244" s="1">
        <f>IFERROR(__xludf.DUMMYFUNCTION("""COMPUTED_VALUE"""),0.05)</f>
        <v>0.05</v>
      </c>
      <c r="F244" s="1">
        <f>IFERROR(__xludf.DUMMYFUNCTION("""COMPUTED_VALUE"""),10000.0)</f>
        <v>10000</v>
      </c>
      <c r="G244" s="2" t="s">
        <v>12</v>
      </c>
    </row>
    <row r="245">
      <c r="A245" s="3">
        <f>IFERROR(__xludf.DUMMYFUNCTION("""COMPUTED_VALUE"""),44937.66666666667)</f>
        <v>44937.66667</v>
      </c>
      <c r="B245" s="1">
        <f>IFERROR(__xludf.DUMMYFUNCTION("""COMPUTED_VALUE"""),0.04)</f>
        <v>0.04</v>
      </c>
      <c r="C245" s="1">
        <f>IFERROR(__xludf.DUMMYFUNCTION("""COMPUTED_VALUE"""),0.04)</f>
        <v>0.04</v>
      </c>
      <c r="D245" s="1">
        <f>IFERROR(__xludf.DUMMYFUNCTION("""COMPUTED_VALUE"""),0.04)</f>
        <v>0.04</v>
      </c>
      <c r="E245" s="1">
        <f>IFERROR(__xludf.DUMMYFUNCTION("""COMPUTED_VALUE"""),0.04)</f>
        <v>0.04</v>
      </c>
      <c r="F245" s="1">
        <f>IFERROR(__xludf.DUMMYFUNCTION("""COMPUTED_VALUE"""),25000.0)</f>
        <v>25000</v>
      </c>
      <c r="G245" s="2" t="s">
        <v>12</v>
      </c>
    </row>
    <row r="246">
      <c r="A246" s="3">
        <f>IFERROR(__xludf.DUMMYFUNCTION("""COMPUTED_VALUE"""),44939.66666666667)</f>
        <v>44939.66667</v>
      </c>
      <c r="B246" s="1">
        <f>IFERROR(__xludf.DUMMYFUNCTION("""COMPUTED_VALUE"""),0.04)</f>
        <v>0.04</v>
      </c>
      <c r="C246" s="1">
        <f>IFERROR(__xludf.DUMMYFUNCTION("""COMPUTED_VALUE"""),0.04)</f>
        <v>0.04</v>
      </c>
      <c r="D246" s="1">
        <f>IFERROR(__xludf.DUMMYFUNCTION("""COMPUTED_VALUE"""),0.04)</f>
        <v>0.04</v>
      </c>
      <c r="E246" s="1">
        <f>IFERROR(__xludf.DUMMYFUNCTION("""COMPUTED_VALUE"""),0.04)</f>
        <v>0.04</v>
      </c>
      <c r="F246" s="1">
        <f>IFERROR(__xludf.DUMMYFUNCTION("""COMPUTED_VALUE"""),4000.0)</f>
        <v>4000</v>
      </c>
      <c r="G246" s="2" t="s">
        <v>12</v>
      </c>
    </row>
    <row r="247">
      <c r="A247" s="3">
        <f>IFERROR(__xludf.DUMMYFUNCTION("""COMPUTED_VALUE"""),44943.66666666667)</f>
        <v>44943.66667</v>
      </c>
      <c r="B247" s="1">
        <f>IFERROR(__xludf.DUMMYFUNCTION("""COMPUTED_VALUE"""),0.04)</f>
        <v>0.04</v>
      </c>
      <c r="C247" s="1">
        <f>IFERROR(__xludf.DUMMYFUNCTION("""COMPUTED_VALUE"""),0.04)</f>
        <v>0.04</v>
      </c>
      <c r="D247" s="1">
        <f>IFERROR(__xludf.DUMMYFUNCTION("""COMPUTED_VALUE"""),0.04)</f>
        <v>0.04</v>
      </c>
      <c r="E247" s="1">
        <f>IFERROR(__xludf.DUMMYFUNCTION("""COMPUTED_VALUE"""),0.04)</f>
        <v>0.04</v>
      </c>
      <c r="F247" s="1">
        <f>IFERROR(__xludf.DUMMYFUNCTION("""COMPUTED_VALUE"""),35000.0)</f>
        <v>35000</v>
      </c>
      <c r="G247" s="2" t="s">
        <v>12</v>
      </c>
    </row>
    <row r="248">
      <c r="A248" s="3">
        <f>IFERROR(__xludf.DUMMYFUNCTION("""COMPUTED_VALUE"""),44945.66666666667)</f>
        <v>44945.66667</v>
      </c>
      <c r="B248" s="1">
        <f>IFERROR(__xludf.DUMMYFUNCTION("""COMPUTED_VALUE"""),0.04)</f>
        <v>0.04</v>
      </c>
      <c r="C248" s="1">
        <f>IFERROR(__xludf.DUMMYFUNCTION("""COMPUTED_VALUE"""),0.04)</f>
        <v>0.04</v>
      </c>
      <c r="D248" s="1">
        <f>IFERROR(__xludf.DUMMYFUNCTION("""COMPUTED_VALUE"""),0.04)</f>
        <v>0.04</v>
      </c>
      <c r="E248" s="1">
        <f>IFERROR(__xludf.DUMMYFUNCTION("""COMPUTED_VALUE"""),0.04)</f>
        <v>0.04</v>
      </c>
      <c r="F248" s="1">
        <f>IFERROR(__xludf.DUMMYFUNCTION("""COMPUTED_VALUE"""),161750.0)</f>
        <v>161750</v>
      </c>
      <c r="G248" s="2" t="s">
        <v>12</v>
      </c>
    </row>
    <row r="249">
      <c r="A249" s="3">
        <f>IFERROR(__xludf.DUMMYFUNCTION("""COMPUTED_VALUE"""),44949.66666666667)</f>
        <v>44949.66667</v>
      </c>
      <c r="B249" s="1">
        <f>IFERROR(__xludf.DUMMYFUNCTION("""COMPUTED_VALUE"""),0.04)</f>
        <v>0.04</v>
      </c>
      <c r="C249" s="1">
        <f>IFERROR(__xludf.DUMMYFUNCTION("""COMPUTED_VALUE"""),0.04)</f>
        <v>0.04</v>
      </c>
      <c r="D249" s="1">
        <f>IFERROR(__xludf.DUMMYFUNCTION("""COMPUTED_VALUE"""),0.04)</f>
        <v>0.04</v>
      </c>
      <c r="E249" s="1">
        <f>IFERROR(__xludf.DUMMYFUNCTION("""COMPUTED_VALUE"""),0.04)</f>
        <v>0.04</v>
      </c>
      <c r="F249" s="1">
        <f>IFERROR(__xludf.DUMMYFUNCTION("""COMPUTED_VALUE"""),51000.0)</f>
        <v>51000</v>
      </c>
      <c r="G249" s="2" t="s">
        <v>12</v>
      </c>
    </row>
    <row r="250">
      <c r="A250" s="3">
        <f>IFERROR(__xludf.DUMMYFUNCTION("""COMPUTED_VALUE"""),44950.66666666667)</f>
        <v>44950.66667</v>
      </c>
      <c r="B250" s="1">
        <f>IFERROR(__xludf.DUMMYFUNCTION("""COMPUTED_VALUE"""),0.05)</f>
        <v>0.05</v>
      </c>
      <c r="C250" s="1">
        <f>IFERROR(__xludf.DUMMYFUNCTION("""COMPUTED_VALUE"""),0.05)</f>
        <v>0.05</v>
      </c>
      <c r="D250" s="1">
        <f>IFERROR(__xludf.DUMMYFUNCTION("""COMPUTED_VALUE"""),0.05)</f>
        <v>0.05</v>
      </c>
      <c r="E250" s="1">
        <f>IFERROR(__xludf.DUMMYFUNCTION("""COMPUTED_VALUE"""),0.05)</f>
        <v>0.05</v>
      </c>
      <c r="F250" s="1">
        <f>IFERROR(__xludf.DUMMYFUNCTION("""COMPUTED_VALUE"""),52000.0)</f>
        <v>52000</v>
      </c>
      <c r="G250" s="2" t="s">
        <v>12</v>
      </c>
    </row>
    <row r="251">
      <c r="A251" s="3">
        <f>IFERROR(__xludf.DUMMYFUNCTION("""COMPUTED_VALUE"""),44951.66666666667)</f>
        <v>44951.66667</v>
      </c>
      <c r="B251" s="1">
        <f>IFERROR(__xludf.DUMMYFUNCTION("""COMPUTED_VALUE"""),0.04)</f>
        <v>0.04</v>
      </c>
      <c r="C251" s="1">
        <f>IFERROR(__xludf.DUMMYFUNCTION("""COMPUTED_VALUE"""),0.04)</f>
        <v>0.04</v>
      </c>
      <c r="D251" s="1">
        <f>IFERROR(__xludf.DUMMYFUNCTION("""COMPUTED_VALUE"""),0.04)</f>
        <v>0.04</v>
      </c>
      <c r="E251" s="1">
        <f>IFERROR(__xludf.DUMMYFUNCTION("""COMPUTED_VALUE"""),0.04)</f>
        <v>0.04</v>
      </c>
      <c r="F251" s="1">
        <f>IFERROR(__xludf.DUMMYFUNCTION("""COMPUTED_VALUE"""),4000.0)</f>
        <v>4000</v>
      </c>
      <c r="G251" s="2" t="s">
        <v>12</v>
      </c>
    </row>
    <row r="252">
      <c r="A252" s="3">
        <f>IFERROR(__xludf.DUMMYFUNCTION("""COMPUTED_VALUE"""),44952.66666666667)</f>
        <v>44952.66667</v>
      </c>
      <c r="B252" s="1">
        <f>IFERROR(__xludf.DUMMYFUNCTION("""COMPUTED_VALUE"""),0.04)</f>
        <v>0.04</v>
      </c>
      <c r="C252" s="1">
        <f>IFERROR(__xludf.DUMMYFUNCTION("""COMPUTED_VALUE"""),0.04)</f>
        <v>0.04</v>
      </c>
      <c r="D252" s="1">
        <f>IFERROR(__xludf.DUMMYFUNCTION("""COMPUTED_VALUE"""),0.04)</f>
        <v>0.04</v>
      </c>
      <c r="E252" s="1">
        <f>IFERROR(__xludf.DUMMYFUNCTION("""COMPUTED_VALUE"""),0.04)</f>
        <v>0.04</v>
      </c>
      <c r="F252" s="1">
        <f>IFERROR(__xludf.DUMMYFUNCTION("""COMPUTED_VALUE"""),90600.0)</f>
        <v>90600</v>
      </c>
      <c r="G252" s="2" t="s">
        <v>12</v>
      </c>
    </row>
    <row r="253">
      <c r="A253" s="3">
        <f>IFERROR(__xludf.DUMMYFUNCTION("""COMPUTED_VALUE"""),44953.66666666667)</f>
        <v>44953.66667</v>
      </c>
      <c r="B253" s="1">
        <f>IFERROR(__xludf.DUMMYFUNCTION("""COMPUTED_VALUE"""),0.04)</f>
        <v>0.04</v>
      </c>
      <c r="C253" s="1">
        <f>IFERROR(__xludf.DUMMYFUNCTION("""COMPUTED_VALUE"""),0.05)</f>
        <v>0.05</v>
      </c>
      <c r="D253" s="1">
        <f>IFERROR(__xludf.DUMMYFUNCTION("""COMPUTED_VALUE"""),0.04)</f>
        <v>0.04</v>
      </c>
      <c r="E253" s="1">
        <f>IFERROR(__xludf.DUMMYFUNCTION("""COMPUTED_VALUE"""),0.05)</f>
        <v>0.05</v>
      </c>
      <c r="F253" s="1">
        <f>IFERROR(__xludf.DUMMYFUNCTION("""COMPUTED_VALUE"""),607675.0)</f>
        <v>607675</v>
      </c>
      <c r="G253" s="2" t="s">
        <v>12</v>
      </c>
    </row>
    <row r="254">
      <c r="A254" s="3">
        <f>IFERROR(__xludf.DUMMYFUNCTION("""COMPUTED_VALUE"""),44956.66666666667)</f>
        <v>44956.66667</v>
      </c>
      <c r="B254" s="1">
        <f>IFERROR(__xludf.DUMMYFUNCTION("""COMPUTED_VALUE"""),0.05)</f>
        <v>0.05</v>
      </c>
      <c r="C254" s="1">
        <f>IFERROR(__xludf.DUMMYFUNCTION("""COMPUTED_VALUE"""),0.05)</f>
        <v>0.05</v>
      </c>
      <c r="D254" s="1">
        <f>IFERROR(__xludf.DUMMYFUNCTION("""COMPUTED_VALUE"""),0.05)</f>
        <v>0.05</v>
      </c>
      <c r="E254" s="1">
        <f>IFERROR(__xludf.DUMMYFUNCTION("""COMPUTED_VALUE"""),0.05)</f>
        <v>0.05</v>
      </c>
      <c r="F254" s="1">
        <f>IFERROR(__xludf.DUMMYFUNCTION("""COMPUTED_VALUE"""),32000.0)</f>
        <v>32000</v>
      </c>
      <c r="G254" s="2" t="s">
        <v>12</v>
      </c>
    </row>
    <row r="255">
      <c r="A255" s="3">
        <f>IFERROR(__xludf.DUMMYFUNCTION("""COMPUTED_VALUE"""),44957.66666666667)</f>
        <v>44957.66667</v>
      </c>
      <c r="B255" s="1">
        <f>IFERROR(__xludf.DUMMYFUNCTION("""COMPUTED_VALUE"""),0.05)</f>
        <v>0.05</v>
      </c>
      <c r="C255" s="1">
        <f>IFERROR(__xludf.DUMMYFUNCTION("""COMPUTED_VALUE"""),0.06)</f>
        <v>0.06</v>
      </c>
      <c r="D255" s="1">
        <f>IFERROR(__xludf.DUMMYFUNCTION("""COMPUTED_VALUE"""),0.04)</f>
        <v>0.04</v>
      </c>
      <c r="E255" s="1">
        <f>IFERROR(__xludf.DUMMYFUNCTION("""COMPUTED_VALUE"""),0.06)</f>
        <v>0.06</v>
      </c>
      <c r="F255" s="1">
        <f>IFERROR(__xludf.DUMMYFUNCTION("""COMPUTED_VALUE"""),235000.0)</f>
        <v>235000</v>
      </c>
      <c r="G255" s="2" t="s">
        <v>12</v>
      </c>
    </row>
    <row r="256">
      <c r="A256" s="3">
        <f>IFERROR(__xludf.DUMMYFUNCTION("""COMPUTED_VALUE"""),44958.66666666667)</f>
        <v>44958.66667</v>
      </c>
      <c r="B256" s="1">
        <f>IFERROR(__xludf.DUMMYFUNCTION("""COMPUTED_VALUE"""),0.06)</f>
        <v>0.06</v>
      </c>
      <c r="C256" s="1">
        <f>IFERROR(__xludf.DUMMYFUNCTION("""COMPUTED_VALUE"""),0.06)</f>
        <v>0.06</v>
      </c>
      <c r="D256" s="1">
        <f>IFERROR(__xludf.DUMMYFUNCTION("""COMPUTED_VALUE"""),0.05)</f>
        <v>0.05</v>
      </c>
      <c r="E256" s="1">
        <f>IFERROR(__xludf.DUMMYFUNCTION("""COMPUTED_VALUE"""),0.05)</f>
        <v>0.05</v>
      </c>
      <c r="F256" s="1">
        <f>IFERROR(__xludf.DUMMYFUNCTION("""COMPUTED_VALUE"""),89722.0)</f>
        <v>89722</v>
      </c>
      <c r="G256" s="2" t="s">
        <v>12</v>
      </c>
    </row>
    <row r="257">
      <c r="A257" s="3">
        <f>IFERROR(__xludf.DUMMYFUNCTION("""COMPUTED_VALUE"""),44959.66666666667)</f>
        <v>44959.66667</v>
      </c>
      <c r="B257" s="1">
        <f>IFERROR(__xludf.DUMMYFUNCTION("""COMPUTED_VALUE"""),0.05)</f>
        <v>0.05</v>
      </c>
      <c r="C257" s="1">
        <f>IFERROR(__xludf.DUMMYFUNCTION("""COMPUTED_VALUE"""),0.05)</f>
        <v>0.05</v>
      </c>
      <c r="D257" s="1">
        <f>IFERROR(__xludf.DUMMYFUNCTION("""COMPUTED_VALUE"""),0.05)</f>
        <v>0.05</v>
      </c>
      <c r="E257" s="1">
        <f>IFERROR(__xludf.DUMMYFUNCTION("""COMPUTED_VALUE"""),0.05)</f>
        <v>0.05</v>
      </c>
      <c r="F257" s="1">
        <f>IFERROR(__xludf.DUMMYFUNCTION("""COMPUTED_VALUE"""),12000.0)</f>
        <v>12000</v>
      </c>
      <c r="G257" s="2" t="s">
        <v>12</v>
      </c>
    </row>
    <row r="258">
      <c r="A258" s="3">
        <f>IFERROR(__xludf.DUMMYFUNCTION("""COMPUTED_VALUE"""),44960.66666666667)</f>
        <v>44960.66667</v>
      </c>
      <c r="B258" s="1">
        <f>IFERROR(__xludf.DUMMYFUNCTION("""COMPUTED_VALUE"""),0.05)</f>
        <v>0.05</v>
      </c>
      <c r="C258" s="1">
        <f>IFERROR(__xludf.DUMMYFUNCTION("""COMPUTED_VALUE"""),0.06)</f>
        <v>0.06</v>
      </c>
      <c r="D258" s="1">
        <f>IFERROR(__xludf.DUMMYFUNCTION("""COMPUTED_VALUE"""),0.05)</f>
        <v>0.05</v>
      </c>
      <c r="E258" s="1">
        <f>IFERROR(__xludf.DUMMYFUNCTION("""COMPUTED_VALUE"""),0.05)</f>
        <v>0.05</v>
      </c>
      <c r="F258" s="1">
        <f>IFERROR(__xludf.DUMMYFUNCTION("""COMPUTED_VALUE"""),110600.0)</f>
        <v>110600</v>
      </c>
      <c r="G258" s="2" t="s">
        <v>12</v>
      </c>
    </row>
    <row r="259">
      <c r="A259" s="3">
        <f>IFERROR(__xludf.DUMMYFUNCTION("""COMPUTED_VALUE"""),44963.66666666667)</f>
        <v>44963.66667</v>
      </c>
      <c r="B259" s="1">
        <f>IFERROR(__xludf.DUMMYFUNCTION("""COMPUTED_VALUE"""),0.05)</f>
        <v>0.05</v>
      </c>
      <c r="C259" s="1">
        <f>IFERROR(__xludf.DUMMYFUNCTION("""COMPUTED_VALUE"""),0.05)</f>
        <v>0.05</v>
      </c>
      <c r="D259" s="1">
        <f>IFERROR(__xludf.DUMMYFUNCTION("""COMPUTED_VALUE"""),0.05)</f>
        <v>0.05</v>
      </c>
      <c r="E259" s="1">
        <f>IFERROR(__xludf.DUMMYFUNCTION("""COMPUTED_VALUE"""),0.05)</f>
        <v>0.05</v>
      </c>
      <c r="F259" s="1">
        <f>IFERROR(__xludf.DUMMYFUNCTION("""COMPUTED_VALUE"""),65300.0)</f>
        <v>65300</v>
      </c>
      <c r="G259" s="2" t="s">
        <v>12</v>
      </c>
    </row>
    <row r="260">
      <c r="A260" s="3">
        <f>IFERROR(__xludf.DUMMYFUNCTION("""COMPUTED_VALUE"""),44964.66666666667)</f>
        <v>44964.66667</v>
      </c>
      <c r="B260" s="1">
        <f>IFERROR(__xludf.DUMMYFUNCTION("""COMPUTED_VALUE"""),0.06)</f>
        <v>0.06</v>
      </c>
      <c r="C260" s="1">
        <f>IFERROR(__xludf.DUMMYFUNCTION("""COMPUTED_VALUE"""),0.06)</f>
        <v>0.06</v>
      </c>
      <c r="D260" s="1">
        <f>IFERROR(__xludf.DUMMYFUNCTION("""COMPUTED_VALUE"""),0.06)</f>
        <v>0.06</v>
      </c>
      <c r="E260" s="1">
        <f>IFERROR(__xludf.DUMMYFUNCTION("""COMPUTED_VALUE"""),0.06)</f>
        <v>0.06</v>
      </c>
      <c r="F260" s="1">
        <f>IFERROR(__xludf.DUMMYFUNCTION("""COMPUTED_VALUE"""),21091.0)</f>
        <v>21091</v>
      </c>
      <c r="G260" s="2" t="s">
        <v>12</v>
      </c>
    </row>
    <row r="261">
      <c r="A261" s="3">
        <f>IFERROR(__xludf.DUMMYFUNCTION("""COMPUTED_VALUE"""),44965.66666666667)</f>
        <v>44965.66667</v>
      </c>
      <c r="B261" s="1">
        <f>IFERROR(__xludf.DUMMYFUNCTION("""COMPUTED_VALUE"""),0.06)</f>
        <v>0.06</v>
      </c>
      <c r="C261" s="1">
        <f>IFERROR(__xludf.DUMMYFUNCTION("""COMPUTED_VALUE"""),0.06)</f>
        <v>0.06</v>
      </c>
      <c r="D261" s="1">
        <f>IFERROR(__xludf.DUMMYFUNCTION("""COMPUTED_VALUE"""),0.06)</f>
        <v>0.06</v>
      </c>
      <c r="E261" s="1">
        <f>IFERROR(__xludf.DUMMYFUNCTION("""COMPUTED_VALUE"""),0.06)</f>
        <v>0.06</v>
      </c>
      <c r="F261" s="1">
        <f>IFERROR(__xludf.DUMMYFUNCTION("""COMPUTED_VALUE"""),221400.0)</f>
        <v>221400</v>
      </c>
      <c r="G261" s="2" t="s">
        <v>12</v>
      </c>
    </row>
    <row r="262">
      <c r="A262" s="3">
        <f>IFERROR(__xludf.DUMMYFUNCTION("""COMPUTED_VALUE"""),44966.66666666667)</f>
        <v>44966.66667</v>
      </c>
      <c r="B262" s="1">
        <f>IFERROR(__xludf.DUMMYFUNCTION("""COMPUTED_VALUE"""),0.06)</f>
        <v>0.06</v>
      </c>
      <c r="C262" s="1">
        <f>IFERROR(__xludf.DUMMYFUNCTION("""COMPUTED_VALUE"""),0.07)</f>
        <v>0.07</v>
      </c>
      <c r="D262" s="1">
        <f>IFERROR(__xludf.DUMMYFUNCTION("""COMPUTED_VALUE"""),0.06)</f>
        <v>0.06</v>
      </c>
      <c r="E262" s="1">
        <f>IFERROR(__xludf.DUMMYFUNCTION("""COMPUTED_VALUE"""),0.07)</f>
        <v>0.07</v>
      </c>
      <c r="F262" s="1">
        <f>IFERROR(__xludf.DUMMYFUNCTION("""COMPUTED_VALUE"""),726377.0)</f>
        <v>726377</v>
      </c>
      <c r="G262" s="2" t="s">
        <v>12</v>
      </c>
    </row>
    <row r="263">
      <c r="A263" s="3">
        <f>IFERROR(__xludf.DUMMYFUNCTION("""COMPUTED_VALUE"""),44967.66666666667)</f>
        <v>44967.66667</v>
      </c>
      <c r="B263" s="1">
        <f>IFERROR(__xludf.DUMMYFUNCTION("""COMPUTED_VALUE"""),0.07)</f>
        <v>0.07</v>
      </c>
      <c r="C263" s="1">
        <f>IFERROR(__xludf.DUMMYFUNCTION("""COMPUTED_VALUE"""),0.07)</f>
        <v>0.07</v>
      </c>
      <c r="D263" s="1">
        <f>IFERROR(__xludf.DUMMYFUNCTION("""COMPUTED_VALUE"""),0.06)</f>
        <v>0.06</v>
      </c>
      <c r="E263" s="1">
        <f>IFERROR(__xludf.DUMMYFUNCTION("""COMPUTED_VALUE"""),0.07)</f>
        <v>0.07</v>
      </c>
      <c r="F263" s="1">
        <f>IFERROR(__xludf.DUMMYFUNCTION("""COMPUTED_VALUE"""),709550.0)</f>
        <v>709550</v>
      </c>
      <c r="G263" s="2" t="s">
        <v>12</v>
      </c>
    </row>
    <row r="264">
      <c r="A264" s="3">
        <f>IFERROR(__xludf.DUMMYFUNCTION("""COMPUTED_VALUE"""),44970.66666666667)</f>
        <v>44970.66667</v>
      </c>
      <c r="B264" s="1">
        <f>IFERROR(__xludf.DUMMYFUNCTION("""COMPUTED_VALUE"""),0.07)</f>
        <v>0.07</v>
      </c>
      <c r="C264" s="1">
        <f>IFERROR(__xludf.DUMMYFUNCTION("""COMPUTED_VALUE"""),0.07)</f>
        <v>0.07</v>
      </c>
      <c r="D264" s="1">
        <f>IFERROR(__xludf.DUMMYFUNCTION("""COMPUTED_VALUE"""),0.07)</f>
        <v>0.07</v>
      </c>
      <c r="E264" s="1">
        <f>IFERROR(__xludf.DUMMYFUNCTION("""COMPUTED_VALUE"""),0.07)</f>
        <v>0.07</v>
      </c>
      <c r="F264" s="1">
        <f>IFERROR(__xludf.DUMMYFUNCTION("""COMPUTED_VALUE"""),280625.0)</f>
        <v>280625</v>
      </c>
      <c r="G264" s="2" t="s">
        <v>12</v>
      </c>
    </row>
    <row r="265">
      <c r="A265" s="3">
        <f>IFERROR(__xludf.DUMMYFUNCTION("""COMPUTED_VALUE"""),44971.66666666667)</f>
        <v>44971.66667</v>
      </c>
      <c r="B265" s="1">
        <f>IFERROR(__xludf.DUMMYFUNCTION("""COMPUTED_VALUE"""),0.07)</f>
        <v>0.07</v>
      </c>
      <c r="C265" s="1">
        <f>IFERROR(__xludf.DUMMYFUNCTION("""COMPUTED_VALUE"""),0.07)</f>
        <v>0.07</v>
      </c>
      <c r="D265" s="1">
        <f>IFERROR(__xludf.DUMMYFUNCTION("""COMPUTED_VALUE"""),0.07)</f>
        <v>0.07</v>
      </c>
      <c r="E265" s="1">
        <f>IFERROR(__xludf.DUMMYFUNCTION("""COMPUTED_VALUE"""),0.07)</f>
        <v>0.07</v>
      </c>
      <c r="F265" s="1">
        <f>IFERROR(__xludf.DUMMYFUNCTION("""COMPUTED_VALUE"""),170976.0)</f>
        <v>170976</v>
      </c>
      <c r="G265" s="2" t="s">
        <v>12</v>
      </c>
    </row>
    <row r="266">
      <c r="A266" s="3">
        <f>IFERROR(__xludf.DUMMYFUNCTION("""COMPUTED_VALUE"""),44972.66666666667)</f>
        <v>44972.66667</v>
      </c>
      <c r="B266" s="1">
        <f>IFERROR(__xludf.DUMMYFUNCTION("""COMPUTED_VALUE"""),0.07)</f>
        <v>0.07</v>
      </c>
      <c r="C266" s="1">
        <f>IFERROR(__xludf.DUMMYFUNCTION("""COMPUTED_VALUE"""),0.07)</f>
        <v>0.07</v>
      </c>
      <c r="D266" s="1">
        <f>IFERROR(__xludf.DUMMYFUNCTION("""COMPUTED_VALUE"""),0.07)</f>
        <v>0.07</v>
      </c>
      <c r="E266" s="1">
        <f>IFERROR(__xludf.DUMMYFUNCTION("""COMPUTED_VALUE"""),0.07)</f>
        <v>0.07</v>
      </c>
      <c r="F266" s="1">
        <f>IFERROR(__xludf.DUMMYFUNCTION("""COMPUTED_VALUE"""),52000.0)</f>
        <v>52000</v>
      </c>
      <c r="G266" s="2" t="s">
        <v>12</v>
      </c>
    </row>
    <row r="267">
      <c r="A267" s="3">
        <f>IFERROR(__xludf.DUMMYFUNCTION("""COMPUTED_VALUE"""),44973.66666666667)</f>
        <v>44973.66667</v>
      </c>
      <c r="B267" s="1">
        <f>IFERROR(__xludf.DUMMYFUNCTION("""COMPUTED_VALUE"""),0.06)</f>
        <v>0.06</v>
      </c>
      <c r="C267" s="1">
        <f>IFERROR(__xludf.DUMMYFUNCTION("""COMPUTED_VALUE"""),0.06)</f>
        <v>0.06</v>
      </c>
      <c r="D267" s="1">
        <f>IFERROR(__xludf.DUMMYFUNCTION("""COMPUTED_VALUE"""),0.06)</f>
        <v>0.06</v>
      </c>
      <c r="E267" s="1">
        <f>IFERROR(__xludf.DUMMYFUNCTION("""COMPUTED_VALUE"""),0.06)</f>
        <v>0.06</v>
      </c>
      <c r="F267" s="1">
        <f>IFERROR(__xludf.DUMMYFUNCTION("""COMPUTED_VALUE"""),220780.0)</f>
        <v>220780</v>
      </c>
      <c r="G267" s="2" t="s">
        <v>12</v>
      </c>
    </row>
    <row r="268">
      <c r="A268" s="3">
        <f>IFERROR(__xludf.DUMMYFUNCTION("""COMPUTED_VALUE"""),44974.66666666667)</f>
        <v>44974.66667</v>
      </c>
      <c r="B268" s="1">
        <f>IFERROR(__xludf.DUMMYFUNCTION("""COMPUTED_VALUE"""),0.06)</f>
        <v>0.06</v>
      </c>
      <c r="C268" s="1">
        <f>IFERROR(__xludf.DUMMYFUNCTION("""COMPUTED_VALUE"""),0.07)</f>
        <v>0.07</v>
      </c>
      <c r="D268" s="1">
        <f>IFERROR(__xludf.DUMMYFUNCTION("""COMPUTED_VALUE"""),0.06)</f>
        <v>0.06</v>
      </c>
      <c r="E268" s="1">
        <f>IFERROR(__xludf.DUMMYFUNCTION("""COMPUTED_VALUE"""),0.07)</f>
        <v>0.07</v>
      </c>
      <c r="F268" s="1">
        <f>IFERROR(__xludf.DUMMYFUNCTION("""COMPUTED_VALUE"""),62600.0)</f>
        <v>62600</v>
      </c>
      <c r="G268" s="2" t="s">
        <v>12</v>
      </c>
    </row>
    <row r="269">
      <c r="A269" s="3">
        <f>IFERROR(__xludf.DUMMYFUNCTION("""COMPUTED_VALUE"""),44978.66666666667)</f>
        <v>44978.66667</v>
      </c>
      <c r="B269" s="1">
        <f>IFERROR(__xludf.DUMMYFUNCTION("""COMPUTED_VALUE"""),0.07)</f>
        <v>0.07</v>
      </c>
      <c r="C269" s="1">
        <f>IFERROR(__xludf.DUMMYFUNCTION("""COMPUTED_VALUE"""),0.07)</f>
        <v>0.07</v>
      </c>
      <c r="D269" s="1">
        <f>IFERROR(__xludf.DUMMYFUNCTION("""COMPUTED_VALUE"""),0.06)</f>
        <v>0.06</v>
      </c>
      <c r="E269" s="1">
        <f>IFERROR(__xludf.DUMMYFUNCTION("""COMPUTED_VALUE"""),0.06)</f>
        <v>0.06</v>
      </c>
      <c r="F269" s="1">
        <f>IFERROR(__xludf.DUMMYFUNCTION("""COMPUTED_VALUE"""),74000.0)</f>
        <v>74000</v>
      </c>
      <c r="G269" s="2" t="s">
        <v>12</v>
      </c>
    </row>
    <row r="270">
      <c r="A270" s="3">
        <f>IFERROR(__xludf.DUMMYFUNCTION("""COMPUTED_VALUE"""),44979.66666666667)</f>
        <v>44979.66667</v>
      </c>
      <c r="B270" s="1">
        <f>IFERROR(__xludf.DUMMYFUNCTION("""COMPUTED_VALUE"""),0.06)</f>
        <v>0.06</v>
      </c>
      <c r="C270" s="1">
        <f>IFERROR(__xludf.DUMMYFUNCTION("""COMPUTED_VALUE"""),0.07)</f>
        <v>0.07</v>
      </c>
      <c r="D270" s="1">
        <f>IFERROR(__xludf.DUMMYFUNCTION("""COMPUTED_VALUE"""),0.06)</f>
        <v>0.06</v>
      </c>
      <c r="E270" s="1">
        <f>IFERROR(__xludf.DUMMYFUNCTION("""COMPUTED_VALUE"""),0.06)</f>
        <v>0.06</v>
      </c>
      <c r="F270" s="1">
        <f>IFERROR(__xludf.DUMMYFUNCTION("""COMPUTED_VALUE"""),145880.0)</f>
        <v>145880</v>
      </c>
      <c r="G270" s="2" t="s">
        <v>12</v>
      </c>
    </row>
    <row r="271">
      <c r="A271" s="3">
        <f>IFERROR(__xludf.DUMMYFUNCTION("""COMPUTED_VALUE"""),44980.66666666667)</f>
        <v>44980.66667</v>
      </c>
      <c r="B271" s="1">
        <f>IFERROR(__xludf.DUMMYFUNCTION("""COMPUTED_VALUE"""),0.06)</f>
        <v>0.06</v>
      </c>
      <c r="C271" s="1">
        <f>IFERROR(__xludf.DUMMYFUNCTION("""COMPUTED_VALUE"""),0.06)</f>
        <v>0.06</v>
      </c>
      <c r="D271" s="1">
        <f>IFERROR(__xludf.DUMMYFUNCTION("""COMPUTED_VALUE"""),0.06)</f>
        <v>0.06</v>
      </c>
      <c r="E271" s="1">
        <f>IFERROR(__xludf.DUMMYFUNCTION("""COMPUTED_VALUE"""),0.06)</f>
        <v>0.06</v>
      </c>
      <c r="F271" s="1">
        <f>IFERROR(__xludf.DUMMYFUNCTION("""COMPUTED_VALUE"""),55000.0)</f>
        <v>55000</v>
      </c>
      <c r="G271" s="2" t="s">
        <v>12</v>
      </c>
    </row>
    <row r="272">
      <c r="A272" s="3">
        <f>IFERROR(__xludf.DUMMYFUNCTION("""COMPUTED_VALUE"""),44984.66666666667)</f>
        <v>44984.66667</v>
      </c>
      <c r="B272" s="1">
        <f>IFERROR(__xludf.DUMMYFUNCTION("""COMPUTED_VALUE"""),0.06)</f>
        <v>0.06</v>
      </c>
      <c r="C272" s="1">
        <f>IFERROR(__xludf.DUMMYFUNCTION("""COMPUTED_VALUE"""),0.06)</f>
        <v>0.06</v>
      </c>
      <c r="D272" s="1">
        <f>IFERROR(__xludf.DUMMYFUNCTION("""COMPUTED_VALUE"""),0.05)</f>
        <v>0.05</v>
      </c>
      <c r="E272" s="1">
        <f>IFERROR(__xludf.DUMMYFUNCTION("""COMPUTED_VALUE"""),0.06)</f>
        <v>0.06</v>
      </c>
      <c r="F272" s="1">
        <f>IFERROR(__xludf.DUMMYFUNCTION("""COMPUTED_VALUE"""),166400.0)</f>
        <v>166400</v>
      </c>
      <c r="G272" s="2" t="s">
        <v>12</v>
      </c>
    </row>
    <row r="273">
      <c r="A273" s="3">
        <f>IFERROR(__xludf.DUMMYFUNCTION("""COMPUTED_VALUE"""),44985.66666666667)</f>
        <v>44985.66667</v>
      </c>
      <c r="B273" s="1">
        <f>IFERROR(__xludf.DUMMYFUNCTION("""COMPUTED_VALUE"""),0.06)</f>
        <v>0.06</v>
      </c>
      <c r="C273" s="1">
        <f>IFERROR(__xludf.DUMMYFUNCTION("""COMPUTED_VALUE"""),0.06)</f>
        <v>0.06</v>
      </c>
      <c r="D273" s="1">
        <f>IFERROR(__xludf.DUMMYFUNCTION("""COMPUTED_VALUE"""),0.06)</f>
        <v>0.06</v>
      </c>
      <c r="E273" s="1">
        <f>IFERROR(__xludf.DUMMYFUNCTION("""COMPUTED_VALUE"""),0.06)</f>
        <v>0.06</v>
      </c>
      <c r="F273" s="1">
        <f>IFERROR(__xludf.DUMMYFUNCTION("""COMPUTED_VALUE"""),26199.0)</f>
        <v>26199</v>
      </c>
      <c r="G273" s="2" t="s">
        <v>12</v>
      </c>
    </row>
    <row r="274">
      <c r="A274" s="3">
        <f>IFERROR(__xludf.DUMMYFUNCTION("""COMPUTED_VALUE"""),44986.66666666667)</f>
        <v>44986.66667</v>
      </c>
      <c r="B274" s="1">
        <f>IFERROR(__xludf.DUMMYFUNCTION("""COMPUTED_VALUE"""),0.06)</f>
        <v>0.06</v>
      </c>
      <c r="C274" s="1">
        <f>IFERROR(__xludf.DUMMYFUNCTION("""COMPUTED_VALUE"""),0.07)</f>
        <v>0.07</v>
      </c>
      <c r="D274" s="1">
        <f>IFERROR(__xludf.DUMMYFUNCTION("""COMPUTED_VALUE"""),0.06)</f>
        <v>0.06</v>
      </c>
      <c r="E274" s="1">
        <f>IFERROR(__xludf.DUMMYFUNCTION("""COMPUTED_VALUE"""),0.06)</f>
        <v>0.06</v>
      </c>
      <c r="F274" s="1">
        <f>IFERROR(__xludf.DUMMYFUNCTION("""COMPUTED_VALUE"""),194000.0)</f>
        <v>194000</v>
      </c>
      <c r="G274" s="2" t="s">
        <v>12</v>
      </c>
    </row>
    <row r="275">
      <c r="A275" s="3">
        <f>IFERROR(__xludf.DUMMYFUNCTION("""COMPUTED_VALUE"""),44987.66666666667)</f>
        <v>44987.66667</v>
      </c>
      <c r="B275" s="1">
        <f>IFERROR(__xludf.DUMMYFUNCTION("""COMPUTED_VALUE"""),0.06)</f>
        <v>0.06</v>
      </c>
      <c r="C275" s="1">
        <f>IFERROR(__xludf.DUMMYFUNCTION("""COMPUTED_VALUE"""),0.07)</f>
        <v>0.07</v>
      </c>
      <c r="D275" s="1">
        <f>IFERROR(__xludf.DUMMYFUNCTION("""COMPUTED_VALUE"""),0.06)</f>
        <v>0.06</v>
      </c>
      <c r="E275" s="1">
        <f>IFERROR(__xludf.DUMMYFUNCTION("""COMPUTED_VALUE"""),0.07)</f>
        <v>0.07</v>
      </c>
      <c r="F275" s="1">
        <f>IFERROR(__xludf.DUMMYFUNCTION("""COMPUTED_VALUE"""),58100.0)</f>
        <v>58100</v>
      </c>
      <c r="G275" s="2" t="s">
        <v>12</v>
      </c>
    </row>
    <row r="276">
      <c r="A276" s="3">
        <f>IFERROR(__xludf.DUMMYFUNCTION("""COMPUTED_VALUE"""),44988.66666666667)</f>
        <v>44988.66667</v>
      </c>
      <c r="B276" s="1">
        <f>IFERROR(__xludf.DUMMYFUNCTION("""COMPUTED_VALUE"""),0.07)</f>
        <v>0.07</v>
      </c>
      <c r="C276" s="1">
        <f>IFERROR(__xludf.DUMMYFUNCTION("""COMPUTED_VALUE"""),0.07)</f>
        <v>0.07</v>
      </c>
      <c r="D276" s="1">
        <f>IFERROR(__xludf.DUMMYFUNCTION("""COMPUTED_VALUE"""),0.06)</f>
        <v>0.06</v>
      </c>
      <c r="E276" s="1">
        <f>IFERROR(__xludf.DUMMYFUNCTION("""COMPUTED_VALUE"""),0.06)</f>
        <v>0.06</v>
      </c>
      <c r="F276" s="1">
        <f>IFERROR(__xludf.DUMMYFUNCTION("""COMPUTED_VALUE"""),50075.0)</f>
        <v>50075</v>
      </c>
      <c r="G276" s="2" t="s">
        <v>12</v>
      </c>
    </row>
    <row r="277">
      <c r="A277" s="3">
        <f>IFERROR(__xludf.DUMMYFUNCTION("""COMPUTED_VALUE"""),44992.66666666667)</f>
        <v>44992.66667</v>
      </c>
      <c r="B277" s="1">
        <f>IFERROR(__xludf.DUMMYFUNCTION("""COMPUTED_VALUE"""),0.06)</f>
        <v>0.06</v>
      </c>
      <c r="C277" s="1">
        <f>IFERROR(__xludf.DUMMYFUNCTION("""COMPUTED_VALUE"""),0.06)</f>
        <v>0.06</v>
      </c>
      <c r="D277" s="1">
        <f>IFERROR(__xludf.DUMMYFUNCTION("""COMPUTED_VALUE"""),0.06)</f>
        <v>0.06</v>
      </c>
      <c r="E277" s="1">
        <f>IFERROR(__xludf.DUMMYFUNCTION("""COMPUTED_VALUE"""),0.06)</f>
        <v>0.06</v>
      </c>
      <c r="F277" s="1">
        <f>IFERROR(__xludf.DUMMYFUNCTION("""COMPUTED_VALUE"""),68000.0)</f>
        <v>68000</v>
      </c>
      <c r="G277" s="2" t="s">
        <v>12</v>
      </c>
    </row>
    <row r="278">
      <c r="A278" s="3">
        <f>IFERROR(__xludf.DUMMYFUNCTION("""COMPUTED_VALUE"""),44993.66666666667)</f>
        <v>44993.66667</v>
      </c>
      <c r="B278" s="1">
        <f>IFERROR(__xludf.DUMMYFUNCTION("""COMPUTED_VALUE"""),0.06)</f>
        <v>0.06</v>
      </c>
      <c r="C278" s="1">
        <f>IFERROR(__xludf.DUMMYFUNCTION("""COMPUTED_VALUE"""),0.06)</f>
        <v>0.06</v>
      </c>
      <c r="D278" s="1">
        <f>IFERROR(__xludf.DUMMYFUNCTION("""COMPUTED_VALUE"""),0.06)</f>
        <v>0.06</v>
      </c>
      <c r="E278" s="1">
        <f>IFERROR(__xludf.DUMMYFUNCTION("""COMPUTED_VALUE"""),0.06)</f>
        <v>0.06</v>
      </c>
      <c r="F278" s="1">
        <f>IFERROR(__xludf.DUMMYFUNCTION("""COMPUTED_VALUE"""),7000.0)</f>
        <v>7000</v>
      </c>
      <c r="G278" s="2" t="s">
        <v>12</v>
      </c>
    </row>
    <row r="279">
      <c r="A279" s="3">
        <f>IFERROR(__xludf.DUMMYFUNCTION("""COMPUTED_VALUE"""),45000.66666666667)</f>
        <v>45000.66667</v>
      </c>
      <c r="B279" s="1">
        <f>IFERROR(__xludf.DUMMYFUNCTION("""COMPUTED_VALUE"""),0.06)</f>
        <v>0.06</v>
      </c>
      <c r="C279" s="1">
        <f>IFERROR(__xludf.DUMMYFUNCTION("""COMPUTED_VALUE"""),0.06)</f>
        <v>0.06</v>
      </c>
      <c r="D279" s="1">
        <f>IFERROR(__xludf.DUMMYFUNCTION("""COMPUTED_VALUE"""),0.06)</f>
        <v>0.06</v>
      </c>
      <c r="E279" s="1">
        <f>IFERROR(__xludf.DUMMYFUNCTION("""COMPUTED_VALUE"""),0.06)</f>
        <v>0.06</v>
      </c>
      <c r="F279" s="1">
        <f>IFERROR(__xludf.DUMMYFUNCTION("""COMPUTED_VALUE"""),38000.0)</f>
        <v>38000</v>
      </c>
      <c r="G279" s="2" t="s">
        <v>12</v>
      </c>
    </row>
    <row r="280">
      <c r="A280" s="3">
        <f>IFERROR(__xludf.DUMMYFUNCTION("""COMPUTED_VALUE"""),45001.66666666667)</f>
        <v>45001.66667</v>
      </c>
      <c r="B280" s="1">
        <f>IFERROR(__xludf.DUMMYFUNCTION("""COMPUTED_VALUE"""),0.06)</f>
        <v>0.06</v>
      </c>
      <c r="C280" s="1">
        <f>IFERROR(__xludf.DUMMYFUNCTION("""COMPUTED_VALUE"""),0.06)</f>
        <v>0.06</v>
      </c>
      <c r="D280" s="1">
        <f>IFERROR(__xludf.DUMMYFUNCTION("""COMPUTED_VALUE"""),0.06)</f>
        <v>0.06</v>
      </c>
      <c r="E280" s="1">
        <f>IFERROR(__xludf.DUMMYFUNCTION("""COMPUTED_VALUE"""),0.06)</f>
        <v>0.06</v>
      </c>
      <c r="F280" s="1">
        <f>IFERROR(__xludf.DUMMYFUNCTION("""COMPUTED_VALUE"""),3000.0)</f>
        <v>3000</v>
      </c>
      <c r="G280" s="2" t="s">
        <v>12</v>
      </c>
    </row>
    <row r="281">
      <c r="A281" s="3">
        <f>IFERROR(__xludf.DUMMYFUNCTION("""COMPUTED_VALUE"""),45006.66666666667)</f>
        <v>45006.66667</v>
      </c>
      <c r="B281" s="1">
        <f>IFERROR(__xludf.DUMMYFUNCTION("""COMPUTED_VALUE"""),0.06)</f>
        <v>0.06</v>
      </c>
      <c r="C281" s="1">
        <f>IFERROR(__xludf.DUMMYFUNCTION("""COMPUTED_VALUE"""),0.06)</f>
        <v>0.06</v>
      </c>
      <c r="D281" s="1">
        <f>IFERROR(__xludf.DUMMYFUNCTION("""COMPUTED_VALUE"""),0.05)</f>
        <v>0.05</v>
      </c>
      <c r="E281" s="1">
        <f>IFERROR(__xludf.DUMMYFUNCTION("""COMPUTED_VALUE"""),0.05)</f>
        <v>0.05</v>
      </c>
      <c r="F281" s="1">
        <f>IFERROR(__xludf.DUMMYFUNCTION("""COMPUTED_VALUE"""),27000.0)</f>
        <v>27000</v>
      </c>
      <c r="G281" s="2" t="s">
        <v>12</v>
      </c>
    </row>
    <row r="282">
      <c r="A282" s="3">
        <f>IFERROR(__xludf.DUMMYFUNCTION("""COMPUTED_VALUE"""),45007.66666666667)</f>
        <v>45007.66667</v>
      </c>
      <c r="B282" s="1">
        <f>IFERROR(__xludf.DUMMYFUNCTION("""COMPUTED_VALUE"""),0.05)</f>
        <v>0.05</v>
      </c>
      <c r="C282" s="1">
        <f>IFERROR(__xludf.DUMMYFUNCTION("""COMPUTED_VALUE"""),0.05)</f>
        <v>0.05</v>
      </c>
      <c r="D282" s="1">
        <f>IFERROR(__xludf.DUMMYFUNCTION("""COMPUTED_VALUE"""),0.05)</f>
        <v>0.05</v>
      </c>
      <c r="E282" s="1">
        <f>IFERROR(__xludf.DUMMYFUNCTION("""COMPUTED_VALUE"""),0.05)</f>
        <v>0.05</v>
      </c>
      <c r="F282" s="1">
        <f>IFERROR(__xludf.DUMMYFUNCTION("""COMPUTED_VALUE"""),27000.0)</f>
        <v>27000</v>
      </c>
      <c r="G282" s="2" t="s">
        <v>12</v>
      </c>
    </row>
    <row r="283">
      <c r="A283" s="3">
        <f>IFERROR(__xludf.DUMMYFUNCTION("""COMPUTED_VALUE"""),45008.66666666667)</f>
        <v>45008.66667</v>
      </c>
      <c r="B283" s="1">
        <f>IFERROR(__xludf.DUMMYFUNCTION("""COMPUTED_VALUE"""),0.05)</f>
        <v>0.05</v>
      </c>
      <c r="C283" s="1">
        <f>IFERROR(__xludf.DUMMYFUNCTION("""COMPUTED_VALUE"""),0.05)</f>
        <v>0.05</v>
      </c>
      <c r="D283" s="1">
        <f>IFERROR(__xludf.DUMMYFUNCTION("""COMPUTED_VALUE"""),0.05)</f>
        <v>0.05</v>
      </c>
      <c r="E283" s="1">
        <f>IFERROR(__xludf.DUMMYFUNCTION("""COMPUTED_VALUE"""),0.05)</f>
        <v>0.05</v>
      </c>
      <c r="F283" s="1">
        <f>IFERROR(__xludf.DUMMYFUNCTION("""COMPUTED_VALUE"""),15000.0)</f>
        <v>15000</v>
      </c>
      <c r="G283" s="2" t="s">
        <v>12</v>
      </c>
    </row>
    <row r="284">
      <c r="A284" s="3">
        <f>IFERROR(__xludf.DUMMYFUNCTION("""COMPUTED_VALUE"""),45009.66666666667)</f>
        <v>45009.66667</v>
      </c>
      <c r="B284" s="1">
        <f>IFERROR(__xludf.DUMMYFUNCTION("""COMPUTED_VALUE"""),0.05)</f>
        <v>0.05</v>
      </c>
      <c r="C284" s="1">
        <f>IFERROR(__xludf.DUMMYFUNCTION("""COMPUTED_VALUE"""),0.05)</f>
        <v>0.05</v>
      </c>
      <c r="D284" s="1">
        <f>IFERROR(__xludf.DUMMYFUNCTION("""COMPUTED_VALUE"""),0.05)</f>
        <v>0.05</v>
      </c>
      <c r="E284" s="1">
        <f>IFERROR(__xludf.DUMMYFUNCTION("""COMPUTED_VALUE"""),0.05)</f>
        <v>0.05</v>
      </c>
      <c r="F284" s="1">
        <f>IFERROR(__xludf.DUMMYFUNCTION("""COMPUTED_VALUE"""),30000.0)</f>
        <v>30000</v>
      </c>
      <c r="G284" s="2" t="s">
        <v>12</v>
      </c>
    </row>
    <row r="285">
      <c r="A285" s="3">
        <f>IFERROR(__xludf.DUMMYFUNCTION("""COMPUTED_VALUE"""),45012.66666666667)</f>
        <v>45012.66667</v>
      </c>
      <c r="B285" s="1">
        <f>IFERROR(__xludf.DUMMYFUNCTION("""COMPUTED_VALUE"""),0.05)</f>
        <v>0.05</v>
      </c>
      <c r="C285" s="1">
        <f>IFERROR(__xludf.DUMMYFUNCTION("""COMPUTED_VALUE"""),0.06)</f>
        <v>0.06</v>
      </c>
      <c r="D285" s="1">
        <f>IFERROR(__xludf.DUMMYFUNCTION("""COMPUTED_VALUE"""),0.05)</f>
        <v>0.05</v>
      </c>
      <c r="E285" s="1">
        <f>IFERROR(__xludf.DUMMYFUNCTION("""COMPUTED_VALUE"""),0.06)</f>
        <v>0.06</v>
      </c>
      <c r="F285" s="1">
        <f>IFERROR(__xludf.DUMMYFUNCTION("""COMPUTED_VALUE"""),7000.0)</f>
        <v>7000</v>
      </c>
      <c r="G285" s="2" t="s">
        <v>12</v>
      </c>
    </row>
    <row r="286">
      <c r="A286" s="3">
        <f>IFERROR(__xludf.DUMMYFUNCTION("""COMPUTED_VALUE"""),45013.66666666667)</f>
        <v>45013.66667</v>
      </c>
      <c r="B286" s="1">
        <f>IFERROR(__xludf.DUMMYFUNCTION("""COMPUTED_VALUE"""),0.06)</f>
        <v>0.06</v>
      </c>
      <c r="C286" s="1">
        <f>IFERROR(__xludf.DUMMYFUNCTION("""COMPUTED_VALUE"""),0.06)</f>
        <v>0.06</v>
      </c>
      <c r="D286" s="1">
        <f>IFERROR(__xludf.DUMMYFUNCTION("""COMPUTED_VALUE"""),0.06)</f>
        <v>0.06</v>
      </c>
      <c r="E286" s="1">
        <f>IFERROR(__xludf.DUMMYFUNCTION("""COMPUTED_VALUE"""),0.06)</f>
        <v>0.06</v>
      </c>
      <c r="F286" s="1">
        <f>IFERROR(__xludf.DUMMYFUNCTION("""COMPUTED_VALUE"""),115000.0)</f>
        <v>115000</v>
      </c>
      <c r="G286" s="2" t="s">
        <v>12</v>
      </c>
    </row>
    <row r="287">
      <c r="A287" s="3">
        <f>IFERROR(__xludf.DUMMYFUNCTION("""COMPUTED_VALUE"""),45014.66666666667)</f>
        <v>45014.66667</v>
      </c>
      <c r="B287" s="1">
        <f>IFERROR(__xludf.DUMMYFUNCTION("""COMPUTED_VALUE"""),0.06)</f>
        <v>0.06</v>
      </c>
      <c r="C287" s="1">
        <f>IFERROR(__xludf.DUMMYFUNCTION("""COMPUTED_VALUE"""),0.06)</f>
        <v>0.06</v>
      </c>
      <c r="D287" s="1">
        <f>IFERROR(__xludf.DUMMYFUNCTION("""COMPUTED_VALUE"""),0.06)</f>
        <v>0.06</v>
      </c>
      <c r="E287" s="1">
        <f>IFERROR(__xludf.DUMMYFUNCTION("""COMPUTED_VALUE"""),0.06)</f>
        <v>0.06</v>
      </c>
      <c r="F287" s="1">
        <f>IFERROR(__xludf.DUMMYFUNCTION("""COMPUTED_VALUE"""),41000.0)</f>
        <v>41000</v>
      </c>
      <c r="G287" s="2" t="s">
        <v>12</v>
      </c>
    </row>
    <row r="288">
      <c r="A288" s="3">
        <f>IFERROR(__xludf.DUMMYFUNCTION("""COMPUTED_VALUE"""),45016.66666666667)</f>
        <v>45016.66667</v>
      </c>
      <c r="B288" s="1">
        <f>IFERROR(__xludf.DUMMYFUNCTION("""COMPUTED_VALUE"""),0.06)</f>
        <v>0.06</v>
      </c>
      <c r="C288" s="1">
        <f>IFERROR(__xludf.DUMMYFUNCTION("""COMPUTED_VALUE"""),0.06)</f>
        <v>0.06</v>
      </c>
      <c r="D288" s="1">
        <f>IFERROR(__xludf.DUMMYFUNCTION("""COMPUTED_VALUE"""),0.05)</f>
        <v>0.05</v>
      </c>
      <c r="E288" s="1">
        <f>IFERROR(__xludf.DUMMYFUNCTION("""COMPUTED_VALUE"""),0.05)</f>
        <v>0.05</v>
      </c>
      <c r="F288" s="1">
        <f>IFERROR(__xludf.DUMMYFUNCTION("""COMPUTED_VALUE"""),91000.0)</f>
        <v>91000</v>
      </c>
      <c r="G288" s="2" t="s">
        <v>12</v>
      </c>
    </row>
    <row r="289">
      <c r="A289" s="3">
        <f>IFERROR(__xludf.DUMMYFUNCTION("""COMPUTED_VALUE"""),45019.66666666667)</f>
        <v>45019.66667</v>
      </c>
      <c r="B289" s="1">
        <f>IFERROR(__xludf.DUMMYFUNCTION("""COMPUTED_VALUE"""),0.06)</f>
        <v>0.06</v>
      </c>
      <c r="C289" s="1">
        <f>IFERROR(__xludf.DUMMYFUNCTION("""COMPUTED_VALUE"""),0.06)</f>
        <v>0.06</v>
      </c>
      <c r="D289" s="1">
        <f>IFERROR(__xludf.DUMMYFUNCTION("""COMPUTED_VALUE"""),0.06)</f>
        <v>0.06</v>
      </c>
      <c r="E289" s="1">
        <f>IFERROR(__xludf.DUMMYFUNCTION("""COMPUTED_VALUE"""),0.06)</f>
        <v>0.06</v>
      </c>
      <c r="F289" s="1">
        <f>IFERROR(__xludf.DUMMYFUNCTION("""COMPUTED_VALUE"""),6000.0)</f>
        <v>6000</v>
      </c>
      <c r="G289" s="2" t="s">
        <v>12</v>
      </c>
    </row>
    <row r="290">
      <c r="A290" s="3">
        <f>IFERROR(__xludf.DUMMYFUNCTION("""COMPUTED_VALUE"""),45020.66666666667)</f>
        <v>45020.66667</v>
      </c>
      <c r="B290" s="1">
        <f>IFERROR(__xludf.DUMMYFUNCTION("""COMPUTED_VALUE"""),0.05)</f>
        <v>0.05</v>
      </c>
      <c r="C290" s="1">
        <f>IFERROR(__xludf.DUMMYFUNCTION("""COMPUTED_VALUE"""),0.05)</f>
        <v>0.05</v>
      </c>
      <c r="D290" s="1">
        <f>IFERROR(__xludf.DUMMYFUNCTION("""COMPUTED_VALUE"""),0.05)</f>
        <v>0.05</v>
      </c>
      <c r="E290" s="1">
        <f>IFERROR(__xludf.DUMMYFUNCTION("""COMPUTED_VALUE"""),0.05)</f>
        <v>0.05</v>
      </c>
      <c r="F290" s="1">
        <f>IFERROR(__xludf.DUMMYFUNCTION("""COMPUTED_VALUE"""),35000.0)</f>
        <v>35000</v>
      </c>
      <c r="G290" s="2" t="s">
        <v>12</v>
      </c>
    </row>
    <row r="291">
      <c r="A291" s="3">
        <f>IFERROR(__xludf.DUMMYFUNCTION("""COMPUTED_VALUE"""),45022.66666666667)</f>
        <v>45022.66667</v>
      </c>
      <c r="B291" s="1">
        <f>IFERROR(__xludf.DUMMYFUNCTION("""COMPUTED_VALUE"""),0.05)</f>
        <v>0.05</v>
      </c>
      <c r="C291" s="1">
        <f>IFERROR(__xludf.DUMMYFUNCTION("""COMPUTED_VALUE"""),0.05)</f>
        <v>0.05</v>
      </c>
      <c r="D291" s="1">
        <f>IFERROR(__xludf.DUMMYFUNCTION("""COMPUTED_VALUE"""),0.05)</f>
        <v>0.05</v>
      </c>
      <c r="E291" s="1">
        <f>IFERROR(__xludf.DUMMYFUNCTION("""COMPUTED_VALUE"""),0.05)</f>
        <v>0.05</v>
      </c>
      <c r="F291" s="1">
        <f>IFERROR(__xludf.DUMMYFUNCTION("""COMPUTED_VALUE"""),2000.0)</f>
        <v>2000</v>
      </c>
      <c r="G291" s="2" t="s">
        <v>12</v>
      </c>
    </row>
    <row r="292">
      <c r="A292" s="3">
        <f>IFERROR(__xludf.DUMMYFUNCTION("""COMPUTED_VALUE"""),45026.66666666667)</f>
        <v>45026.66667</v>
      </c>
      <c r="B292" s="1">
        <f>IFERROR(__xludf.DUMMYFUNCTION("""COMPUTED_VALUE"""),0.05)</f>
        <v>0.05</v>
      </c>
      <c r="C292" s="1">
        <f>IFERROR(__xludf.DUMMYFUNCTION("""COMPUTED_VALUE"""),0.05)</f>
        <v>0.05</v>
      </c>
      <c r="D292" s="1">
        <f>IFERROR(__xludf.DUMMYFUNCTION("""COMPUTED_VALUE"""),0.05)</f>
        <v>0.05</v>
      </c>
      <c r="E292" s="1">
        <f>IFERROR(__xludf.DUMMYFUNCTION("""COMPUTED_VALUE"""),0.05)</f>
        <v>0.05</v>
      </c>
      <c r="F292" s="1">
        <f>IFERROR(__xludf.DUMMYFUNCTION("""COMPUTED_VALUE"""),10734.0)</f>
        <v>10734</v>
      </c>
      <c r="G292" s="2" t="s">
        <v>12</v>
      </c>
    </row>
    <row r="293">
      <c r="A293" s="3">
        <f>IFERROR(__xludf.DUMMYFUNCTION("""COMPUTED_VALUE"""),45027.66666666667)</f>
        <v>45027.66667</v>
      </c>
      <c r="B293" s="1">
        <f>IFERROR(__xludf.DUMMYFUNCTION("""COMPUTED_VALUE"""),0.05)</f>
        <v>0.05</v>
      </c>
      <c r="C293" s="1">
        <f>IFERROR(__xludf.DUMMYFUNCTION("""COMPUTED_VALUE"""),0.05)</f>
        <v>0.05</v>
      </c>
      <c r="D293" s="1">
        <f>IFERROR(__xludf.DUMMYFUNCTION("""COMPUTED_VALUE"""),0.05)</f>
        <v>0.05</v>
      </c>
      <c r="E293" s="1">
        <f>IFERROR(__xludf.DUMMYFUNCTION("""COMPUTED_VALUE"""),0.05)</f>
        <v>0.05</v>
      </c>
      <c r="F293" s="1">
        <f>IFERROR(__xludf.DUMMYFUNCTION("""COMPUTED_VALUE"""),216000.0)</f>
        <v>216000</v>
      </c>
      <c r="G293" s="2" t="s">
        <v>12</v>
      </c>
    </row>
    <row r="294">
      <c r="A294" s="3">
        <f>IFERROR(__xludf.DUMMYFUNCTION("""COMPUTED_VALUE"""),45028.66666666667)</f>
        <v>45028.66667</v>
      </c>
      <c r="B294" s="1">
        <f>IFERROR(__xludf.DUMMYFUNCTION("""COMPUTED_VALUE"""),0.06)</f>
        <v>0.06</v>
      </c>
      <c r="C294" s="1">
        <f>IFERROR(__xludf.DUMMYFUNCTION("""COMPUTED_VALUE"""),0.06)</f>
        <v>0.06</v>
      </c>
      <c r="D294" s="1">
        <f>IFERROR(__xludf.DUMMYFUNCTION("""COMPUTED_VALUE"""),0.05)</f>
        <v>0.05</v>
      </c>
      <c r="E294" s="1">
        <f>IFERROR(__xludf.DUMMYFUNCTION("""COMPUTED_VALUE"""),0.05)</f>
        <v>0.05</v>
      </c>
      <c r="F294" s="1">
        <f>IFERROR(__xludf.DUMMYFUNCTION("""COMPUTED_VALUE"""),6038.0)</f>
        <v>6038</v>
      </c>
      <c r="G294" s="2" t="s">
        <v>12</v>
      </c>
    </row>
    <row r="295">
      <c r="A295" s="3">
        <f>IFERROR(__xludf.DUMMYFUNCTION("""COMPUTED_VALUE"""),45030.66666666667)</f>
        <v>45030.66667</v>
      </c>
      <c r="B295" s="1">
        <f>IFERROR(__xludf.DUMMYFUNCTION("""COMPUTED_VALUE"""),0.05)</f>
        <v>0.05</v>
      </c>
      <c r="C295" s="1">
        <f>IFERROR(__xludf.DUMMYFUNCTION("""COMPUTED_VALUE"""),0.05)</f>
        <v>0.05</v>
      </c>
      <c r="D295" s="1">
        <f>IFERROR(__xludf.DUMMYFUNCTION("""COMPUTED_VALUE"""),0.05)</f>
        <v>0.05</v>
      </c>
      <c r="E295" s="1">
        <f>IFERROR(__xludf.DUMMYFUNCTION("""COMPUTED_VALUE"""),0.05)</f>
        <v>0.05</v>
      </c>
      <c r="F295" s="1">
        <f>IFERROR(__xludf.DUMMYFUNCTION("""COMPUTED_VALUE"""),337500.0)</f>
        <v>337500</v>
      </c>
      <c r="G295" s="2" t="s">
        <v>12</v>
      </c>
    </row>
    <row r="296">
      <c r="A296" s="3">
        <f>IFERROR(__xludf.DUMMYFUNCTION("""COMPUTED_VALUE"""),45033.66666666667)</f>
        <v>45033.66667</v>
      </c>
      <c r="B296" s="1">
        <f>IFERROR(__xludf.DUMMYFUNCTION("""COMPUTED_VALUE"""),0.05)</f>
        <v>0.05</v>
      </c>
      <c r="C296" s="1">
        <f>IFERROR(__xludf.DUMMYFUNCTION("""COMPUTED_VALUE"""),0.05)</f>
        <v>0.05</v>
      </c>
      <c r="D296" s="1">
        <f>IFERROR(__xludf.DUMMYFUNCTION("""COMPUTED_VALUE"""),0.05)</f>
        <v>0.05</v>
      </c>
      <c r="E296" s="1">
        <f>IFERROR(__xludf.DUMMYFUNCTION("""COMPUTED_VALUE"""),0.05)</f>
        <v>0.05</v>
      </c>
      <c r="F296" s="1">
        <f>IFERROR(__xludf.DUMMYFUNCTION("""COMPUTED_VALUE"""),17100.0)</f>
        <v>17100</v>
      </c>
      <c r="G296" s="2" t="s">
        <v>12</v>
      </c>
    </row>
    <row r="297">
      <c r="A297" s="3">
        <f>IFERROR(__xludf.DUMMYFUNCTION("""COMPUTED_VALUE"""),45034.66666666667)</f>
        <v>45034.66667</v>
      </c>
      <c r="B297" s="1">
        <f>IFERROR(__xludf.DUMMYFUNCTION("""COMPUTED_VALUE"""),0.05)</f>
        <v>0.05</v>
      </c>
      <c r="C297" s="1">
        <f>IFERROR(__xludf.DUMMYFUNCTION("""COMPUTED_VALUE"""),0.05)</f>
        <v>0.05</v>
      </c>
      <c r="D297" s="1">
        <f>IFERROR(__xludf.DUMMYFUNCTION("""COMPUTED_VALUE"""),0.05)</f>
        <v>0.05</v>
      </c>
      <c r="E297" s="1">
        <f>IFERROR(__xludf.DUMMYFUNCTION("""COMPUTED_VALUE"""),0.05)</f>
        <v>0.05</v>
      </c>
      <c r="F297" s="1">
        <f>IFERROR(__xludf.DUMMYFUNCTION("""COMPUTED_VALUE"""),10000.0)</f>
        <v>10000</v>
      </c>
      <c r="G297" s="2" t="s">
        <v>12</v>
      </c>
    </row>
    <row r="298">
      <c r="A298" s="3">
        <f>IFERROR(__xludf.DUMMYFUNCTION("""COMPUTED_VALUE"""),45041.66666666667)</f>
        <v>45041.66667</v>
      </c>
      <c r="B298" s="1">
        <f>IFERROR(__xludf.DUMMYFUNCTION("""COMPUTED_VALUE"""),0.05)</f>
        <v>0.05</v>
      </c>
      <c r="C298" s="1">
        <f>IFERROR(__xludf.DUMMYFUNCTION("""COMPUTED_VALUE"""),0.05)</f>
        <v>0.05</v>
      </c>
      <c r="D298" s="1">
        <f>IFERROR(__xludf.DUMMYFUNCTION("""COMPUTED_VALUE"""),0.05)</f>
        <v>0.05</v>
      </c>
      <c r="E298" s="1">
        <f>IFERROR(__xludf.DUMMYFUNCTION("""COMPUTED_VALUE"""),0.05)</f>
        <v>0.05</v>
      </c>
      <c r="F298" s="1">
        <f>IFERROR(__xludf.DUMMYFUNCTION("""COMPUTED_VALUE"""),6000.0)</f>
        <v>6000</v>
      </c>
      <c r="G298" s="2" t="s">
        <v>12</v>
      </c>
    </row>
    <row r="299">
      <c r="A299" s="3">
        <f>IFERROR(__xludf.DUMMYFUNCTION("""COMPUTED_VALUE"""),45042.66666666667)</f>
        <v>45042.66667</v>
      </c>
      <c r="B299" s="1">
        <f>IFERROR(__xludf.DUMMYFUNCTION("""COMPUTED_VALUE"""),0.05)</f>
        <v>0.05</v>
      </c>
      <c r="C299" s="1">
        <f>IFERROR(__xludf.DUMMYFUNCTION("""COMPUTED_VALUE"""),0.05)</f>
        <v>0.05</v>
      </c>
      <c r="D299" s="1">
        <f>IFERROR(__xludf.DUMMYFUNCTION("""COMPUTED_VALUE"""),0.05)</f>
        <v>0.05</v>
      </c>
      <c r="E299" s="1">
        <f>IFERROR(__xludf.DUMMYFUNCTION("""COMPUTED_VALUE"""),0.05)</f>
        <v>0.05</v>
      </c>
      <c r="F299" s="1">
        <f>IFERROR(__xludf.DUMMYFUNCTION("""COMPUTED_VALUE"""),60000.0)</f>
        <v>60000</v>
      </c>
      <c r="G299" s="2" t="s">
        <v>12</v>
      </c>
    </row>
    <row r="300">
      <c r="A300" s="3">
        <f>IFERROR(__xludf.DUMMYFUNCTION("""COMPUTED_VALUE"""),45043.66666666667)</f>
        <v>45043.66667</v>
      </c>
      <c r="B300" s="1">
        <f>IFERROR(__xludf.DUMMYFUNCTION("""COMPUTED_VALUE"""),0.05)</f>
        <v>0.05</v>
      </c>
      <c r="C300" s="1">
        <f>IFERROR(__xludf.DUMMYFUNCTION("""COMPUTED_VALUE"""),0.05)</f>
        <v>0.05</v>
      </c>
      <c r="D300" s="1">
        <f>IFERROR(__xludf.DUMMYFUNCTION("""COMPUTED_VALUE"""),0.05)</f>
        <v>0.05</v>
      </c>
      <c r="E300" s="1">
        <f>IFERROR(__xludf.DUMMYFUNCTION("""COMPUTED_VALUE"""),0.05)</f>
        <v>0.05</v>
      </c>
      <c r="F300" s="1">
        <f>IFERROR(__xludf.DUMMYFUNCTION("""COMPUTED_VALUE"""),10000.0)</f>
        <v>10000</v>
      </c>
      <c r="G300" s="2" t="s">
        <v>12</v>
      </c>
    </row>
    <row r="301">
      <c r="A301" s="3">
        <f>IFERROR(__xludf.DUMMYFUNCTION("""COMPUTED_VALUE"""),45044.66666666667)</f>
        <v>45044.66667</v>
      </c>
      <c r="B301" s="1">
        <f>IFERROR(__xludf.DUMMYFUNCTION("""COMPUTED_VALUE"""),0.05)</f>
        <v>0.05</v>
      </c>
      <c r="C301" s="1">
        <f>IFERROR(__xludf.DUMMYFUNCTION("""COMPUTED_VALUE"""),0.05)</f>
        <v>0.05</v>
      </c>
      <c r="D301" s="1">
        <f>IFERROR(__xludf.DUMMYFUNCTION("""COMPUTED_VALUE"""),0.05)</f>
        <v>0.05</v>
      </c>
      <c r="E301" s="1">
        <f>IFERROR(__xludf.DUMMYFUNCTION("""COMPUTED_VALUE"""),0.05)</f>
        <v>0.05</v>
      </c>
      <c r="F301" s="1">
        <f>IFERROR(__xludf.DUMMYFUNCTION("""COMPUTED_VALUE"""),55000.0)</f>
        <v>55000</v>
      </c>
      <c r="G301" s="2" t="s">
        <v>12</v>
      </c>
    </row>
    <row r="302">
      <c r="A302" s="3">
        <f>IFERROR(__xludf.DUMMYFUNCTION("""COMPUTED_VALUE"""),45047.66666666667)</f>
        <v>45047.66667</v>
      </c>
      <c r="B302" s="1">
        <f>IFERROR(__xludf.DUMMYFUNCTION("""COMPUTED_VALUE"""),0.05)</f>
        <v>0.05</v>
      </c>
      <c r="C302" s="1">
        <f>IFERROR(__xludf.DUMMYFUNCTION("""COMPUTED_VALUE"""),0.05)</f>
        <v>0.05</v>
      </c>
      <c r="D302" s="1">
        <f>IFERROR(__xludf.DUMMYFUNCTION("""COMPUTED_VALUE"""),0.05)</f>
        <v>0.05</v>
      </c>
      <c r="E302" s="1">
        <f>IFERROR(__xludf.DUMMYFUNCTION("""COMPUTED_VALUE"""),0.05)</f>
        <v>0.05</v>
      </c>
      <c r="F302" s="1">
        <f>IFERROR(__xludf.DUMMYFUNCTION("""COMPUTED_VALUE"""),14000.0)</f>
        <v>14000</v>
      </c>
      <c r="G302" s="2" t="s">
        <v>12</v>
      </c>
    </row>
    <row r="303">
      <c r="A303" s="3">
        <f>IFERROR(__xludf.DUMMYFUNCTION("""COMPUTED_VALUE"""),45049.66666666667)</f>
        <v>45049.66667</v>
      </c>
      <c r="B303" s="1">
        <f>IFERROR(__xludf.DUMMYFUNCTION("""COMPUTED_VALUE"""),0.05)</f>
        <v>0.05</v>
      </c>
      <c r="C303" s="1">
        <f>IFERROR(__xludf.DUMMYFUNCTION("""COMPUTED_VALUE"""),0.05)</f>
        <v>0.05</v>
      </c>
      <c r="D303" s="1">
        <f>IFERROR(__xludf.DUMMYFUNCTION("""COMPUTED_VALUE"""),0.05)</f>
        <v>0.05</v>
      </c>
      <c r="E303" s="1">
        <f>IFERROR(__xludf.DUMMYFUNCTION("""COMPUTED_VALUE"""),0.05)</f>
        <v>0.05</v>
      </c>
      <c r="F303" s="1">
        <f>IFERROR(__xludf.DUMMYFUNCTION("""COMPUTED_VALUE"""),4000.0)</f>
        <v>4000</v>
      </c>
      <c r="G303" s="2" t="s">
        <v>12</v>
      </c>
    </row>
    <row r="304">
      <c r="A304" s="3">
        <f>IFERROR(__xludf.DUMMYFUNCTION("""COMPUTED_VALUE"""),45050.66666666667)</f>
        <v>45050.66667</v>
      </c>
      <c r="B304" s="1">
        <f>IFERROR(__xludf.DUMMYFUNCTION("""COMPUTED_VALUE"""),0.05)</f>
        <v>0.05</v>
      </c>
      <c r="C304" s="1">
        <f>IFERROR(__xludf.DUMMYFUNCTION("""COMPUTED_VALUE"""),0.05)</f>
        <v>0.05</v>
      </c>
      <c r="D304" s="1">
        <f>IFERROR(__xludf.DUMMYFUNCTION("""COMPUTED_VALUE"""),0.05)</f>
        <v>0.05</v>
      </c>
      <c r="E304" s="1">
        <f>IFERROR(__xludf.DUMMYFUNCTION("""COMPUTED_VALUE"""),0.05)</f>
        <v>0.05</v>
      </c>
      <c r="F304" s="1">
        <f>IFERROR(__xludf.DUMMYFUNCTION("""COMPUTED_VALUE"""),20000.0)</f>
        <v>20000</v>
      </c>
      <c r="G304" s="2" t="s">
        <v>12</v>
      </c>
    </row>
    <row r="305">
      <c r="A305" s="3">
        <f>IFERROR(__xludf.DUMMYFUNCTION("""COMPUTED_VALUE"""),45051.66666666667)</f>
        <v>45051.66667</v>
      </c>
      <c r="B305" s="1">
        <f>IFERROR(__xludf.DUMMYFUNCTION("""COMPUTED_VALUE"""),0.05)</f>
        <v>0.05</v>
      </c>
      <c r="C305" s="1">
        <f>IFERROR(__xludf.DUMMYFUNCTION("""COMPUTED_VALUE"""),0.05)</f>
        <v>0.05</v>
      </c>
      <c r="D305" s="1">
        <f>IFERROR(__xludf.DUMMYFUNCTION("""COMPUTED_VALUE"""),0.05)</f>
        <v>0.05</v>
      </c>
      <c r="E305" s="1">
        <f>IFERROR(__xludf.DUMMYFUNCTION("""COMPUTED_VALUE"""),0.05)</f>
        <v>0.05</v>
      </c>
      <c r="F305" s="1">
        <f>IFERROR(__xludf.DUMMYFUNCTION("""COMPUTED_VALUE"""),8010.0)</f>
        <v>8010</v>
      </c>
      <c r="G305" s="2" t="s">
        <v>12</v>
      </c>
    </row>
    <row r="306">
      <c r="A306" s="3">
        <f>IFERROR(__xludf.DUMMYFUNCTION("""COMPUTED_VALUE"""),45054.66666666667)</f>
        <v>45054.66667</v>
      </c>
      <c r="B306" s="1">
        <f>IFERROR(__xludf.DUMMYFUNCTION("""COMPUTED_VALUE"""),0.05)</f>
        <v>0.05</v>
      </c>
      <c r="C306" s="1">
        <f>IFERROR(__xludf.DUMMYFUNCTION("""COMPUTED_VALUE"""),0.05)</f>
        <v>0.05</v>
      </c>
      <c r="D306" s="1">
        <f>IFERROR(__xludf.DUMMYFUNCTION("""COMPUTED_VALUE"""),0.05)</f>
        <v>0.05</v>
      </c>
      <c r="E306" s="1">
        <f>IFERROR(__xludf.DUMMYFUNCTION("""COMPUTED_VALUE"""),0.05)</f>
        <v>0.05</v>
      </c>
      <c r="F306" s="1">
        <f>IFERROR(__xludf.DUMMYFUNCTION("""COMPUTED_VALUE"""),10000.0)</f>
        <v>10000</v>
      </c>
      <c r="G306" s="2" t="s">
        <v>12</v>
      </c>
    </row>
    <row r="307">
      <c r="A307" s="3">
        <f>IFERROR(__xludf.DUMMYFUNCTION("""COMPUTED_VALUE"""),45055.66666666667)</f>
        <v>45055.66667</v>
      </c>
      <c r="B307" s="1">
        <f>IFERROR(__xludf.DUMMYFUNCTION("""COMPUTED_VALUE"""),0.05)</f>
        <v>0.05</v>
      </c>
      <c r="C307" s="1">
        <f>IFERROR(__xludf.DUMMYFUNCTION("""COMPUTED_VALUE"""),0.05)</f>
        <v>0.05</v>
      </c>
      <c r="D307" s="1">
        <f>IFERROR(__xludf.DUMMYFUNCTION("""COMPUTED_VALUE"""),0.05)</f>
        <v>0.05</v>
      </c>
      <c r="E307" s="1">
        <f>IFERROR(__xludf.DUMMYFUNCTION("""COMPUTED_VALUE"""),0.05)</f>
        <v>0.05</v>
      </c>
      <c r="F307" s="1">
        <f>IFERROR(__xludf.DUMMYFUNCTION("""COMPUTED_VALUE"""),60000.0)</f>
        <v>60000</v>
      </c>
      <c r="G307" s="2" t="s">
        <v>12</v>
      </c>
    </row>
    <row r="308">
      <c r="A308" s="3">
        <f>IFERROR(__xludf.DUMMYFUNCTION("""COMPUTED_VALUE"""),45056.66666666667)</f>
        <v>45056.66667</v>
      </c>
      <c r="B308" s="1">
        <f>IFERROR(__xludf.DUMMYFUNCTION("""COMPUTED_VALUE"""),0.05)</f>
        <v>0.05</v>
      </c>
      <c r="C308" s="1">
        <f>IFERROR(__xludf.DUMMYFUNCTION("""COMPUTED_VALUE"""),0.05)</f>
        <v>0.05</v>
      </c>
      <c r="D308" s="1">
        <f>IFERROR(__xludf.DUMMYFUNCTION("""COMPUTED_VALUE"""),0.05)</f>
        <v>0.05</v>
      </c>
      <c r="E308" s="1">
        <f>IFERROR(__xludf.DUMMYFUNCTION("""COMPUTED_VALUE"""),0.05)</f>
        <v>0.05</v>
      </c>
      <c r="F308" s="1">
        <f>IFERROR(__xludf.DUMMYFUNCTION("""COMPUTED_VALUE"""),127000.0)</f>
        <v>127000</v>
      </c>
      <c r="G308" s="2" t="s">
        <v>12</v>
      </c>
    </row>
    <row r="309">
      <c r="A309" s="3">
        <f>IFERROR(__xludf.DUMMYFUNCTION("""COMPUTED_VALUE"""),45058.66666666667)</f>
        <v>45058.66667</v>
      </c>
      <c r="B309" s="1">
        <f>IFERROR(__xludf.DUMMYFUNCTION("""COMPUTED_VALUE"""),0.05)</f>
        <v>0.05</v>
      </c>
      <c r="C309" s="1">
        <f>IFERROR(__xludf.DUMMYFUNCTION("""COMPUTED_VALUE"""),0.05)</f>
        <v>0.05</v>
      </c>
      <c r="D309" s="1">
        <f>IFERROR(__xludf.DUMMYFUNCTION("""COMPUTED_VALUE"""),0.05)</f>
        <v>0.05</v>
      </c>
      <c r="E309" s="1">
        <f>IFERROR(__xludf.DUMMYFUNCTION("""COMPUTED_VALUE"""),0.05)</f>
        <v>0.05</v>
      </c>
      <c r="F309" s="1">
        <f>IFERROR(__xludf.DUMMYFUNCTION("""COMPUTED_VALUE"""),11000.0)</f>
        <v>11000</v>
      </c>
      <c r="G309" s="2" t="s">
        <v>12</v>
      </c>
    </row>
    <row r="310">
      <c r="A310" s="3">
        <f>IFERROR(__xludf.DUMMYFUNCTION("""COMPUTED_VALUE"""),45062.66666666667)</f>
        <v>45062.66667</v>
      </c>
      <c r="B310" s="1">
        <f>IFERROR(__xludf.DUMMYFUNCTION("""COMPUTED_VALUE"""),0.05)</f>
        <v>0.05</v>
      </c>
      <c r="C310" s="1">
        <f>IFERROR(__xludf.DUMMYFUNCTION("""COMPUTED_VALUE"""),0.05)</f>
        <v>0.05</v>
      </c>
      <c r="D310" s="1">
        <f>IFERROR(__xludf.DUMMYFUNCTION("""COMPUTED_VALUE"""),0.05)</f>
        <v>0.05</v>
      </c>
      <c r="E310" s="1">
        <f>IFERROR(__xludf.DUMMYFUNCTION("""COMPUTED_VALUE"""),0.05)</f>
        <v>0.05</v>
      </c>
      <c r="F310" s="1">
        <f>IFERROR(__xludf.DUMMYFUNCTION("""COMPUTED_VALUE"""),30000.0)</f>
        <v>30000</v>
      </c>
      <c r="G310" s="2" t="s">
        <v>12</v>
      </c>
    </row>
    <row r="311">
      <c r="A311" s="3">
        <f>IFERROR(__xludf.DUMMYFUNCTION("""COMPUTED_VALUE"""),45063.66666666667)</f>
        <v>45063.66667</v>
      </c>
      <c r="B311" s="1">
        <f>IFERROR(__xludf.DUMMYFUNCTION("""COMPUTED_VALUE"""),0.05)</f>
        <v>0.05</v>
      </c>
      <c r="C311" s="1">
        <f>IFERROR(__xludf.DUMMYFUNCTION("""COMPUTED_VALUE"""),0.05)</f>
        <v>0.05</v>
      </c>
      <c r="D311" s="1">
        <f>IFERROR(__xludf.DUMMYFUNCTION("""COMPUTED_VALUE"""),0.05)</f>
        <v>0.05</v>
      </c>
      <c r="E311" s="1">
        <f>IFERROR(__xludf.DUMMYFUNCTION("""COMPUTED_VALUE"""),0.05)</f>
        <v>0.05</v>
      </c>
      <c r="F311" s="1">
        <f>IFERROR(__xludf.DUMMYFUNCTION("""COMPUTED_VALUE"""),1000.0)</f>
        <v>1000</v>
      </c>
      <c r="G311" s="2" t="s">
        <v>12</v>
      </c>
    </row>
    <row r="312">
      <c r="A312" s="3">
        <f>IFERROR(__xludf.DUMMYFUNCTION("""COMPUTED_VALUE"""),45064.66666666667)</f>
        <v>45064.66667</v>
      </c>
      <c r="B312" s="1">
        <f>IFERROR(__xludf.DUMMYFUNCTION("""COMPUTED_VALUE"""),0.05)</f>
        <v>0.05</v>
      </c>
      <c r="C312" s="1">
        <f>IFERROR(__xludf.DUMMYFUNCTION("""COMPUTED_VALUE"""),0.05)</f>
        <v>0.05</v>
      </c>
      <c r="D312" s="1">
        <f>IFERROR(__xludf.DUMMYFUNCTION("""COMPUTED_VALUE"""),0.05)</f>
        <v>0.05</v>
      </c>
      <c r="E312" s="1">
        <f>IFERROR(__xludf.DUMMYFUNCTION("""COMPUTED_VALUE"""),0.05)</f>
        <v>0.05</v>
      </c>
      <c r="F312" s="1">
        <f>IFERROR(__xludf.DUMMYFUNCTION("""COMPUTED_VALUE"""),241000.0)</f>
        <v>241000</v>
      </c>
      <c r="G312" s="2" t="s">
        <v>12</v>
      </c>
    </row>
    <row r="313">
      <c r="A313" s="3">
        <f>IFERROR(__xludf.DUMMYFUNCTION("""COMPUTED_VALUE"""),45065.66666666667)</f>
        <v>45065.66667</v>
      </c>
      <c r="B313" s="1">
        <f>IFERROR(__xludf.DUMMYFUNCTION("""COMPUTED_VALUE"""),0.05)</f>
        <v>0.05</v>
      </c>
      <c r="C313" s="1">
        <f>IFERROR(__xludf.DUMMYFUNCTION("""COMPUTED_VALUE"""),0.05)</f>
        <v>0.05</v>
      </c>
      <c r="D313" s="1">
        <f>IFERROR(__xludf.DUMMYFUNCTION("""COMPUTED_VALUE"""),0.05)</f>
        <v>0.05</v>
      </c>
      <c r="E313" s="1">
        <f>IFERROR(__xludf.DUMMYFUNCTION("""COMPUTED_VALUE"""),0.05)</f>
        <v>0.05</v>
      </c>
      <c r="F313" s="1">
        <f>IFERROR(__xludf.DUMMYFUNCTION("""COMPUTED_VALUE"""),57048.0)</f>
        <v>57048</v>
      </c>
      <c r="G313" s="2" t="s">
        <v>12</v>
      </c>
    </row>
    <row r="314">
      <c r="A314" s="3">
        <f>IFERROR(__xludf.DUMMYFUNCTION("""COMPUTED_VALUE"""),45069.66666666667)</f>
        <v>45069.66667</v>
      </c>
      <c r="B314" s="1">
        <f>IFERROR(__xludf.DUMMYFUNCTION("""COMPUTED_VALUE"""),0.05)</f>
        <v>0.05</v>
      </c>
      <c r="C314" s="1">
        <f>IFERROR(__xludf.DUMMYFUNCTION("""COMPUTED_VALUE"""),0.05)</f>
        <v>0.05</v>
      </c>
      <c r="D314" s="1">
        <f>IFERROR(__xludf.DUMMYFUNCTION("""COMPUTED_VALUE"""),0.05)</f>
        <v>0.05</v>
      </c>
      <c r="E314" s="1">
        <f>IFERROR(__xludf.DUMMYFUNCTION("""COMPUTED_VALUE"""),0.05)</f>
        <v>0.05</v>
      </c>
      <c r="F314" s="1">
        <f>IFERROR(__xludf.DUMMYFUNCTION("""COMPUTED_VALUE"""),2000.0)</f>
        <v>2000</v>
      </c>
      <c r="G314" s="2" t="s">
        <v>12</v>
      </c>
    </row>
    <row r="315">
      <c r="A315" s="3">
        <f>IFERROR(__xludf.DUMMYFUNCTION("""COMPUTED_VALUE"""),45071.66666666667)</f>
        <v>45071.66667</v>
      </c>
      <c r="B315" s="1">
        <f>IFERROR(__xludf.DUMMYFUNCTION("""COMPUTED_VALUE"""),0.04)</f>
        <v>0.04</v>
      </c>
      <c r="C315" s="1">
        <f>IFERROR(__xludf.DUMMYFUNCTION("""COMPUTED_VALUE"""),0.04)</f>
        <v>0.04</v>
      </c>
      <c r="D315" s="1">
        <f>IFERROR(__xludf.DUMMYFUNCTION("""COMPUTED_VALUE"""),0.04)</f>
        <v>0.04</v>
      </c>
      <c r="E315" s="1">
        <f>IFERROR(__xludf.DUMMYFUNCTION("""COMPUTED_VALUE"""),0.04)</f>
        <v>0.04</v>
      </c>
      <c r="F315" s="1">
        <f>IFERROR(__xludf.DUMMYFUNCTION("""COMPUTED_VALUE"""),20000.0)</f>
        <v>20000</v>
      </c>
      <c r="G315" s="2" t="s">
        <v>12</v>
      </c>
    </row>
    <row r="316">
      <c r="A316" s="3">
        <f>IFERROR(__xludf.DUMMYFUNCTION("""COMPUTED_VALUE"""),45077.66666666667)</f>
        <v>45077.66667</v>
      </c>
      <c r="B316" s="1">
        <f>IFERROR(__xludf.DUMMYFUNCTION("""COMPUTED_VALUE"""),0.05)</f>
        <v>0.05</v>
      </c>
      <c r="C316" s="1">
        <f>IFERROR(__xludf.DUMMYFUNCTION("""COMPUTED_VALUE"""),0.05)</f>
        <v>0.05</v>
      </c>
      <c r="D316" s="1">
        <f>IFERROR(__xludf.DUMMYFUNCTION("""COMPUTED_VALUE"""),0.04)</f>
        <v>0.04</v>
      </c>
      <c r="E316" s="1">
        <f>IFERROR(__xludf.DUMMYFUNCTION("""COMPUTED_VALUE"""),0.04)</f>
        <v>0.04</v>
      </c>
      <c r="F316" s="1">
        <f>IFERROR(__xludf.DUMMYFUNCTION("""COMPUTED_VALUE"""),35000.0)</f>
        <v>35000</v>
      </c>
      <c r="G316" s="2" t="s">
        <v>12</v>
      </c>
    </row>
    <row r="317">
      <c r="A317" s="3">
        <f>IFERROR(__xludf.DUMMYFUNCTION("""COMPUTED_VALUE"""),45079.66666666667)</f>
        <v>45079.66667</v>
      </c>
      <c r="B317" s="1">
        <f>IFERROR(__xludf.DUMMYFUNCTION("""COMPUTED_VALUE"""),0.05)</f>
        <v>0.05</v>
      </c>
      <c r="C317" s="1">
        <f>IFERROR(__xludf.DUMMYFUNCTION("""COMPUTED_VALUE"""),0.05)</f>
        <v>0.05</v>
      </c>
      <c r="D317" s="1">
        <f>IFERROR(__xludf.DUMMYFUNCTION("""COMPUTED_VALUE"""),0.05)</f>
        <v>0.05</v>
      </c>
      <c r="E317" s="1">
        <f>IFERROR(__xludf.DUMMYFUNCTION("""COMPUTED_VALUE"""),0.05)</f>
        <v>0.05</v>
      </c>
      <c r="F317" s="1">
        <f>IFERROR(__xludf.DUMMYFUNCTION("""COMPUTED_VALUE"""),10000.0)</f>
        <v>10000</v>
      </c>
      <c r="G317" s="2" t="s">
        <v>12</v>
      </c>
    </row>
    <row r="318">
      <c r="A318" s="3">
        <f>IFERROR(__xludf.DUMMYFUNCTION("""COMPUTED_VALUE"""),45089.66666666667)</f>
        <v>45089.66667</v>
      </c>
      <c r="B318" s="1">
        <f>IFERROR(__xludf.DUMMYFUNCTION("""COMPUTED_VALUE"""),0.05)</f>
        <v>0.05</v>
      </c>
      <c r="C318" s="1">
        <f>IFERROR(__xludf.DUMMYFUNCTION("""COMPUTED_VALUE"""),0.05)</f>
        <v>0.05</v>
      </c>
      <c r="D318" s="1">
        <f>IFERROR(__xludf.DUMMYFUNCTION("""COMPUTED_VALUE"""),0.05)</f>
        <v>0.05</v>
      </c>
      <c r="E318" s="1">
        <f>IFERROR(__xludf.DUMMYFUNCTION("""COMPUTED_VALUE"""),0.05)</f>
        <v>0.05</v>
      </c>
      <c r="F318" s="1">
        <f>IFERROR(__xludf.DUMMYFUNCTION("""COMPUTED_VALUE"""),216000.0)</f>
        <v>216000</v>
      </c>
      <c r="G318" s="2" t="s">
        <v>12</v>
      </c>
    </row>
    <row r="319">
      <c r="A319" s="3">
        <f>IFERROR(__xludf.DUMMYFUNCTION("""COMPUTED_VALUE"""),45090.66666666667)</f>
        <v>45090.66667</v>
      </c>
      <c r="B319" s="1">
        <f>IFERROR(__xludf.DUMMYFUNCTION("""COMPUTED_VALUE"""),0.05)</f>
        <v>0.05</v>
      </c>
      <c r="C319" s="1">
        <f>IFERROR(__xludf.DUMMYFUNCTION("""COMPUTED_VALUE"""),0.05)</f>
        <v>0.05</v>
      </c>
      <c r="D319" s="1">
        <f>IFERROR(__xludf.DUMMYFUNCTION("""COMPUTED_VALUE"""),0.05)</f>
        <v>0.05</v>
      </c>
      <c r="E319" s="1">
        <f>IFERROR(__xludf.DUMMYFUNCTION("""COMPUTED_VALUE"""),0.05)</f>
        <v>0.05</v>
      </c>
      <c r="F319" s="1">
        <f>IFERROR(__xludf.DUMMYFUNCTION("""COMPUTED_VALUE"""),78936.0)</f>
        <v>78936</v>
      </c>
      <c r="G319" s="2" t="s">
        <v>12</v>
      </c>
    </row>
    <row r="320">
      <c r="A320" s="3">
        <f>IFERROR(__xludf.DUMMYFUNCTION("""COMPUTED_VALUE"""),45091.66666666667)</f>
        <v>45091.66667</v>
      </c>
      <c r="B320" s="1">
        <f>IFERROR(__xludf.DUMMYFUNCTION("""COMPUTED_VALUE"""),0.05)</f>
        <v>0.05</v>
      </c>
      <c r="C320" s="1">
        <f>IFERROR(__xludf.DUMMYFUNCTION("""COMPUTED_VALUE"""),0.06)</f>
        <v>0.06</v>
      </c>
      <c r="D320" s="1">
        <f>IFERROR(__xludf.DUMMYFUNCTION("""COMPUTED_VALUE"""),0.05)</f>
        <v>0.05</v>
      </c>
      <c r="E320" s="1">
        <f>IFERROR(__xludf.DUMMYFUNCTION("""COMPUTED_VALUE"""),0.06)</f>
        <v>0.06</v>
      </c>
      <c r="F320" s="1">
        <f>IFERROR(__xludf.DUMMYFUNCTION("""COMPUTED_VALUE"""),608427.0)</f>
        <v>608427</v>
      </c>
      <c r="G320" s="2" t="s">
        <v>12</v>
      </c>
    </row>
    <row r="321">
      <c r="A321" s="3">
        <f>IFERROR(__xludf.DUMMYFUNCTION("""COMPUTED_VALUE"""),45093.66666666667)</f>
        <v>45093.66667</v>
      </c>
      <c r="B321" s="1">
        <f>IFERROR(__xludf.DUMMYFUNCTION("""COMPUTED_VALUE"""),0.05)</f>
        <v>0.05</v>
      </c>
      <c r="C321" s="1">
        <f>IFERROR(__xludf.DUMMYFUNCTION("""COMPUTED_VALUE"""),0.06)</f>
        <v>0.06</v>
      </c>
      <c r="D321" s="1">
        <f>IFERROR(__xludf.DUMMYFUNCTION("""COMPUTED_VALUE"""),0.05)</f>
        <v>0.05</v>
      </c>
      <c r="E321" s="1">
        <f>IFERROR(__xludf.DUMMYFUNCTION("""COMPUTED_VALUE"""),0.05)</f>
        <v>0.05</v>
      </c>
      <c r="F321" s="1">
        <f>IFERROR(__xludf.DUMMYFUNCTION("""COMPUTED_VALUE"""),63000.0)</f>
        <v>63000</v>
      </c>
      <c r="G321" s="2" t="s">
        <v>12</v>
      </c>
    </row>
    <row r="322">
      <c r="A322" s="3">
        <f>IFERROR(__xludf.DUMMYFUNCTION("""COMPUTED_VALUE"""),45097.66666666667)</f>
        <v>45097.66667</v>
      </c>
      <c r="B322" s="1">
        <f>IFERROR(__xludf.DUMMYFUNCTION("""COMPUTED_VALUE"""),0.05)</f>
        <v>0.05</v>
      </c>
      <c r="C322" s="1">
        <f>IFERROR(__xludf.DUMMYFUNCTION("""COMPUTED_VALUE"""),0.05)</f>
        <v>0.05</v>
      </c>
      <c r="D322" s="1">
        <f>IFERROR(__xludf.DUMMYFUNCTION("""COMPUTED_VALUE"""),0.05)</f>
        <v>0.05</v>
      </c>
      <c r="E322" s="1">
        <f>IFERROR(__xludf.DUMMYFUNCTION("""COMPUTED_VALUE"""),0.05)</f>
        <v>0.05</v>
      </c>
      <c r="F322" s="1">
        <f>IFERROR(__xludf.DUMMYFUNCTION("""COMPUTED_VALUE"""),34000.0)</f>
        <v>34000</v>
      </c>
      <c r="G322" s="2" t="s">
        <v>12</v>
      </c>
    </row>
    <row r="323">
      <c r="A323" s="3">
        <f>IFERROR(__xludf.DUMMYFUNCTION("""COMPUTED_VALUE"""),45098.66666666667)</f>
        <v>45098.66667</v>
      </c>
      <c r="B323" s="1">
        <f>IFERROR(__xludf.DUMMYFUNCTION("""COMPUTED_VALUE"""),0.05)</f>
        <v>0.05</v>
      </c>
      <c r="C323" s="1">
        <f>IFERROR(__xludf.DUMMYFUNCTION("""COMPUTED_VALUE"""),0.05)</f>
        <v>0.05</v>
      </c>
      <c r="D323" s="1">
        <f>IFERROR(__xludf.DUMMYFUNCTION("""COMPUTED_VALUE"""),0.05)</f>
        <v>0.05</v>
      </c>
      <c r="E323" s="1">
        <f>IFERROR(__xludf.DUMMYFUNCTION("""COMPUTED_VALUE"""),0.05)</f>
        <v>0.05</v>
      </c>
      <c r="F323" s="1">
        <f>IFERROR(__xludf.DUMMYFUNCTION("""COMPUTED_VALUE"""),118601.0)</f>
        <v>118601</v>
      </c>
      <c r="G323" s="2" t="s">
        <v>12</v>
      </c>
    </row>
    <row r="324">
      <c r="A324" s="3">
        <f>IFERROR(__xludf.DUMMYFUNCTION("""COMPUTED_VALUE"""),45099.66666666667)</f>
        <v>45099.66667</v>
      </c>
      <c r="B324" s="1">
        <f>IFERROR(__xludf.DUMMYFUNCTION("""COMPUTED_VALUE"""),0.05)</f>
        <v>0.05</v>
      </c>
      <c r="C324" s="1">
        <f>IFERROR(__xludf.DUMMYFUNCTION("""COMPUTED_VALUE"""),0.06)</f>
        <v>0.06</v>
      </c>
      <c r="D324" s="1">
        <f>IFERROR(__xludf.DUMMYFUNCTION("""COMPUTED_VALUE"""),0.05)</f>
        <v>0.05</v>
      </c>
      <c r="E324" s="1">
        <f>IFERROR(__xludf.DUMMYFUNCTION("""COMPUTED_VALUE"""),0.06)</f>
        <v>0.06</v>
      </c>
      <c r="F324" s="1">
        <f>IFERROR(__xludf.DUMMYFUNCTION("""COMPUTED_VALUE"""),674947.0)</f>
        <v>674947</v>
      </c>
      <c r="G324" s="2" t="s">
        <v>12</v>
      </c>
    </row>
    <row r="325">
      <c r="A325" s="3">
        <f>IFERROR(__xludf.DUMMYFUNCTION("""COMPUTED_VALUE"""),45100.66666666667)</f>
        <v>45100.66667</v>
      </c>
      <c r="B325" s="1">
        <f>IFERROR(__xludf.DUMMYFUNCTION("""COMPUTED_VALUE"""),0.06)</f>
        <v>0.06</v>
      </c>
      <c r="C325" s="1">
        <f>IFERROR(__xludf.DUMMYFUNCTION("""COMPUTED_VALUE"""),0.06)</f>
        <v>0.06</v>
      </c>
      <c r="D325" s="1">
        <f>IFERROR(__xludf.DUMMYFUNCTION("""COMPUTED_VALUE"""),0.05)</f>
        <v>0.05</v>
      </c>
      <c r="E325" s="1">
        <f>IFERROR(__xludf.DUMMYFUNCTION("""COMPUTED_VALUE"""),0.05)</f>
        <v>0.05</v>
      </c>
      <c r="F325" s="1">
        <f>IFERROR(__xludf.DUMMYFUNCTION("""COMPUTED_VALUE"""),108000.0)</f>
        <v>108000</v>
      </c>
      <c r="G325" s="2" t="s">
        <v>12</v>
      </c>
    </row>
    <row r="326">
      <c r="A326" s="3">
        <f>IFERROR(__xludf.DUMMYFUNCTION("""COMPUTED_VALUE"""),45103.66666666667)</f>
        <v>45103.66667</v>
      </c>
      <c r="B326" s="1">
        <f>IFERROR(__xludf.DUMMYFUNCTION("""COMPUTED_VALUE"""),0.05)</f>
        <v>0.05</v>
      </c>
      <c r="C326" s="1">
        <f>IFERROR(__xludf.DUMMYFUNCTION("""COMPUTED_VALUE"""),0.05)</f>
        <v>0.05</v>
      </c>
      <c r="D326" s="1">
        <f>IFERROR(__xludf.DUMMYFUNCTION("""COMPUTED_VALUE"""),0.05)</f>
        <v>0.05</v>
      </c>
      <c r="E326" s="1">
        <f>IFERROR(__xludf.DUMMYFUNCTION("""COMPUTED_VALUE"""),0.05)</f>
        <v>0.05</v>
      </c>
      <c r="F326" s="1">
        <f>IFERROR(__xludf.DUMMYFUNCTION("""COMPUTED_VALUE"""),268500.0)</f>
        <v>268500</v>
      </c>
      <c r="G326" s="2" t="s">
        <v>12</v>
      </c>
    </row>
    <row r="327">
      <c r="A327" s="3">
        <f>IFERROR(__xludf.DUMMYFUNCTION("""COMPUTED_VALUE"""),45104.66666666667)</f>
        <v>45104.66667</v>
      </c>
      <c r="B327" s="1">
        <f>IFERROR(__xludf.DUMMYFUNCTION("""COMPUTED_VALUE"""),0.05)</f>
        <v>0.05</v>
      </c>
      <c r="C327" s="1">
        <f>IFERROR(__xludf.DUMMYFUNCTION("""COMPUTED_VALUE"""),0.05)</f>
        <v>0.05</v>
      </c>
      <c r="D327" s="1">
        <f>IFERROR(__xludf.DUMMYFUNCTION("""COMPUTED_VALUE"""),0.04)</f>
        <v>0.04</v>
      </c>
      <c r="E327" s="1">
        <f>IFERROR(__xludf.DUMMYFUNCTION("""COMPUTED_VALUE"""),0.04)</f>
        <v>0.04</v>
      </c>
      <c r="F327" s="1">
        <f>IFERROR(__xludf.DUMMYFUNCTION("""COMPUTED_VALUE"""),1196255.0)</f>
        <v>1196255</v>
      </c>
      <c r="G327" s="2" t="s">
        <v>12</v>
      </c>
    </row>
    <row r="328">
      <c r="A328" s="3">
        <f>IFERROR(__xludf.DUMMYFUNCTION("""COMPUTED_VALUE"""),45105.66666666667)</f>
        <v>45105.66667</v>
      </c>
      <c r="B328" s="1">
        <f>IFERROR(__xludf.DUMMYFUNCTION("""COMPUTED_VALUE"""),0.05)</f>
        <v>0.05</v>
      </c>
      <c r="C328" s="1">
        <f>IFERROR(__xludf.DUMMYFUNCTION("""COMPUTED_VALUE"""),0.05)</f>
        <v>0.05</v>
      </c>
      <c r="D328" s="1">
        <f>IFERROR(__xludf.DUMMYFUNCTION("""COMPUTED_VALUE"""),0.04)</f>
        <v>0.04</v>
      </c>
      <c r="E328" s="1">
        <f>IFERROR(__xludf.DUMMYFUNCTION("""COMPUTED_VALUE"""),0.04)</f>
        <v>0.04</v>
      </c>
      <c r="F328" s="1">
        <f>IFERROR(__xludf.DUMMYFUNCTION("""COMPUTED_VALUE"""),1325000.0)</f>
        <v>1325000</v>
      </c>
      <c r="G328" s="2" t="s">
        <v>12</v>
      </c>
    </row>
    <row r="329">
      <c r="A329" s="3">
        <f>IFERROR(__xludf.DUMMYFUNCTION("""COMPUTED_VALUE"""),45106.66666666667)</f>
        <v>45106.66667</v>
      </c>
      <c r="B329" s="1">
        <f>IFERROR(__xludf.DUMMYFUNCTION("""COMPUTED_VALUE"""),0.05)</f>
        <v>0.05</v>
      </c>
      <c r="C329" s="1">
        <f>IFERROR(__xludf.DUMMYFUNCTION("""COMPUTED_VALUE"""),0.05)</f>
        <v>0.05</v>
      </c>
      <c r="D329" s="1">
        <f>IFERROR(__xludf.DUMMYFUNCTION("""COMPUTED_VALUE"""),0.04)</f>
        <v>0.04</v>
      </c>
      <c r="E329" s="1">
        <f>IFERROR(__xludf.DUMMYFUNCTION("""COMPUTED_VALUE"""),0.05)</f>
        <v>0.05</v>
      </c>
      <c r="F329" s="1">
        <f>IFERROR(__xludf.DUMMYFUNCTION("""COMPUTED_VALUE"""),438000.0)</f>
        <v>438000</v>
      </c>
      <c r="G329" s="2" t="s">
        <v>12</v>
      </c>
    </row>
    <row r="330">
      <c r="A330" s="3">
        <f>IFERROR(__xludf.DUMMYFUNCTION("""COMPUTED_VALUE"""),45107.66666666667)</f>
        <v>45107.66667</v>
      </c>
      <c r="B330" s="1">
        <f>IFERROR(__xludf.DUMMYFUNCTION("""COMPUTED_VALUE"""),0.05)</f>
        <v>0.05</v>
      </c>
      <c r="C330" s="1">
        <f>IFERROR(__xludf.DUMMYFUNCTION("""COMPUTED_VALUE"""),0.05)</f>
        <v>0.05</v>
      </c>
      <c r="D330" s="1">
        <f>IFERROR(__xludf.DUMMYFUNCTION("""COMPUTED_VALUE"""),0.05)</f>
        <v>0.05</v>
      </c>
      <c r="E330" s="1">
        <f>IFERROR(__xludf.DUMMYFUNCTION("""COMPUTED_VALUE"""),0.05)</f>
        <v>0.05</v>
      </c>
      <c r="F330" s="1">
        <f>IFERROR(__xludf.DUMMYFUNCTION("""COMPUTED_VALUE"""),1057700.0)</f>
        <v>1057700</v>
      </c>
      <c r="G330" s="2" t="s">
        <v>12</v>
      </c>
    </row>
    <row r="331">
      <c r="A331" s="3">
        <f>IFERROR(__xludf.DUMMYFUNCTION("""COMPUTED_VALUE"""),45112.66666666667)</f>
        <v>45112.66667</v>
      </c>
      <c r="B331" s="1">
        <f>IFERROR(__xludf.DUMMYFUNCTION("""COMPUTED_VALUE"""),0.05)</f>
        <v>0.05</v>
      </c>
      <c r="C331" s="1">
        <f>IFERROR(__xludf.DUMMYFUNCTION("""COMPUTED_VALUE"""),0.05)</f>
        <v>0.05</v>
      </c>
      <c r="D331" s="1">
        <f>IFERROR(__xludf.DUMMYFUNCTION("""COMPUTED_VALUE"""),0.05)</f>
        <v>0.05</v>
      </c>
      <c r="E331" s="1">
        <f>IFERROR(__xludf.DUMMYFUNCTION("""COMPUTED_VALUE"""),0.05)</f>
        <v>0.05</v>
      </c>
      <c r="F331" s="1">
        <f>IFERROR(__xludf.DUMMYFUNCTION("""COMPUTED_VALUE"""),770245.0)</f>
        <v>770245</v>
      </c>
      <c r="G331" s="2" t="s">
        <v>12</v>
      </c>
    </row>
    <row r="332">
      <c r="A332" s="3">
        <f>IFERROR(__xludf.DUMMYFUNCTION("""COMPUTED_VALUE"""),45113.66666666667)</f>
        <v>45113.66667</v>
      </c>
      <c r="B332" s="1">
        <f>IFERROR(__xludf.DUMMYFUNCTION("""COMPUTED_VALUE"""),0.05)</f>
        <v>0.05</v>
      </c>
      <c r="C332" s="1">
        <f>IFERROR(__xludf.DUMMYFUNCTION("""COMPUTED_VALUE"""),0.05)</f>
        <v>0.05</v>
      </c>
      <c r="D332" s="1">
        <f>IFERROR(__xludf.DUMMYFUNCTION("""COMPUTED_VALUE"""),0.05)</f>
        <v>0.05</v>
      </c>
      <c r="E332" s="1">
        <f>IFERROR(__xludf.DUMMYFUNCTION("""COMPUTED_VALUE"""),0.05)</f>
        <v>0.05</v>
      </c>
      <c r="F332" s="1">
        <f>IFERROR(__xludf.DUMMYFUNCTION("""COMPUTED_VALUE"""),276000.0)</f>
        <v>276000</v>
      </c>
      <c r="G332" s="2" t="s">
        <v>12</v>
      </c>
    </row>
    <row r="333">
      <c r="A333" s="3">
        <f>IFERROR(__xludf.DUMMYFUNCTION("""COMPUTED_VALUE"""),45114.66666666667)</f>
        <v>45114.66667</v>
      </c>
      <c r="B333" s="1">
        <f>IFERROR(__xludf.DUMMYFUNCTION("""COMPUTED_VALUE"""),0.05)</f>
        <v>0.05</v>
      </c>
      <c r="C333" s="1">
        <f>IFERROR(__xludf.DUMMYFUNCTION("""COMPUTED_VALUE"""),0.05)</f>
        <v>0.05</v>
      </c>
      <c r="D333" s="1">
        <f>IFERROR(__xludf.DUMMYFUNCTION("""COMPUTED_VALUE"""),0.05)</f>
        <v>0.05</v>
      </c>
      <c r="E333" s="1">
        <f>IFERROR(__xludf.DUMMYFUNCTION("""COMPUTED_VALUE"""),0.05)</f>
        <v>0.05</v>
      </c>
      <c r="F333" s="1">
        <f>IFERROR(__xludf.DUMMYFUNCTION("""COMPUTED_VALUE"""),571700.0)</f>
        <v>571700</v>
      </c>
      <c r="G333" s="2" t="s">
        <v>12</v>
      </c>
    </row>
    <row r="334">
      <c r="A334" s="3">
        <f>IFERROR(__xludf.DUMMYFUNCTION("""COMPUTED_VALUE"""),45117.66666666667)</f>
        <v>45117.66667</v>
      </c>
      <c r="B334" s="1">
        <f>IFERROR(__xludf.DUMMYFUNCTION("""COMPUTED_VALUE"""),0.05)</f>
        <v>0.05</v>
      </c>
      <c r="C334" s="1">
        <f>IFERROR(__xludf.DUMMYFUNCTION("""COMPUTED_VALUE"""),0.05)</f>
        <v>0.05</v>
      </c>
      <c r="D334" s="1">
        <f>IFERROR(__xludf.DUMMYFUNCTION("""COMPUTED_VALUE"""),0.05)</f>
        <v>0.05</v>
      </c>
      <c r="E334" s="1">
        <f>IFERROR(__xludf.DUMMYFUNCTION("""COMPUTED_VALUE"""),0.05)</f>
        <v>0.05</v>
      </c>
      <c r="F334" s="1">
        <f>IFERROR(__xludf.DUMMYFUNCTION("""COMPUTED_VALUE"""),53000.0)</f>
        <v>53000</v>
      </c>
      <c r="G334" s="2" t="s">
        <v>12</v>
      </c>
    </row>
    <row r="335">
      <c r="A335" s="3">
        <f>IFERROR(__xludf.DUMMYFUNCTION("""COMPUTED_VALUE"""),45118.66666666667)</f>
        <v>45118.66667</v>
      </c>
      <c r="B335" s="1">
        <f>IFERROR(__xludf.DUMMYFUNCTION("""COMPUTED_VALUE"""),0.05)</f>
        <v>0.05</v>
      </c>
      <c r="C335" s="1">
        <f>IFERROR(__xludf.DUMMYFUNCTION("""COMPUTED_VALUE"""),0.05)</f>
        <v>0.05</v>
      </c>
      <c r="D335" s="1">
        <f>IFERROR(__xludf.DUMMYFUNCTION("""COMPUTED_VALUE"""),0.04)</f>
        <v>0.04</v>
      </c>
      <c r="E335" s="1">
        <f>IFERROR(__xludf.DUMMYFUNCTION("""COMPUTED_VALUE"""),0.04)</f>
        <v>0.04</v>
      </c>
      <c r="F335" s="1">
        <f>IFERROR(__xludf.DUMMYFUNCTION("""COMPUTED_VALUE"""),364000.0)</f>
        <v>364000</v>
      </c>
      <c r="G335" s="2" t="s">
        <v>12</v>
      </c>
    </row>
    <row r="336">
      <c r="A336" s="3">
        <f>IFERROR(__xludf.DUMMYFUNCTION("""COMPUTED_VALUE"""),45119.66666666667)</f>
        <v>45119.66667</v>
      </c>
      <c r="B336" s="1">
        <f>IFERROR(__xludf.DUMMYFUNCTION("""COMPUTED_VALUE"""),0.05)</f>
        <v>0.05</v>
      </c>
      <c r="C336" s="1">
        <f>IFERROR(__xludf.DUMMYFUNCTION("""COMPUTED_VALUE"""),0.05)</f>
        <v>0.05</v>
      </c>
      <c r="D336" s="1">
        <f>IFERROR(__xludf.DUMMYFUNCTION("""COMPUTED_VALUE"""),0.04)</f>
        <v>0.04</v>
      </c>
      <c r="E336" s="1">
        <f>IFERROR(__xludf.DUMMYFUNCTION("""COMPUTED_VALUE"""),0.05)</f>
        <v>0.05</v>
      </c>
      <c r="F336" s="1">
        <f>IFERROR(__xludf.DUMMYFUNCTION("""COMPUTED_VALUE"""),639000.0)</f>
        <v>639000</v>
      </c>
      <c r="G336" s="2" t="s">
        <v>12</v>
      </c>
    </row>
    <row r="337">
      <c r="A337" s="3">
        <f>IFERROR(__xludf.DUMMYFUNCTION("""COMPUTED_VALUE"""),45120.66666666667)</f>
        <v>45120.66667</v>
      </c>
      <c r="B337" s="1">
        <f>IFERROR(__xludf.DUMMYFUNCTION("""COMPUTED_VALUE"""),0.05)</f>
        <v>0.05</v>
      </c>
      <c r="C337" s="1">
        <f>IFERROR(__xludf.DUMMYFUNCTION("""COMPUTED_VALUE"""),0.05)</f>
        <v>0.05</v>
      </c>
      <c r="D337" s="1">
        <f>IFERROR(__xludf.DUMMYFUNCTION("""COMPUTED_VALUE"""),0.05)</f>
        <v>0.05</v>
      </c>
      <c r="E337" s="1">
        <f>IFERROR(__xludf.DUMMYFUNCTION("""COMPUTED_VALUE"""),0.05)</f>
        <v>0.05</v>
      </c>
      <c r="F337" s="1">
        <f>IFERROR(__xludf.DUMMYFUNCTION("""COMPUTED_VALUE"""),328000.0)</f>
        <v>328000</v>
      </c>
      <c r="G337" s="2" t="s">
        <v>12</v>
      </c>
    </row>
    <row r="338">
      <c r="A338" s="3">
        <f>IFERROR(__xludf.DUMMYFUNCTION("""COMPUTED_VALUE"""),45121.66666666667)</f>
        <v>45121.66667</v>
      </c>
      <c r="B338" s="1">
        <f>IFERROR(__xludf.DUMMYFUNCTION("""COMPUTED_VALUE"""),0.05)</f>
        <v>0.05</v>
      </c>
      <c r="C338" s="1">
        <f>IFERROR(__xludf.DUMMYFUNCTION("""COMPUTED_VALUE"""),0.05)</f>
        <v>0.05</v>
      </c>
      <c r="D338" s="1">
        <f>IFERROR(__xludf.DUMMYFUNCTION("""COMPUTED_VALUE"""),0.05)</f>
        <v>0.05</v>
      </c>
      <c r="E338" s="1">
        <f>IFERROR(__xludf.DUMMYFUNCTION("""COMPUTED_VALUE"""),0.05)</f>
        <v>0.05</v>
      </c>
      <c r="F338" s="1">
        <f>IFERROR(__xludf.DUMMYFUNCTION("""COMPUTED_VALUE"""),21000.0)</f>
        <v>21000</v>
      </c>
      <c r="G338" s="2" t="s">
        <v>12</v>
      </c>
    </row>
    <row r="339">
      <c r="A339" s="3">
        <f>IFERROR(__xludf.DUMMYFUNCTION("""COMPUTED_VALUE"""),45124.66666666667)</f>
        <v>45124.66667</v>
      </c>
      <c r="B339" s="1">
        <f>IFERROR(__xludf.DUMMYFUNCTION("""COMPUTED_VALUE"""),0.05)</f>
        <v>0.05</v>
      </c>
      <c r="C339" s="1">
        <f>IFERROR(__xludf.DUMMYFUNCTION("""COMPUTED_VALUE"""),0.05)</f>
        <v>0.05</v>
      </c>
      <c r="D339" s="1">
        <f>IFERROR(__xludf.DUMMYFUNCTION("""COMPUTED_VALUE"""),0.04)</f>
        <v>0.04</v>
      </c>
      <c r="E339" s="1">
        <f>IFERROR(__xludf.DUMMYFUNCTION("""COMPUTED_VALUE"""),0.05)</f>
        <v>0.05</v>
      </c>
      <c r="F339" s="1">
        <f>IFERROR(__xludf.DUMMYFUNCTION("""COMPUTED_VALUE"""),103500.0)</f>
        <v>103500</v>
      </c>
      <c r="G339" s="2" t="s">
        <v>12</v>
      </c>
    </row>
    <row r="340">
      <c r="A340" s="3">
        <f>IFERROR(__xludf.DUMMYFUNCTION("""COMPUTED_VALUE"""),45125.66666666667)</f>
        <v>45125.66667</v>
      </c>
      <c r="B340" s="1">
        <f>IFERROR(__xludf.DUMMYFUNCTION("""COMPUTED_VALUE"""),0.05)</f>
        <v>0.05</v>
      </c>
      <c r="C340" s="1">
        <f>IFERROR(__xludf.DUMMYFUNCTION("""COMPUTED_VALUE"""),0.05)</f>
        <v>0.05</v>
      </c>
      <c r="D340" s="1">
        <f>IFERROR(__xludf.DUMMYFUNCTION("""COMPUTED_VALUE"""),0.05)</f>
        <v>0.05</v>
      </c>
      <c r="E340" s="1">
        <f>IFERROR(__xludf.DUMMYFUNCTION("""COMPUTED_VALUE"""),0.05)</f>
        <v>0.05</v>
      </c>
      <c r="F340" s="1">
        <f>IFERROR(__xludf.DUMMYFUNCTION("""COMPUTED_VALUE"""),4000.0)</f>
        <v>4000</v>
      </c>
      <c r="G340" s="2" t="s">
        <v>12</v>
      </c>
    </row>
    <row r="341">
      <c r="A341" s="3">
        <f>IFERROR(__xludf.DUMMYFUNCTION("""COMPUTED_VALUE"""),45126.66666666667)</f>
        <v>45126.66667</v>
      </c>
      <c r="B341" s="1">
        <f>IFERROR(__xludf.DUMMYFUNCTION("""COMPUTED_VALUE"""),0.05)</f>
        <v>0.05</v>
      </c>
      <c r="C341" s="1">
        <f>IFERROR(__xludf.DUMMYFUNCTION("""COMPUTED_VALUE"""),0.05)</f>
        <v>0.05</v>
      </c>
      <c r="D341" s="1">
        <f>IFERROR(__xludf.DUMMYFUNCTION("""COMPUTED_VALUE"""),0.04)</f>
        <v>0.04</v>
      </c>
      <c r="E341" s="1">
        <f>IFERROR(__xludf.DUMMYFUNCTION("""COMPUTED_VALUE"""),0.04)</f>
        <v>0.04</v>
      </c>
      <c r="F341" s="1">
        <f>IFERROR(__xludf.DUMMYFUNCTION("""COMPUTED_VALUE"""),33000.0)</f>
        <v>33000</v>
      </c>
      <c r="G341" s="2" t="s">
        <v>12</v>
      </c>
    </row>
    <row r="342">
      <c r="A342" s="3">
        <f>IFERROR(__xludf.DUMMYFUNCTION("""COMPUTED_VALUE"""),45127.66666666667)</f>
        <v>45127.66667</v>
      </c>
      <c r="B342" s="1">
        <f>IFERROR(__xludf.DUMMYFUNCTION("""COMPUTED_VALUE"""),0.05)</f>
        <v>0.05</v>
      </c>
      <c r="C342" s="1">
        <f>IFERROR(__xludf.DUMMYFUNCTION("""COMPUTED_VALUE"""),0.05)</f>
        <v>0.05</v>
      </c>
      <c r="D342" s="1">
        <f>IFERROR(__xludf.DUMMYFUNCTION("""COMPUTED_VALUE"""),0.04)</f>
        <v>0.04</v>
      </c>
      <c r="E342" s="1">
        <f>IFERROR(__xludf.DUMMYFUNCTION("""COMPUTED_VALUE"""),0.04)</f>
        <v>0.04</v>
      </c>
      <c r="F342" s="1">
        <f>IFERROR(__xludf.DUMMYFUNCTION("""COMPUTED_VALUE"""),281000.0)</f>
        <v>281000</v>
      </c>
      <c r="G342" s="2" t="s">
        <v>12</v>
      </c>
    </row>
    <row r="343">
      <c r="A343" s="3">
        <f>IFERROR(__xludf.DUMMYFUNCTION("""COMPUTED_VALUE"""),45128.66666666667)</f>
        <v>45128.66667</v>
      </c>
      <c r="B343" s="1">
        <f>IFERROR(__xludf.DUMMYFUNCTION("""COMPUTED_VALUE"""),0.04)</f>
        <v>0.04</v>
      </c>
      <c r="C343" s="1">
        <f>IFERROR(__xludf.DUMMYFUNCTION("""COMPUTED_VALUE"""),0.05)</f>
        <v>0.05</v>
      </c>
      <c r="D343" s="1">
        <f>IFERROR(__xludf.DUMMYFUNCTION("""COMPUTED_VALUE"""),0.04)</f>
        <v>0.04</v>
      </c>
      <c r="E343" s="1">
        <f>IFERROR(__xludf.DUMMYFUNCTION("""COMPUTED_VALUE"""),0.05)</f>
        <v>0.05</v>
      </c>
      <c r="F343" s="1">
        <f>IFERROR(__xludf.DUMMYFUNCTION("""COMPUTED_VALUE"""),11000.0)</f>
        <v>11000</v>
      </c>
      <c r="G343" s="2" t="s">
        <v>12</v>
      </c>
    </row>
    <row r="344">
      <c r="A344" s="3">
        <f>IFERROR(__xludf.DUMMYFUNCTION("""COMPUTED_VALUE"""),45131.66666666667)</f>
        <v>45131.66667</v>
      </c>
      <c r="B344" s="1">
        <f>IFERROR(__xludf.DUMMYFUNCTION("""COMPUTED_VALUE"""),0.05)</f>
        <v>0.05</v>
      </c>
      <c r="C344" s="1">
        <f>IFERROR(__xludf.DUMMYFUNCTION("""COMPUTED_VALUE"""),0.05)</f>
        <v>0.05</v>
      </c>
      <c r="D344" s="1">
        <f>IFERROR(__xludf.DUMMYFUNCTION("""COMPUTED_VALUE"""),0.05)</f>
        <v>0.05</v>
      </c>
      <c r="E344" s="1">
        <f>IFERROR(__xludf.DUMMYFUNCTION("""COMPUTED_VALUE"""),0.05)</f>
        <v>0.05</v>
      </c>
      <c r="F344" s="1">
        <f>IFERROR(__xludf.DUMMYFUNCTION("""COMPUTED_VALUE"""),110000.0)</f>
        <v>110000</v>
      </c>
      <c r="G344" s="2" t="s">
        <v>12</v>
      </c>
    </row>
    <row r="345">
      <c r="A345" s="3">
        <f>IFERROR(__xludf.DUMMYFUNCTION("""COMPUTED_VALUE"""),45132.66666666667)</f>
        <v>45132.66667</v>
      </c>
      <c r="B345" s="1">
        <f>IFERROR(__xludf.DUMMYFUNCTION("""COMPUTED_VALUE"""),0.05)</f>
        <v>0.05</v>
      </c>
      <c r="C345" s="1">
        <f>IFERROR(__xludf.DUMMYFUNCTION("""COMPUTED_VALUE"""),0.05)</f>
        <v>0.05</v>
      </c>
      <c r="D345" s="1">
        <f>IFERROR(__xludf.DUMMYFUNCTION("""COMPUTED_VALUE"""),0.05)</f>
        <v>0.05</v>
      </c>
      <c r="E345" s="1">
        <f>IFERROR(__xludf.DUMMYFUNCTION("""COMPUTED_VALUE"""),0.05)</f>
        <v>0.05</v>
      </c>
      <c r="F345" s="1">
        <f>IFERROR(__xludf.DUMMYFUNCTION("""COMPUTED_VALUE"""),118520.0)</f>
        <v>118520</v>
      </c>
      <c r="G345" s="2" t="s">
        <v>12</v>
      </c>
    </row>
    <row r="346">
      <c r="A346" s="3">
        <f>IFERROR(__xludf.DUMMYFUNCTION("""COMPUTED_VALUE"""),45133.66666666667)</f>
        <v>45133.66667</v>
      </c>
      <c r="B346" s="1">
        <f>IFERROR(__xludf.DUMMYFUNCTION("""COMPUTED_VALUE"""),0.05)</f>
        <v>0.05</v>
      </c>
      <c r="C346" s="1">
        <f>IFERROR(__xludf.DUMMYFUNCTION("""COMPUTED_VALUE"""),0.05)</f>
        <v>0.05</v>
      </c>
      <c r="D346" s="1">
        <f>IFERROR(__xludf.DUMMYFUNCTION("""COMPUTED_VALUE"""),0.05)</f>
        <v>0.05</v>
      </c>
      <c r="E346" s="1">
        <f>IFERROR(__xludf.DUMMYFUNCTION("""COMPUTED_VALUE"""),0.05)</f>
        <v>0.05</v>
      </c>
      <c r="F346" s="1">
        <f>IFERROR(__xludf.DUMMYFUNCTION("""COMPUTED_VALUE"""),190000.0)</f>
        <v>190000</v>
      </c>
      <c r="G346" s="2" t="s">
        <v>12</v>
      </c>
    </row>
    <row r="347">
      <c r="A347" s="3">
        <f>IFERROR(__xludf.DUMMYFUNCTION("""COMPUTED_VALUE"""),45134.66666666667)</f>
        <v>45134.66667</v>
      </c>
      <c r="B347" s="1">
        <f>IFERROR(__xludf.DUMMYFUNCTION("""COMPUTED_VALUE"""),0.05)</f>
        <v>0.05</v>
      </c>
      <c r="C347" s="1">
        <f>IFERROR(__xludf.DUMMYFUNCTION("""COMPUTED_VALUE"""),0.05)</f>
        <v>0.05</v>
      </c>
      <c r="D347" s="1">
        <f>IFERROR(__xludf.DUMMYFUNCTION("""COMPUTED_VALUE"""),0.05)</f>
        <v>0.05</v>
      </c>
      <c r="E347" s="1">
        <f>IFERROR(__xludf.DUMMYFUNCTION("""COMPUTED_VALUE"""),0.05)</f>
        <v>0.05</v>
      </c>
      <c r="F347" s="1">
        <f>IFERROR(__xludf.DUMMYFUNCTION("""COMPUTED_VALUE"""),1000.0)</f>
        <v>1000</v>
      </c>
      <c r="G347" s="2" t="s">
        <v>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IFERROR(__xludf.DUMMYFUNCTION("GOOGLEFINANCE(""UNA"",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IFERROR(__xludf.DUMMYFUNCTION("""COMPUTED_VALUE"""),44564.73611111111)</f>
        <v>44564.73611</v>
      </c>
      <c r="B2" s="1">
        <f>IFERROR(__xludf.DUMMYFUNCTION("""COMPUTED_VALUE"""),47.47)</f>
        <v>47.47</v>
      </c>
      <c r="C2" s="1">
        <f>IFERROR(__xludf.DUMMYFUNCTION("""COMPUTED_VALUE"""),47.47)</f>
        <v>47.47</v>
      </c>
      <c r="D2" s="1">
        <f>IFERROR(__xludf.DUMMYFUNCTION("""COMPUTED_VALUE"""),46.94)</f>
        <v>46.94</v>
      </c>
      <c r="E2" s="1">
        <f>IFERROR(__xludf.DUMMYFUNCTION("""COMPUTED_VALUE"""),47.31)</f>
        <v>47.31</v>
      </c>
      <c r="F2" s="1">
        <f>IFERROR(__xludf.DUMMYFUNCTION("""COMPUTED_VALUE"""),1303603.0)</f>
        <v>1303603</v>
      </c>
      <c r="G2" s="2" t="s">
        <v>13</v>
      </c>
    </row>
    <row r="3">
      <c r="A3" s="3">
        <f>IFERROR(__xludf.DUMMYFUNCTION("""COMPUTED_VALUE"""),44565.73611111111)</f>
        <v>44565.73611</v>
      </c>
      <c r="B3" s="1">
        <f>IFERROR(__xludf.DUMMYFUNCTION("""COMPUTED_VALUE"""),47.5)</f>
        <v>47.5</v>
      </c>
      <c r="C3" s="1">
        <f>IFERROR(__xludf.DUMMYFUNCTION("""COMPUTED_VALUE"""),47.93)</f>
        <v>47.93</v>
      </c>
      <c r="D3" s="1">
        <f>IFERROR(__xludf.DUMMYFUNCTION("""COMPUTED_VALUE"""),47.21)</f>
        <v>47.21</v>
      </c>
      <c r="E3" s="1">
        <f>IFERROR(__xludf.DUMMYFUNCTION("""COMPUTED_VALUE"""),47.92)</f>
        <v>47.92</v>
      </c>
      <c r="F3" s="1">
        <f>IFERROR(__xludf.DUMMYFUNCTION("""COMPUTED_VALUE"""),1765588.0)</f>
        <v>1765588</v>
      </c>
      <c r="G3" s="2" t="s">
        <v>13</v>
      </c>
    </row>
    <row r="4">
      <c r="A4" s="3">
        <f>IFERROR(__xludf.DUMMYFUNCTION("""COMPUTED_VALUE"""),44566.73611111111)</f>
        <v>44566.73611</v>
      </c>
      <c r="B4" s="1">
        <f>IFERROR(__xludf.DUMMYFUNCTION("""COMPUTED_VALUE"""),47.61)</f>
        <v>47.61</v>
      </c>
      <c r="C4" s="1">
        <f>IFERROR(__xludf.DUMMYFUNCTION("""COMPUTED_VALUE"""),47.65)</f>
        <v>47.65</v>
      </c>
      <c r="D4" s="1">
        <f>IFERROR(__xludf.DUMMYFUNCTION("""COMPUTED_VALUE"""),47.24)</f>
        <v>47.24</v>
      </c>
      <c r="E4" s="1">
        <f>IFERROR(__xludf.DUMMYFUNCTION("""COMPUTED_VALUE"""),47.37)</f>
        <v>47.37</v>
      </c>
      <c r="F4" s="1">
        <f>IFERROR(__xludf.DUMMYFUNCTION("""COMPUTED_VALUE"""),1431121.0)</f>
        <v>1431121</v>
      </c>
      <c r="G4" s="2" t="s">
        <v>13</v>
      </c>
    </row>
    <row r="5">
      <c r="A5" s="3">
        <f>IFERROR(__xludf.DUMMYFUNCTION("""COMPUTED_VALUE"""),44567.73611111111)</f>
        <v>44567.73611</v>
      </c>
      <c r="B5" s="1">
        <f>IFERROR(__xludf.DUMMYFUNCTION("""COMPUTED_VALUE"""),47.06)</f>
        <v>47.06</v>
      </c>
      <c r="C5" s="1">
        <f>IFERROR(__xludf.DUMMYFUNCTION("""COMPUTED_VALUE"""),47.19)</f>
        <v>47.19</v>
      </c>
      <c r="D5" s="1">
        <f>IFERROR(__xludf.DUMMYFUNCTION("""COMPUTED_VALUE"""),46.72)</f>
        <v>46.72</v>
      </c>
      <c r="E5" s="1">
        <f>IFERROR(__xludf.DUMMYFUNCTION("""COMPUTED_VALUE"""),46.99)</f>
        <v>46.99</v>
      </c>
      <c r="F5" s="1">
        <f>IFERROR(__xludf.DUMMYFUNCTION("""COMPUTED_VALUE"""),1673254.0)</f>
        <v>1673254</v>
      </c>
      <c r="G5" s="2" t="s">
        <v>13</v>
      </c>
    </row>
    <row r="6">
      <c r="A6" s="3">
        <f>IFERROR(__xludf.DUMMYFUNCTION("""COMPUTED_VALUE"""),44568.73611111111)</f>
        <v>44568.73611</v>
      </c>
      <c r="B6" s="1">
        <f>IFERROR(__xludf.DUMMYFUNCTION("""COMPUTED_VALUE"""),46.81)</f>
        <v>46.81</v>
      </c>
      <c r="C6" s="1">
        <f>IFERROR(__xludf.DUMMYFUNCTION("""COMPUTED_VALUE"""),47.2)</f>
        <v>47.2</v>
      </c>
      <c r="D6" s="1">
        <f>IFERROR(__xludf.DUMMYFUNCTION("""COMPUTED_VALUE"""),46.71)</f>
        <v>46.71</v>
      </c>
      <c r="E6" s="1">
        <f>IFERROR(__xludf.DUMMYFUNCTION("""COMPUTED_VALUE"""),47.2)</f>
        <v>47.2</v>
      </c>
      <c r="F6" s="1">
        <f>IFERROR(__xludf.DUMMYFUNCTION("""COMPUTED_VALUE"""),1487969.0)</f>
        <v>1487969</v>
      </c>
      <c r="G6" s="2" t="s">
        <v>13</v>
      </c>
    </row>
    <row r="7">
      <c r="A7" s="3">
        <f>IFERROR(__xludf.DUMMYFUNCTION("""COMPUTED_VALUE"""),44571.73611111111)</f>
        <v>44571.73611</v>
      </c>
      <c r="B7" s="1">
        <f>IFERROR(__xludf.DUMMYFUNCTION("""COMPUTED_VALUE"""),47.47)</f>
        <v>47.47</v>
      </c>
      <c r="C7" s="1">
        <f>IFERROR(__xludf.DUMMYFUNCTION("""COMPUTED_VALUE"""),47.74)</f>
        <v>47.74</v>
      </c>
      <c r="D7" s="1">
        <f>IFERROR(__xludf.DUMMYFUNCTION("""COMPUTED_VALUE"""),47.03)</f>
        <v>47.03</v>
      </c>
      <c r="E7" s="1">
        <f>IFERROR(__xludf.DUMMYFUNCTION("""COMPUTED_VALUE"""),47.64)</f>
        <v>47.64</v>
      </c>
      <c r="F7" s="1">
        <f>IFERROR(__xludf.DUMMYFUNCTION("""COMPUTED_VALUE"""),2363208.0)</f>
        <v>2363208</v>
      </c>
      <c r="G7" s="2" t="s">
        <v>13</v>
      </c>
    </row>
    <row r="8">
      <c r="A8" s="3">
        <f>IFERROR(__xludf.DUMMYFUNCTION("""COMPUTED_VALUE"""),44572.73611111111)</f>
        <v>44572.73611</v>
      </c>
      <c r="B8" s="1">
        <f>IFERROR(__xludf.DUMMYFUNCTION("""COMPUTED_VALUE"""),47.45)</f>
        <v>47.45</v>
      </c>
      <c r="C8" s="1">
        <f>IFERROR(__xludf.DUMMYFUNCTION("""COMPUTED_VALUE"""),47.67)</f>
        <v>47.67</v>
      </c>
      <c r="D8" s="1">
        <f>IFERROR(__xludf.DUMMYFUNCTION("""COMPUTED_VALUE"""),46.97)</f>
        <v>46.97</v>
      </c>
      <c r="E8" s="1">
        <f>IFERROR(__xludf.DUMMYFUNCTION("""COMPUTED_VALUE"""),47.21)</f>
        <v>47.21</v>
      </c>
      <c r="F8" s="1">
        <f>IFERROR(__xludf.DUMMYFUNCTION("""COMPUTED_VALUE"""),1911594.0)</f>
        <v>1911594</v>
      </c>
      <c r="G8" s="2" t="s">
        <v>13</v>
      </c>
    </row>
    <row r="9">
      <c r="A9" s="3">
        <f>IFERROR(__xludf.DUMMYFUNCTION("""COMPUTED_VALUE"""),44573.73611111111)</f>
        <v>44573.73611</v>
      </c>
      <c r="B9" s="1">
        <f>IFERROR(__xludf.DUMMYFUNCTION("""COMPUTED_VALUE"""),47.47)</f>
        <v>47.47</v>
      </c>
      <c r="C9" s="1">
        <f>IFERROR(__xludf.DUMMYFUNCTION("""COMPUTED_VALUE"""),47.49)</f>
        <v>47.49</v>
      </c>
      <c r="D9" s="1">
        <f>IFERROR(__xludf.DUMMYFUNCTION("""COMPUTED_VALUE"""),46.72)</f>
        <v>46.72</v>
      </c>
      <c r="E9" s="1">
        <f>IFERROR(__xludf.DUMMYFUNCTION("""COMPUTED_VALUE"""),46.82)</f>
        <v>46.82</v>
      </c>
      <c r="F9" s="1">
        <f>IFERROR(__xludf.DUMMYFUNCTION("""COMPUTED_VALUE"""),1698694.0)</f>
        <v>1698694</v>
      </c>
      <c r="G9" s="2" t="s">
        <v>13</v>
      </c>
    </row>
    <row r="10">
      <c r="A10" s="3">
        <f>IFERROR(__xludf.DUMMYFUNCTION("""COMPUTED_VALUE"""),44574.73611111111)</f>
        <v>44574.73611</v>
      </c>
      <c r="B10" s="1">
        <f>IFERROR(__xludf.DUMMYFUNCTION("""COMPUTED_VALUE"""),46.66)</f>
        <v>46.66</v>
      </c>
      <c r="C10" s="1">
        <f>IFERROR(__xludf.DUMMYFUNCTION("""COMPUTED_VALUE"""),46.99)</f>
        <v>46.99</v>
      </c>
      <c r="D10" s="1">
        <f>IFERROR(__xludf.DUMMYFUNCTION("""COMPUTED_VALUE"""),46.47)</f>
        <v>46.47</v>
      </c>
      <c r="E10" s="1">
        <f>IFERROR(__xludf.DUMMYFUNCTION("""COMPUTED_VALUE"""),46.83)</f>
        <v>46.83</v>
      </c>
      <c r="F10" s="1">
        <f>IFERROR(__xludf.DUMMYFUNCTION("""COMPUTED_VALUE"""),1534857.0)</f>
        <v>1534857</v>
      </c>
      <c r="G10" s="2" t="s">
        <v>13</v>
      </c>
    </row>
    <row r="11">
      <c r="A11" s="3">
        <f>IFERROR(__xludf.DUMMYFUNCTION("""COMPUTED_VALUE"""),44575.73611111111)</f>
        <v>44575.73611</v>
      </c>
      <c r="B11" s="1">
        <f>IFERROR(__xludf.DUMMYFUNCTION("""COMPUTED_VALUE"""),46.52)</f>
        <v>46.52</v>
      </c>
      <c r="C11" s="1">
        <f>IFERROR(__xludf.DUMMYFUNCTION("""COMPUTED_VALUE"""),47.23)</f>
        <v>47.23</v>
      </c>
      <c r="D11" s="1">
        <f>IFERROR(__xludf.DUMMYFUNCTION("""COMPUTED_VALUE"""),46.47)</f>
        <v>46.47</v>
      </c>
      <c r="E11" s="1">
        <f>IFERROR(__xludf.DUMMYFUNCTION("""COMPUTED_VALUE"""),47.22)</f>
        <v>47.22</v>
      </c>
      <c r="F11" s="1">
        <f>IFERROR(__xludf.DUMMYFUNCTION("""COMPUTED_VALUE"""),2098167.0)</f>
        <v>2098167</v>
      </c>
      <c r="G11" s="2" t="s">
        <v>13</v>
      </c>
    </row>
    <row r="12">
      <c r="A12" s="3">
        <f>IFERROR(__xludf.DUMMYFUNCTION("""COMPUTED_VALUE"""),44578.73611111111)</f>
        <v>44578.73611</v>
      </c>
      <c r="B12" s="1">
        <f>IFERROR(__xludf.DUMMYFUNCTION("""COMPUTED_VALUE"""),45.5)</f>
        <v>45.5</v>
      </c>
      <c r="C12" s="1">
        <f>IFERROR(__xludf.DUMMYFUNCTION("""COMPUTED_VALUE"""),45.5)</f>
        <v>45.5</v>
      </c>
      <c r="D12" s="1">
        <f>IFERROR(__xludf.DUMMYFUNCTION("""COMPUTED_VALUE"""),43.27)</f>
        <v>43.27</v>
      </c>
      <c r="E12" s="1">
        <f>IFERROR(__xludf.DUMMYFUNCTION("""COMPUTED_VALUE"""),44.03)</f>
        <v>44.03</v>
      </c>
      <c r="F12" s="1">
        <f>IFERROR(__xludf.DUMMYFUNCTION("""COMPUTED_VALUE"""),9800080.0)</f>
        <v>9800080</v>
      </c>
      <c r="G12" s="2" t="s">
        <v>13</v>
      </c>
    </row>
    <row r="13">
      <c r="A13" s="3">
        <f>IFERROR(__xludf.DUMMYFUNCTION("""COMPUTED_VALUE"""),44579.73611111111)</f>
        <v>44579.73611</v>
      </c>
      <c r="B13" s="1">
        <f>IFERROR(__xludf.DUMMYFUNCTION("""COMPUTED_VALUE"""),44.0)</f>
        <v>44</v>
      </c>
      <c r="C13" s="1">
        <f>IFERROR(__xludf.DUMMYFUNCTION("""COMPUTED_VALUE"""),44.01)</f>
        <v>44.01</v>
      </c>
      <c r="D13" s="1">
        <f>IFERROR(__xludf.DUMMYFUNCTION("""COMPUTED_VALUE"""),42.28)</f>
        <v>42.28</v>
      </c>
      <c r="E13" s="1">
        <f>IFERROR(__xludf.DUMMYFUNCTION("""COMPUTED_VALUE"""),42.5)</f>
        <v>42.5</v>
      </c>
      <c r="F13" s="1">
        <f>IFERROR(__xludf.DUMMYFUNCTION("""COMPUTED_VALUE"""),9661857.0)</f>
        <v>9661857</v>
      </c>
      <c r="G13" s="2" t="s">
        <v>13</v>
      </c>
    </row>
    <row r="14">
      <c r="A14" s="3">
        <f>IFERROR(__xludf.DUMMYFUNCTION("""COMPUTED_VALUE"""),44580.73611111111)</f>
        <v>44580.73611</v>
      </c>
      <c r="B14" s="1">
        <f>IFERROR(__xludf.DUMMYFUNCTION("""COMPUTED_VALUE"""),41.81)</f>
        <v>41.81</v>
      </c>
      <c r="C14" s="1">
        <f>IFERROR(__xludf.DUMMYFUNCTION("""COMPUTED_VALUE"""),44.39)</f>
        <v>44.39</v>
      </c>
      <c r="D14" s="1">
        <f>IFERROR(__xludf.DUMMYFUNCTION("""COMPUTED_VALUE"""),41.71)</f>
        <v>41.71</v>
      </c>
      <c r="E14" s="1">
        <f>IFERROR(__xludf.DUMMYFUNCTION("""COMPUTED_VALUE"""),44.39)</f>
        <v>44.39</v>
      </c>
      <c r="F14" s="1">
        <f>IFERROR(__xludf.DUMMYFUNCTION("""COMPUTED_VALUE"""),9100968.0)</f>
        <v>9100968</v>
      </c>
      <c r="G14" s="2" t="s">
        <v>13</v>
      </c>
    </row>
    <row r="15">
      <c r="A15" s="3">
        <f>IFERROR(__xludf.DUMMYFUNCTION("""COMPUTED_VALUE"""),44581.73611111111)</f>
        <v>44581.73611</v>
      </c>
      <c r="B15" s="1">
        <f>IFERROR(__xludf.DUMMYFUNCTION("""COMPUTED_VALUE"""),44.8)</f>
        <v>44.8</v>
      </c>
      <c r="C15" s="1">
        <f>IFERROR(__xludf.DUMMYFUNCTION("""COMPUTED_VALUE"""),45.08)</f>
        <v>45.08</v>
      </c>
      <c r="D15" s="1">
        <f>IFERROR(__xludf.DUMMYFUNCTION("""COMPUTED_VALUE"""),43.93)</f>
        <v>43.93</v>
      </c>
      <c r="E15" s="1">
        <f>IFERROR(__xludf.DUMMYFUNCTION("""COMPUTED_VALUE"""),44.05)</f>
        <v>44.05</v>
      </c>
      <c r="F15" s="1">
        <f>IFERROR(__xludf.DUMMYFUNCTION("""COMPUTED_VALUE"""),4133716.0)</f>
        <v>4133716</v>
      </c>
      <c r="G15" s="2" t="s">
        <v>13</v>
      </c>
    </row>
    <row r="16">
      <c r="A16" s="3">
        <f>IFERROR(__xludf.DUMMYFUNCTION("""COMPUTED_VALUE"""),44582.73611111111)</f>
        <v>44582.73611</v>
      </c>
      <c r="B16" s="1">
        <f>IFERROR(__xludf.DUMMYFUNCTION("""COMPUTED_VALUE"""),43.58)</f>
        <v>43.58</v>
      </c>
      <c r="C16" s="1">
        <f>IFERROR(__xludf.DUMMYFUNCTION("""COMPUTED_VALUE"""),44.25)</f>
        <v>44.25</v>
      </c>
      <c r="D16" s="1">
        <f>IFERROR(__xludf.DUMMYFUNCTION("""COMPUTED_VALUE"""),43.44)</f>
        <v>43.44</v>
      </c>
      <c r="E16" s="1">
        <f>IFERROR(__xludf.DUMMYFUNCTION("""COMPUTED_VALUE"""),43.97)</f>
        <v>43.97</v>
      </c>
      <c r="F16" s="1">
        <f>IFERROR(__xludf.DUMMYFUNCTION("""COMPUTED_VALUE"""),3517298.0)</f>
        <v>3517298</v>
      </c>
      <c r="G16" s="2" t="s">
        <v>13</v>
      </c>
    </row>
    <row r="17">
      <c r="A17" s="3">
        <f>IFERROR(__xludf.DUMMYFUNCTION("""COMPUTED_VALUE"""),44585.73611111111)</f>
        <v>44585.73611</v>
      </c>
      <c r="B17" s="1">
        <f>IFERROR(__xludf.DUMMYFUNCTION("""COMPUTED_VALUE"""),46.55)</f>
        <v>46.55</v>
      </c>
      <c r="C17" s="1">
        <f>IFERROR(__xludf.DUMMYFUNCTION("""COMPUTED_VALUE"""),47.44)</f>
        <v>47.44</v>
      </c>
      <c r="D17" s="1">
        <f>IFERROR(__xludf.DUMMYFUNCTION("""COMPUTED_VALUE"""),46.05)</f>
        <v>46.05</v>
      </c>
      <c r="E17" s="1">
        <f>IFERROR(__xludf.DUMMYFUNCTION("""COMPUTED_VALUE"""),46.95)</f>
        <v>46.95</v>
      </c>
      <c r="F17" s="1">
        <f>IFERROR(__xludf.DUMMYFUNCTION("""COMPUTED_VALUE"""),1.219238E7)</f>
        <v>12192380</v>
      </c>
      <c r="G17" s="2" t="s">
        <v>13</v>
      </c>
    </row>
    <row r="18">
      <c r="A18" s="3">
        <f>IFERROR(__xludf.DUMMYFUNCTION("""COMPUTED_VALUE"""),44586.73611111111)</f>
        <v>44586.73611</v>
      </c>
      <c r="B18" s="1">
        <f>IFERROR(__xludf.DUMMYFUNCTION("""COMPUTED_VALUE"""),46.91)</f>
        <v>46.91</v>
      </c>
      <c r="C18" s="1">
        <f>IFERROR(__xludf.DUMMYFUNCTION("""COMPUTED_VALUE"""),47.32)</f>
        <v>47.32</v>
      </c>
      <c r="D18" s="1">
        <f>IFERROR(__xludf.DUMMYFUNCTION("""COMPUTED_VALUE"""),46.46)</f>
        <v>46.46</v>
      </c>
      <c r="E18" s="1">
        <f>IFERROR(__xludf.DUMMYFUNCTION("""COMPUTED_VALUE"""),47.02)</f>
        <v>47.02</v>
      </c>
      <c r="F18" s="1">
        <f>IFERROR(__xludf.DUMMYFUNCTION("""COMPUTED_VALUE"""),5333658.0)</f>
        <v>5333658</v>
      </c>
      <c r="G18" s="2" t="s">
        <v>13</v>
      </c>
    </row>
    <row r="19">
      <c r="A19" s="3">
        <f>IFERROR(__xludf.DUMMYFUNCTION("""COMPUTED_VALUE"""),44587.73611111111)</f>
        <v>44587.73611</v>
      </c>
      <c r="B19" s="1">
        <f>IFERROR(__xludf.DUMMYFUNCTION("""COMPUTED_VALUE"""),46.97)</f>
        <v>46.97</v>
      </c>
      <c r="C19" s="1">
        <f>IFERROR(__xludf.DUMMYFUNCTION("""COMPUTED_VALUE"""),47.19)</f>
        <v>47.19</v>
      </c>
      <c r="D19" s="1">
        <f>IFERROR(__xludf.DUMMYFUNCTION("""COMPUTED_VALUE"""),45.77)</f>
        <v>45.77</v>
      </c>
      <c r="E19" s="1">
        <f>IFERROR(__xludf.DUMMYFUNCTION("""COMPUTED_VALUE"""),45.9)</f>
        <v>45.9</v>
      </c>
      <c r="F19" s="1">
        <f>IFERROR(__xludf.DUMMYFUNCTION("""COMPUTED_VALUE"""),3078809.0)</f>
        <v>3078809</v>
      </c>
      <c r="G19" s="2" t="s">
        <v>13</v>
      </c>
    </row>
    <row r="20">
      <c r="A20" s="3">
        <f>IFERROR(__xludf.DUMMYFUNCTION("""COMPUTED_VALUE"""),44588.73611111111)</f>
        <v>44588.73611</v>
      </c>
      <c r="B20" s="1">
        <f>IFERROR(__xludf.DUMMYFUNCTION("""COMPUTED_VALUE"""),45.8)</f>
        <v>45.8</v>
      </c>
      <c r="C20" s="1">
        <f>IFERROR(__xludf.DUMMYFUNCTION("""COMPUTED_VALUE"""),46.63)</f>
        <v>46.63</v>
      </c>
      <c r="D20" s="1">
        <f>IFERROR(__xludf.DUMMYFUNCTION("""COMPUTED_VALUE"""),45.53)</f>
        <v>45.53</v>
      </c>
      <c r="E20" s="1">
        <f>IFERROR(__xludf.DUMMYFUNCTION("""COMPUTED_VALUE"""),46.21)</f>
        <v>46.21</v>
      </c>
      <c r="F20" s="1">
        <f>IFERROR(__xludf.DUMMYFUNCTION("""COMPUTED_VALUE"""),3548311.0)</f>
        <v>3548311</v>
      </c>
      <c r="G20" s="2" t="s">
        <v>13</v>
      </c>
    </row>
    <row r="21">
      <c r="A21" s="3">
        <f>IFERROR(__xludf.DUMMYFUNCTION("""COMPUTED_VALUE"""),44589.73611111111)</f>
        <v>44589.73611</v>
      </c>
      <c r="B21" s="1">
        <f>IFERROR(__xludf.DUMMYFUNCTION("""COMPUTED_VALUE"""),46.0)</f>
        <v>46</v>
      </c>
      <c r="C21" s="1">
        <f>IFERROR(__xludf.DUMMYFUNCTION("""COMPUTED_VALUE"""),46.07)</f>
        <v>46.07</v>
      </c>
      <c r="D21" s="1">
        <f>IFERROR(__xludf.DUMMYFUNCTION("""COMPUTED_VALUE"""),45.18)</f>
        <v>45.18</v>
      </c>
      <c r="E21" s="1">
        <f>IFERROR(__xludf.DUMMYFUNCTION("""COMPUTED_VALUE"""),45.59)</f>
        <v>45.59</v>
      </c>
      <c r="F21" s="1">
        <f>IFERROR(__xludf.DUMMYFUNCTION("""COMPUTED_VALUE"""),2247839.0)</f>
        <v>2247839</v>
      </c>
      <c r="G21" s="2" t="s">
        <v>13</v>
      </c>
    </row>
    <row r="22">
      <c r="A22" s="3">
        <f>IFERROR(__xludf.DUMMYFUNCTION("""COMPUTED_VALUE"""),44592.73611111111)</f>
        <v>44592.73611</v>
      </c>
      <c r="B22" s="1">
        <f>IFERROR(__xludf.DUMMYFUNCTION("""COMPUTED_VALUE"""),45.86)</f>
        <v>45.86</v>
      </c>
      <c r="C22" s="1">
        <f>IFERROR(__xludf.DUMMYFUNCTION("""COMPUTED_VALUE"""),46.08)</f>
        <v>46.08</v>
      </c>
      <c r="D22" s="1">
        <f>IFERROR(__xludf.DUMMYFUNCTION("""COMPUTED_VALUE"""),45.23)</f>
        <v>45.23</v>
      </c>
      <c r="E22" s="1">
        <f>IFERROR(__xludf.DUMMYFUNCTION("""COMPUTED_VALUE"""),45.38)</f>
        <v>45.38</v>
      </c>
      <c r="F22" s="1">
        <f>IFERROR(__xludf.DUMMYFUNCTION("""COMPUTED_VALUE"""),2694411.0)</f>
        <v>2694411</v>
      </c>
      <c r="G22" s="2" t="s">
        <v>13</v>
      </c>
    </row>
    <row r="23">
      <c r="A23" s="3">
        <f>IFERROR(__xludf.DUMMYFUNCTION("""COMPUTED_VALUE"""),44593.73611111111)</f>
        <v>44593.73611</v>
      </c>
      <c r="B23" s="1">
        <f>IFERROR(__xludf.DUMMYFUNCTION("""COMPUTED_VALUE"""),45.5)</f>
        <v>45.5</v>
      </c>
      <c r="C23" s="1">
        <f>IFERROR(__xludf.DUMMYFUNCTION("""COMPUTED_VALUE"""),45.63)</f>
        <v>45.63</v>
      </c>
      <c r="D23" s="1">
        <f>IFERROR(__xludf.DUMMYFUNCTION("""COMPUTED_VALUE"""),44.95)</f>
        <v>44.95</v>
      </c>
      <c r="E23" s="1">
        <f>IFERROR(__xludf.DUMMYFUNCTION("""COMPUTED_VALUE"""),45.0)</f>
        <v>45</v>
      </c>
      <c r="F23" s="1">
        <f>IFERROR(__xludf.DUMMYFUNCTION("""COMPUTED_VALUE"""),2633303.0)</f>
        <v>2633303</v>
      </c>
      <c r="G23" s="2" t="s">
        <v>13</v>
      </c>
    </row>
    <row r="24">
      <c r="A24" s="3">
        <f>IFERROR(__xludf.DUMMYFUNCTION("""COMPUTED_VALUE"""),44594.73611111111)</f>
        <v>44594.73611</v>
      </c>
      <c r="B24" s="1">
        <f>IFERROR(__xludf.DUMMYFUNCTION("""COMPUTED_VALUE"""),45.14)</f>
        <v>45.14</v>
      </c>
      <c r="C24" s="1">
        <f>IFERROR(__xludf.DUMMYFUNCTION("""COMPUTED_VALUE"""),45.61)</f>
        <v>45.61</v>
      </c>
      <c r="D24" s="1">
        <f>IFERROR(__xludf.DUMMYFUNCTION("""COMPUTED_VALUE"""),44.69)</f>
        <v>44.69</v>
      </c>
      <c r="E24" s="1">
        <f>IFERROR(__xludf.DUMMYFUNCTION("""COMPUTED_VALUE"""),45.4)</f>
        <v>45.4</v>
      </c>
      <c r="F24" s="1">
        <f>IFERROR(__xludf.DUMMYFUNCTION("""COMPUTED_VALUE"""),2148029.0)</f>
        <v>2148029</v>
      </c>
      <c r="G24" s="2" t="s">
        <v>13</v>
      </c>
    </row>
    <row r="25">
      <c r="A25" s="3">
        <f>IFERROR(__xludf.DUMMYFUNCTION("""COMPUTED_VALUE"""),44595.73611111111)</f>
        <v>44595.73611</v>
      </c>
      <c r="B25" s="1">
        <f>IFERROR(__xludf.DUMMYFUNCTION("""COMPUTED_VALUE"""),45.49)</f>
        <v>45.49</v>
      </c>
      <c r="C25" s="1">
        <f>IFERROR(__xludf.DUMMYFUNCTION("""COMPUTED_VALUE"""),45.92)</f>
        <v>45.92</v>
      </c>
      <c r="D25" s="1">
        <f>IFERROR(__xludf.DUMMYFUNCTION("""COMPUTED_VALUE"""),45.17)</f>
        <v>45.17</v>
      </c>
      <c r="E25" s="1">
        <f>IFERROR(__xludf.DUMMYFUNCTION("""COMPUTED_VALUE"""),45.33)</f>
        <v>45.33</v>
      </c>
      <c r="F25" s="1">
        <f>IFERROR(__xludf.DUMMYFUNCTION("""COMPUTED_VALUE"""),2759966.0)</f>
        <v>2759966</v>
      </c>
      <c r="G25" s="2" t="s">
        <v>13</v>
      </c>
    </row>
    <row r="26">
      <c r="A26" s="3">
        <f>IFERROR(__xludf.DUMMYFUNCTION("""COMPUTED_VALUE"""),44596.73611111111)</f>
        <v>44596.73611</v>
      </c>
      <c r="B26" s="1">
        <f>IFERROR(__xludf.DUMMYFUNCTION("""COMPUTED_VALUE"""),45.29)</f>
        <v>45.29</v>
      </c>
      <c r="C26" s="1">
        <f>IFERROR(__xludf.DUMMYFUNCTION("""COMPUTED_VALUE"""),45.41)</f>
        <v>45.41</v>
      </c>
      <c r="D26" s="1">
        <f>IFERROR(__xludf.DUMMYFUNCTION("""COMPUTED_VALUE"""),44.89)</f>
        <v>44.89</v>
      </c>
      <c r="E26" s="1">
        <f>IFERROR(__xludf.DUMMYFUNCTION("""COMPUTED_VALUE"""),45.11)</f>
        <v>45.11</v>
      </c>
      <c r="F26" s="1">
        <f>IFERROR(__xludf.DUMMYFUNCTION("""COMPUTED_VALUE"""),2124674.0)</f>
        <v>2124674</v>
      </c>
      <c r="G26" s="2" t="s">
        <v>13</v>
      </c>
    </row>
    <row r="27">
      <c r="A27" s="3">
        <f>IFERROR(__xludf.DUMMYFUNCTION("""COMPUTED_VALUE"""),44599.73611111111)</f>
        <v>44599.73611</v>
      </c>
      <c r="B27" s="1">
        <f>IFERROR(__xludf.DUMMYFUNCTION("""COMPUTED_VALUE"""),45.13)</f>
        <v>45.13</v>
      </c>
      <c r="C27" s="1">
        <f>IFERROR(__xludf.DUMMYFUNCTION("""COMPUTED_VALUE"""),45.82)</f>
        <v>45.82</v>
      </c>
      <c r="D27" s="1">
        <f>IFERROR(__xludf.DUMMYFUNCTION("""COMPUTED_VALUE"""),45.0)</f>
        <v>45</v>
      </c>
      <c r="E27" s="1">
        <f>IFERROR(__xludf.DUMMYFUNCTION("""COMPUTED_VALUE"""),45.64)</f>
        <v>45.64</v>
      </c>
      <c r="F27" s="1">
        <f>IFERROR(__xludf.DUMMYFUNCTION("""COMPUTED_VALUE"""),1686137.0)</f>
        <v>1686137</v>
      </c>
      <c r="G27" s="2" t="s">
        <v>13</v>
      </c>
    </row>
    <row r="28">
      <c r="A28" s="3">
        <f>IFERROR(__xludf.DUMMYFUNCTION("""COMPUTED_VALUE"""),44600.73611111111)</f>
        <v>44600.73611</v>
      </c>
      <c r="B28" s="1">
        <f>IFERROR(__xludf.DUMMYFUNCTION("""COMPUTED_VALUE"""),45.83)</f>
        <v>45.83</v>
      </c>
      <c r="C28" s="1">
        <f>IFERROR(__xludf.DUMMYFUNCTION("""COMPUTED_VALUE"""),46.14)</f>
        <v>46.14</v>
      </c>
      <c r="D28" s="1">
        <f>IFERROR(__xludf.DUMMYFUNCTION("""COMPUTED_VALUE"""),45.71)</f>
        <v>45.71</v>
      </c>
      <c r="E28" s="1">
        <f>IFERROR(__xludf.DUMMYFUNCTION("""COMPUTED_VALUE"""),46.02)</f>
        <v>46.02</v>
      </c>
      <c r="F28" s="1">
        <f>IFERROR(__xludf.DUMMYFUNCTION("""COMPUTED_VALUE"""),1971934.0)</f>
        <v>1971934</v>
      </c>
      <c r="G28" s="2" t="s">
        <v>13</v>
      </c>
    </row>
    <row r="29">
      <c r="A29" s="3">
        <f>IFERROR(__xludf.DUMMYFUNCTION("""COMPUTED_VALUE"""),44601.73611111111)</f>
        <v>44601.73611</v>
      </c>
      <c r="B29" s="1">
        <f>IFERROR(__xludf.DUMMYFUNCTION("""COMPUTED_VALUE"""),46.1)</f>
        <v>46.1</v>
      </c>
      <c r="C29" s="1">
        <f>IFERROR(__xludf.DUMMYFUNCTION("""COMPUTED_VALUE"""),46.37)</f>
        <v>46.37</v>
      </c>
      <c r="D29" s="1">
        <f>IFERROR(__xludf.DUMMYFUNCTION("""COMPUTED_VALUE"""),45.22)</f>
        <v>45.22</v>
      </c>
      <c r="E29" s="1">
        <f>IFERROR(__xludf.DUMMYFUNCTION("""COMPUTED_VALUE"""),45.37)</f>
        <v>45.37</v>
      </c>
      <c r="F29" s="1">
        <f>IFERROR(__xludf.DUMMYFUNCTION("""COMPUTED_VALUE"""),2563637.0)</f>
        <v>2563637</v>
      </c>
      <c r="G29" s="2" t="s">
        <v>13</v>
      </c>
    </row>
    <row r="30">
      <c r="A30" s="3">
        <f>IFERROR(__xludf.DUMMYFUNCTION("""COMPUTED_VALUE"""),44602.73611111111)</f>
        <v>44602.73611</v>
      </c>
      <c r="B30" s="1">
        <f>IFERROR(__xludf.DUMMYFUNCTION("""COMPUTED_VALUE"""),44.0)</f>
        <v>44</v>
      </c>
      <c r="C30" s="1">
        <f>IFERROR(__xludf.DUMMYFUNCTION("""COMPUTED_VALUE"""),45.24)</f>
        <v>45.24</v>
      </c>
      <c r="D30" s="1">
        <f>IFERROR(__xludf.DUMMYFUNCTION("""COMPUTED_VALUE"""),43.47)</f>
        <v>43.47</v>
      </c>
      <c r="E30" s="1">
        <f>IFERROR(__xludf.DUMMYFUNCTION("""COMPUTED_VALUE"""),44.79)</f>
        <v>44.79</v>
      </c>
      <c r="F30" s="1">
        <f>IFERROR(__xludf.DUMMYFUNCTION("""COMPUTED_VALUE"""),7124856.0)</f>
        <v>7124856</v>
      </c>
      <c r="G30" s="2" t="s">
        <v>13</v>
      </c>
    </row>
    <row r="31">
      <c r="A31" s="3">
        <f>IFERROR(__xludf.DUMMYFUNCTION("""COMPUTED_VALUE"""),44603.73611111111)</f>
        <v>44603.73611</v>
      </c>
      <c r="B31" s="1">
        <f>IFERROR(__xludf.DUMMYFUNCTION("""COMPUTED_VALUE"""),44.75)</f>
        <v>44.75</v>
      </c>
      <c r="C31" s="1">
        <f>IFERROR(__xludf.DUMMYFUNCTION("""COMPUTED_VALUE"""),46.95)</f>
        <v>46.95</v>
      </c>
      <c r="D31" s="1">
        <f>IFERROR(__xludf.DUMMYFUNCTION("""COMPUTED_VALUE"""),44.7)</f>
        <v>44.7</v>
      </c>
      <c r="E31" s="1">
        <f>IFERROR(__xludf.DUMMYFUNCTION("""COMPUTED_VALUE"""),46.66)</f>
        <v>46.66</v>
      </c>
      <c r="F31" s="1">
        <f>IFERROR(__xludf.DUMMYFUNCTION("""COMPUTED_VALUE"""),4676613.0)</f>
        <v>4676613</v>
      </c>
      <c r="G31" s="2" t="s">
        <v>13</v>
      </c>
    </row>
    <row r="32">
      <c r="A32" s="3">
        <f>IFERROR(__xludf.DUMMYFUNCTION("""COMPUTED_VALUE"""),44606.73611111111)</f>
        <v>44606.73611</v>
      </c>
      <c r="B32" s="1">
        <f>IFERROR(__xludf.DUMMYFUNCTION("""COMPUTED_VALUE"""),46.51)</f>
        <v>46.51</v>
      </c>
      <c r="C32" s="1">
        <f>IFERROR(__xludf.DUMMYFUNCTION("""COMPUTED_VALUE"""),46.55)</f>
        <v>46.55</v>
      </c>
      <c r="D32" s="1">
        <f>IFERROR(__xludf.DUMMYFUNCTION("""COMPUTED_VALUE"""),45.3)</f>
        <v>45.3</v>
      </c>
      <c r="E32" s="1">
        <f>IFERROR(__xludf.DUMMYFUNCTION("""COMPUTED_VALUE"""),45.59)</f>
        <v>45.59</v>
      </c>
      <c r="F32" s="1">
        <f>IFERROR(__xludf.DUMMYFUNCTION("""COMPUTED_VALUE"""),3349329.0)</f>
        <v>3349329</v>
      </c>
      <c r="G32" s="2" t="s">
        <v>13</v>
      </c>
    </row>
    <row r="33">
      <c r="A33" s="3">
        <f>IFERROR(__xludf.DUMMYFUNCTION("""COMPUTED_VALUE"""),44607.73611111111)</f>
        <v>44607.73611</v>
      </c>
      <c r="B33" s="1">
        <f>IFERROR(__xludf.DUMMYFUNCTION("""COMPUTED_VALUE"""),46.08)</f>
        <v>46.08</v>
      </c>
      <c r="C33" s="1">
        <f>IFERROR(__xludf.DUMMYFUNCTION("""COMPUTED_VALUE"""),46.24)</f>
        <v>46.24</v>
      </c>
      <c r="D33" s="1">
        <f>IFERROR(__xludf.DUMMYFUNCTION("""COMPUTED_VALUE"""),45.45)</f>
        <v>45.45</v>
      </c>
      <c r="E33" s="1">
        <f>IFERROR(__xludf.DUMMYFUNCTION("""COMPUTED_VALUE"""),45.66)</f>
        <v>45.66</v>
      </c>
      <c r="F33" s="1">
        <f>IFERROR(__xludf.DUMMYFUNCTION("""COMPUTED_VALUE"""),2468088.0)</f>
        <v>2468088</v>
      </c>
      <c r="G33" s="2" t="s">
        <v>13</v>
      </c>
    </row>
    <row r="34">
      <c r="A34" s="3">
        <f>IFERROR(__xludf.DUMMYFUNCTION("""COMPUTED_VALUE"""),44608.73611111111)</f>
        <v>44608.73611</v>
      </c>
      <c r="B34" s="1">
        <f>IFERROR(__xludf.DUMMYFUNCTION("""COMPUTED_VALUE"""),45.45)</f>
        <v>45.45</v>
      </c>
      <c r="C34" s="1">
        <f>IFERROR(__xludf.DUMMYFUNCTION("""COMPUTED_VALUE"""),45.83)</f>
        <v>45.83</v>
      </c>
      <c r="D34" s="1">
        <f>IFERROR(__xludf.DUMMYFUNCTION("""COMPUTED_VALUE"""),45.36)</f>
        <v>45.36</v>
      </c>
      <c r="E34" s="1">
        <f>IFERROR(__xludf.DUMMYFUNCTION("""COMPUTED_VALUE"""),45.58)</f>
        <v>45.58</v>
      </c>
      <c r="F34" s="1">
        <f>IFERROR(__xludf.DUMMYFUNCTION("""COMPUTED_VALUE"""),2307425.0)</f>
        <v>2307425</v>
      </c>
      <c r="G34" s="2" t="s">
        <v>13</v>
      </c>
    </row>
    <row r="35">
      <c r="A35" s="3">
        <f>IFERROR(__xludf.DUMMYFUNCTION("""COMPUTED_VALUE"""),44609.73611111111)</f>
        <v>44609.73611</v>
      </c>
      <c r="B35" s="1">
        <f>IFERROR(__xludf.DUMMYFUNCTION("""COMPUTED_VALUE"""),45.46)</f>
        <v>45.46</v>
      </c>
      <c r="C35" s="1">
        <f>IFERROR(__xludf.DUMMYFUNCTION("""COMPUTED_VALUE"""),45.75)</f>
        <v>45.75</v>
      </c>
      <c r="D35" s="1">
        <f>IFERROR(__xludf.DUMMYFUNCTION("""COMPUTED_VALUE"""),45.25)</f>
        <v>45.25</v>
      </c>
      <c r="E35" s="1">
        <f>IFERROR(__xludf.DUMMYFUNCTION("""COMPUTED_VALUE"""),45.43)</f>
        <v>45.43</v>
      </c>
      <c r="F35" s="1">
        <f>IFERROR(__xludf.DUMMYFUNCTION("""COMPUTED_VALUE"""),2364846.0)</f>
        <v>2364846</v>
      </c>
      <c r="G35" s="2" t="s">
        <v>13</v>
      </c>
    </row>
    <row r="36">
      <c r="A36" s="3">
        <f>IFERROR(__xludf.DUMMYFUNCTION("""COMPUTED_VALUE"""),44610.73611111111)</f>
        <v>44610.73611</v>
      </c>
      <c r="B36" s="1">
        <f>IFERROR(__xludf.DUMMYFUNCTION("""COMPUTED_VALUE"""),45.66)</f>
        <v>45.66</v>
      </c>
      <c r="C36" s="1">
        <f>IFERROR(__xludf.DUMMYFUNCTION("""COMPUTED_VALUE"""),46.31)</f>
        <v>46.31</v>
      </c>
      <c r="D36" s="1">
        <f>IFERROR(__xludf.DUMMYFUNCTION("""COMPUTED_VALUE"""),45.62)</f>
        <v>45.62</v>
      </c>
      <c r="E36" s="1">
        <f>IFERROR(__xludf.DUMMYFUNCTION("""COMPUTED_VALUE"""),46.28)</f>
        <v>46.28</v>
      </c>
      <c r="F36" s="1">
        <f>IFERROR(__xludf.DUMMYFUNCTION("""COMPUTED_VALUE"""),2824363.0)</f>
        <v>2824363</v>
      </c>
      <c r="G36" s="2" t="s">
        <v>13</v>
      </c>
    </row>
    <row r="37">
      <c r="A37" s="3">
        <f>IFERROR(__xludf.DUMMYFUNCTION("""COMPUTED_VALUE"""),44613.73611111111)</f>
        <v>44613.73611</v>
      </c>
      <c r="B37" s="1">
        <f>IFERROR(__xludf.DUMMYFUNCTION("""COMPUTED_VALUE"""),46.39)</f>
        <v>46.39</v>
      </c>
      <c r="C37" s="1">
        <f>IFERROR(__xludf.DUMMYFUNCTION("""COMPUTED_VALUE"""),46.53)</f>
        <v>46.53</v>
      </c>
      <c r="D37" s="1">
        <f>IFERROR(__xludf.DUMMYFUNCTION("""COMPUTED_VALUE"""),46.03)</f>
        <v>46.03</v>
      </c>
      <c r="E37" s="1">
        <f>IFERROR(__xludf.DUMMYFUNCTION("""COMPUTED_VALUE"""),46.15)</f>
        <v>46.15</v>
      </c>
      <c r="F37" s="1">
        <f>IFERROR(__xludf.DUMMYFUNCTION("""COMPUTED_VALUE"""),1738984.0)</f>
        <v>1738984</v>
      </c>
      <c r="G37" s="2" t="s">
        <v>13</v>
      </c>
    </row>
    <row r="38">
      <c r="A38" s="3">
        <f>IFERROR(__xludf.DUMMYFUNCTION("""COMPUTED_VALUE"""),44614.73611111111)</f>
        <v>44614.73611</v>
      </c>
      <c r="B38" s="1">
        <f>IFERROR(__xludf.DUMMYFUNCTION("""COMPUTED_VALUE"""),45.8)</f>
        <v>45.8</v>
      </c>
      <c r="C38" s="1">
        <f>IFERROR(__xludf.DUMMYFUNCTION("""COMPUTED_VALUE"""),46.44)</f>
        <v>46.44</v>
      </c>
      <c r="D38" s="1">
        <f>IFERROR(__xludf.DUMMYFUNCTION("""COMPUTED_VALUE"""),45.13)</f>
        <v>45.13</v>
      </c>
      <c r="E38" s="1">
        <f>IFERROR(__xludf.DUMMYFUNCTION("""COMPUTED_VALUE"""),45.5)</f>
        <v>45.5</v>
      </c>
      <c r="F38" s="1">
        <f>IFERROR(__xludf.DUMMYFUNCTION("""COMPUTED_VALUE"""),2987244.0)</f>
        <v>2987244</v>
      </c>
      <c r="G38" s="2" t="s">
        <v>13</v>
      </c>
    </row>
    <row r="39">
      <c r="A39" s="3">
        <f>IFERROR(__xludf.DUMMYFUNCTION("""COMPUTED_VALUE"""),44615.73611111111)</f>
        <v>44615.73611</v>
      </c>
      <c r="B39" s="1">
        <f>IFERROR(__xludf.DUMMYFUNCTION("""COMPUTED_VALUE"""),45.37)</f>
        <v>45.37</v>
      </c>
      <c r="C39" s="1">
        <f>IFERROR(__xludf.DUMMYFUNCTION("""COMPUTED_VALUE"""),46.22)</f>
        <v>46.22</v>
      </c>
      <c r="D39" s="1">
        <f>IFERROR(__xludf.DUMMYFUNCTION("""COMPUTED_VALUE"""),45.31)</f>
        <v>45.31</v>
      </c>
      <c r="E39" s="1">
        <f>IFERROR(__xludf.DUMMYFUNCTION("""COMPUTED_VALUE"""),46.01)</f>
        <v>46.01</v>
      </c>
      <c r="F39" s="1">
        <f>IFERROR(__xludf.DUMMYFUNCTION("""COMPUTED_VALUE"""),3197317.0)</f>
        <v>3197317</v>
      </c>
      <c r="G39" s="2" t="s">
        <v>13</v>
      </c>
    </row>
    <row r="40">
      <c r="A40" s="3">
        <f>IFERROR(__xludf.DUMMYFUNCTION("""COMPUTED_VALUE"""),44616.73611111111)</f>
        <v>44616.73611</v>
      </c>
      <c r="B40" s="1">
        <f>IFERROR(__xludf.DUMMYFUNCTION("""COMPUTED_VALUE"""),44.82)</f>
        <v>44.82</v>
      </c>
      <c r="C40" s="1">
        <f>IFERROR(__xludf.DUMMYFUNCTION("""COMPUTED_VALUE"""),44.94)</f>
        <v>44.94</v>
      </c>
      <c r="D40" s="1">
        <f>IFERROR(__xludf.DUMMYFUNCTION("""COMPUTED_VALUE"""),43.5)</f>
        <v>43.5</v>
      </c>
      <c r="E40" s="1">
        <f>IFERROR(__xludf.DUMMYFUNCTION("""COMPUTED_VALUE"""),43.56)</f>
        <v>43.56</v>
      </c>
      <c r="F40" s="1">
        <f>IFERROR(__xludf.DUMMYFUNCTION("""COMPUTED_VALUE"""),5112502.0)</f>
        <v>5112502</v>
      </c>
      <c r="G40" s="2" t="s">
        <v>13</v>
      </c>
    </row>
    <row r="41">
      <c r="A41" s="3">
        <f>IFERROR(__xludf.DUMMYFUNCTION("""COMPUTED_VALUE"""),44617.73611111111)</f>
        <v>44617.73611</v>
      </c>
      <c r="B41" s="1">
        <f>IFERROR(__xludf.DUMMYFUNCTION("""COMPUTED_VALUE"""),43.45)</f>
        <v>43.45</v>
      </c>
      <c r="C41" s="1">
        <f>IFERROR(__xludf.DUMMYFUNCTION("""COMPUTED_VALUE"""),44.76)</f>
        <v>44.76</v>
      </c>
      <c r="D41" s="1">
        <f>IFERROR(__xludf.DUMMYFUNCTION("""COMPUTED_VALUE"""),43.19)</f>
        <v>43.19</v>
      </c>
      <c r="E41" s="1">
        <f>IFERROR(__xludf.DUMMYFUNCTION("""COMPUTED_VALUE"""),44.53)</f>
        <v>44.53</v>
      </c>
      <c r="F41" s="1">
        <f>IFERROR(__xludf.DUMMYFUNCTION("""COMPUTED_VALUE"""),3461270.0)</f>
        <v>3461270</v>
      </c>
      <c r="G41" s="2" t="s">
        <v>13</v>
      </c>
    </row>
    <row r="42">
      <c r="A42" s="3">
        <f>IFERROR(__xludf.DUMMYFUNCTION("""COMPUTED_VALUE"""),44620.73611111111)</f>
        <v>44620.73611</v>
      </c>
      <c r="B42" s="1">
        <f>IFERROR(__xludf.DUMMYFUNCTION("""COMPUTED_VALUE"""),44.46)</f>
        <v>44.46</v>
      </c>
      <c r="C42" s="1">
        <f>IFERROR(__xludf.DUMMYFUNCTION("""COMPUTED_VALUE"""),44.88)</f>
        <v>44.88</v>
      </c>
      <c r="D42" s="1">
        <f>IFERROR(__xludf.DUMMYFUNCTION("""COMPUTED_VALUE"""),44.27)</f>
        <v>44.27</v>
      </c>
      <c r="E42" s="1">
        <f>IFERROR(__xludf.DUMMYFUNCTION("""COMPUTED_VALUE"""),44.7)</f>
        <v>44.7</v>
      </c>
      <c r="F42" s="1">
        <f>IFERROR(__xludf.DUMMYFUNCTION("""COMPUTED_VALUE"""),3451969.0)</f>
        <v>3451969</v>
      </c>
      <c r="G42" s="2" t="s">
        <v>13</v>
      </c>
    </row>
    <row r="43">
      <c r="A43" s="3">
        <f>IFERROR(__xludf.DUMMYFUNCTION("""COMPUTED_VALUE"""),44621.73611111111)</f>
        <v>44621.73611</v>
      </c>
      <c r="B43" s="1">
        <f>IFERROR(__xludf.DUMMYFUNCTION("""COMPUTED_VALUE"""),44.74)</f>
        <v>44.74</v>
      </c>
      <c r="C43" s="1">
        <f>IFERROR(__xludf.DUMMYFUNCTION("""COMPUTED_VALUE"""),45.11)</f>
        <v>45.11</v>
      </c>
      <c r="D43" s="1">
        <f>IFERROR(__xludf.DUMMYFUNCTION("""COMPUTED_VALUE"""),44.05)</f>
        <v>44.05</v>
      </c>
      <c r="E43" s="1">
        <f>IFERROR(__xludf.DUMMYFUNCTION("""COMPUTED_VALUE"""),44.21)</f>
        <v>44.21</v>
      </c>
      <c r="F43" s="1">
        <f>IFERROR(__xludf.DUMMYFUNCTION("""COMPUTED_VALUE"""),3227110.0)</f>
        <v>3227110</v>
      </c>
      <c r="G43" s="2" t="s">
        <v>13</v>
      </c>
    </row>
    <row r="44">
      <c r="A44" s="3">
        <f>IFERROR(__xludf.DUMMYFUNCTION("""COMPUTED_VALUE"""),44622.73611111111)</f>
        <v>44622.73611</v>
      </c>
      <c r="B44" s="1">
        <f>IFERROR(__xludf.DUMMYFUNCTION("""COMPUTED_VALUE"""),43.95)</f>
        <v>43.95</v>
      </c>
      <c r="C44" s="1">
        <f>IFERROR(__xludf.DUMMYFUNCTION("""COMPUTED_VALUE"""),44.21)</f>
        <v>44.21</v>
      </c>
      <c r="D44" s="1">
        <f>IFERROR(__xludf.DUMMYFUNCTION("""COMPUTED_VALUE"""),43.22)</f>
        <v>43.22</v>
      </c>
      <c r="E44" s="1">
        <f>IFERROR(__xludf.DUMMYFUNCTION("""COMPUTED_VALUE"""),43.83)</f>
        <v>43.83</v>
      </c>
      <c r="F44" s="1">
        <f>IFERROR(__xludf.DUMMYFUNCTION("""COMPUTED_VALUE"""),3254574.0)</f>
        <v>3254574</v>
      </c>
      <c r="G44" s="2" t="s">
        <v>13</v>
      </c>
    </row>
    <row r="45">
      <c r="A45" s="3">
        <f>IFERROR(__xludf.DUMMYFUNCTION("""COMPUTED_VALUE"""),44623.73611111111)</f>
        <v>44623.73611</v>
      </c>
      <c r="B45" s="1">
        <f>IFERROR(__xludf.DUMMYFUNCTION("""COMPUTED_VALUE"""),43.81)</f>
        <v>43.81</v>
      </c>
      <c r="C45" s="1">
        <f>IFERROR(__xludf.DUMMYFUNCTION("""COMPUTED_VALUE"""),43.84)</f>
        <v>43.84</v>
      </c>
      <c r="D45" s="1">
        <f>IFERROR(__xludf.DUMMYFUNCTION("""COMPUTED_VALUE"""),42.9)</f>
        <v>42.9</v>
      </c>
      <c r="E45" s="1">
        <f>IFERROR(__xludf.DUMMYFUNCTION("""COMPUTED_VALUE"""),43.07)</f>
        <v>43.07</v>
      </c>
      <c r="F45" s="1">
        <f>IFERROR(__xludf.DUMMYFUNCTION("""COMPUTED_VALUE"""),3172494.0)</f>
        <v>3172494</v>
      </c>
      <c r="G45" s="2" t="s">
        <v>13</v>
      </c>
    </row>
    <row r="46">
      <c r="A46" s="3">
        <f>IFERROR(__xludf.DUMMYFUNCTION("""COMPUTED_VALUE"""),44624.73611111111)</f>
        <v>44624.73611</v>
      </c>
      <c r="B46" s="1">
        <f>IFERROR(__xludf.DUMMYFUNCTION("""COMPUTED_VALUE"""),42.87)</f>
        <v>42.87</v>
      </c>
      <c r="C46" s="1">
        <f>IFERROR(__xludf.DUMMYFUNCTION("""COMPUTED_VALUE"""),43.0)</f>
        <v>43</v>
      </c>
      <c r="D46" s="1">
        <f>IFERROR(__xludf.DUMMYFUNCTION("""COMPUTED_VALUE"""),41.24)</f>
        <v>41.24</v>
      </c>
      <c r="E46" s="1">
        <f>IFERROR(__xludf.DUMMYFUNCTION("""COMPUTED_VALUE"""),41.38)</f>
        <v>41.38</v>
      </c>
      <c r="F46" s="1">
        <f>IFERROR(__xludf.DUMMYFUNCTION("""COMPUTED_VALUE"""),5096066.0)</f>
        <v>5096066</v>
      </c>
      <c r="G46" s="2" t="s">
        <v>13</v>
      </c>
    </row>
    <row r="47">
      <c r="A47" s="3">
        <f>IFERROR(__xludf.DUMMYFUNCTION("""COMPUTED_VALUE"""),44627.73611111111)</f>
        <v>44627.73611</v>
      </c>
      <c r="B47" s="1">
        <f>IFERROR(__xludf.DUMMYFUNCTION("""COMPUTED_VALUE"""),40.79)</f>
        <v>40.79</v>
      </c>
      <c r="C47" s="1">
        <f>IFERROR(__xludf.DUMMYFUNCTION("""COMPUTED_VALUE"""),40.91)</f>
        <v>40.91</v>
      </c>
      <c r="D47" s="1">
        <f>IFERROR(__xludf.DUMMYFUNCTION("""COMPUTED_VALUE"""),39.72)</f>
        <v>39.72</v>
      </c>
      <c r="E47" s="1">
        <f>IFERROR(__xludf.DUMMYFUNCTION("""COMPUTED_VALUE"""),40.28)</f>
        <v>40.28</v>
      </c>
      <c r="F47" s="1">
        <f>IFERROR(__xludf.DUMMYFUNCTION("""COMPUTED_VALUE"""),6505969.0)</f>
        <v>6505969</v>
      </c>
      <c r="G47" s="2" t="s">
        <v>13</v>
      </c>
    </row>
    <row r="48">
      <c r="A48" s="3">
        <f>IFERROR(__xludf.DUMMYFUNCTION("""COMPUTED_VALUE"""),44628.73611111111)</f>
        <v>44628.73611</v>
      </c>
      <c r="B48" s="1">
        <f>IFERROR(__xludf.DUMMYFUNCTION("""COMPUTED_VALUE"""),40.15)</f>
        <v>40.15</v>
      </c>
      <c r="C48" s="1">
        <f>IFERROR(__xludf.DUMMYFUNCTION("""COMPUTED_VALUE"""),40.44)</f>
        <v>40.44</v>
      </c>
      <c r="D48" s="1">
        <f>IFERROR(__xludf.DUMMYFUNCTION("""COMPUTED_VALUE"""),39.53)</f>
        <v>39.53</v>
      </c>
      <c r="E48" s="1">
        <f>IFERROR(__xludf.DUMMYFUNCTION("""COMPUTED_VALUE"""),40.25)</f>
        <v>40.25</v>
      </c>
      <c r="F48" s="1">
        <f>IFERROR(__xludf.DUMMYFUNCTION("""COMPUTED_VALUE"""),4821666.0)</f>
        <v>4821666</v>
      </c>
      <c r="G48" s="2" t="s">
        <v>13</v>
      </c>
    </row>
    <row r="49">
      <c r="A49" s="3">
        <f>IFERROR(__xludf.DUMMYFUNCTION("""COMPUTED_VALUE"""),44629.73611111111)</f>
        <v>44629.73611</v>
      </c>
      <c r="B49" s="1">
        <f>IFERROR(__xludf.DUMMYFUNCTION("""COMPUTED_VALUE"""),40.49)</f>
        <v>40.49</v>
      </c>
      <c r="C49" s="1">
        <f>IFERROR(__xludf.DUMMYFUNCTION("""COMPUTED_VALUE"""),40.88)</f>
        <v>40.88</v>
      </c>
      <c r="D49" s="1">
        <f>IFERROR(__xludf.DUMMYFUNCTION("""COMPUTED_VALUE"""),40.15)</f>
        <v>40.15</v>
      </c>
      <c r="E49" s="1">
        <f>IFERROR(__xludf.DUMMYFUNCTION("""COMPUTED_VALUE"""),40.8)</f>
        <v>40.8</v>
      </c>
      <c r="F49" s="1">
        <f>IFERROR(__xludf.DUMMYFUNCTION("""COMPUTED_VALUE"""),5360960.0)</f>
        <v>5360960</v>
      </c>
      <c r="G49" s="2" t="s">
        <v>13</v>
      </c>
    </row>
    <row r="50">
      <c r="A50" s="3">
        <f>IFERROR(__xludf.DUMMYFUNCTION("""COMPUTED_VALUE"""),44630.73611111111)</f>
        <v>44630.73611</v>
      </c>
      <c r="B50" s="1">
        <f>IFERROR(__xludf.DUMMYFUNCTION("""COMPUTED_VALUE"""),40.85)</f>
        <v>40.85</v>
      </c>
      <c r="C50" s="1">
        <f>IFERROR(__xludf.DUMMYFUNCTION("""COMPUTED_VALUE"""),40.99)</f>
        <v>40.99</v>
      </c>
      <c r="D50" s="1">
        <f>IFERROR(__xludf.DUMMYFUNCTION("""COMPUTED_VALUE"""),39.99)</f>
        <v>39.99</v>
      </c>
      <c r="E50" s="1">
        <f>IFERROR(__xludf.DUMMYFUNCTION("""COMPUTED_VALUE"""),40.1)</f>
        <v>40.1</v>
      </c>
      <c r="F50" s="1">
        <f>IFERROR(__xludf.DUMMYFUNCTION("""COMPUTED_VALUE"""),4434340.0)</f>
        <v>4434340</v>
      </c>
      <c r="G50" s="2" t="s">
        <v>13</v>
      </c>
    </row>
    <row r="51">
      <c r="A51" s="3">
        <f>IFERROR(__xludf.DUMMYFUNCTION("""COMPUTED_VALUE"""),44631.73611111111)</f>
        <v>44631.73611</v>
      </c>
      <c r="B51" s="1">
        <f>IFERROR(__xludf.DUMMYFUNCTION("""COMPUTED_VALUE"""),40.41)</f>
        <v>40.41</v>
      </c>
      <c r="C51" s="1">
        <f>IFERROR(__xludf.DUMMYFUNCTION("""COMPUTED_VALUE"""),40.73)</f>
        <v>40.73</v>
      </c>
      <c r="D51" s="1">
        <f>IFERROR(__xludf.DUMMYFUNCTION("""COMPUTED_VALUE"""),39.36)</f>
        <v>39.36</v>
      </c>
      <c r="E51" s="1">
        <f>IFERROR(__xludf.DUMMYFUNCTION("""COMPUTED_VALUE"""),40.48)</f>
        <v>40.48</v>
      </c>
      <c r="F51" s="1">
        <f>IFERROR(__xludf.DUMMYFUNCTION("""COMPUTED_VALUE"""),3254698.0)</f>
        <v>3254698</v>
      </c>
      <c r="G51" s="2" t="s">
        <v>13</v>
      </c>
    </row>
    <row r="52">
      <c r="A52" s="3">
        <f>IFERROR(__xludf.DUMMYFUNCTION("""COMPUTED_VALUE"""),44634.73611111111)</f>
        <v>44634.73611</v>
      </c>
      <c r="B52" s="1">
        <f>IFERROR(__xludf.DUMMYFUNCTION("""COMPUTED_VALUE"""),40.48)</f>
        <v>40.48</v>
      </c>
      <c r="C52" s="1">
        <f>IFERROR(__xludf.DUMMYFUNCTION("""COMPUTED_VALUE"""),40.87)</f>
        <v>40.87</v>
      </c>
      <c r="D52" s="1">
        <f>IFERROR(__xludf.DUMMYFUNCTION("""COMPUTED_VALUE"""),40.18)</f>
        <v>40.18</v>
      </c>
      <c r="E52" s="1">
        <f>IFERROR(__xludf.DUMMYFUNCTION("""COMPUTED_VALUE"""),40.72)</f>
        <v>40.72</v>
      </c>
      <c r="F52" s="1">
        <f>IFERROR(__xludf.DUMMYFUNCTION("""COMPUTED_VALUE"""),3293295.0)</f>
        <v>3293295</v>
      </c>
      <c r="G52" s="2" t="s">
        <v>13</v>
      </c>
    </row>
    <row r="53">
      <c r="A53" s="3">
        <f>IFERROR(__xludf.DUMMYFUNCTION("""COMPUTED_VALUE"""),44635.73611111111)</f>
        <v>44635.73611</v>
      </c>
      <c r="B53" s="1">
        <f>IFERROR(__xludf.DUMMYFUNCTION("""COMPUTED_VALUE"""),40.21)</f>
        <v>40.21</v>
      </c>
      <c r="C53" s="1">
        <f>IFERROR(__xludf.DUMMYFUNCTION("""COMPUTED_VALUE"""),40.95)</f>
        <v>40.95</v>
      </c>
      <c r="D53" s="1">
        <f>IFERROR(__xludf.DUMMYFUNCTION("""COMPUTED_VALUE"""),40.13)</f>
        <v>40.13</v>
      </c>
      <c r="E53" s="1">
        <f>IFERROR(__xludf.DUMMYFUNCTION("""COMPUTED_VALUE"""),40.28)</f>
        <v>40.28</v>
      </c>
      <c r="F53" s="1">
        <f>IFERROR(__xludf.DUMMYFUNCTION("""COMPUTED_VALUE"""),3460571.0)</f>
        <v>3460571</v>
      </c>
      <c r="G53" s="2" t="s">
        <v>13</v>
      </c>
    </row>
    <row r="54">
      <c r="A54" s="3">
        <f>IFERROR(__xludf.DUMMYFUNCTION("""COMPUTED_VALUE"""),44636.73611111111)</f>
        <v>44636.73611</v>
      </c>
      <c r="B54" s="1">
        <f>IFERROR(__xludf.DUMMYFUNCTION("""COMPUTED_VALUE"""),40.7)</f>
        <v>40.7</v>
      </c>
      <c r="C54" s="1">
        <f>IFERROR(__xludf.DUMMYFUNCTION("""COMPUTED_VALUE"""),40.84)</f>
        <v>40.84</v>
      </c>
      <c r="D54" s="1">
        <f>IFERROR(__xludf.DUMMYFUNCTION("""COMPUTED_VALUE"""),40.22)</f>
        <v>40.22</v>
      </c>
      <c r="E54" s="1">
        <f>IFERROR(__xludf.DUMMYFUNCTION("""COMPUTED_VALUE"""),40.6)</f>
        <v>40.6</v>
      </c>
      <c r="F54" s="1">
        <f>IFERROR(__xludf.DUMMYFUNCTION("""COMPUTED_VALUE"""),4537877.0)</f>
        <v>4537877</v>
      </c>
      <c r="G54" s="2" t="s">
        <v>13</v>
      </c>
    </row>
    <row r="55">
      <c r="A55" s="3">
        <f>IFERROR(__xludf.DUMMYFUNCTION("""COMPUTED_VALUE"""),44637.73611111111)</f>
        <v>44637.73611</v>
      </c>
      <c r="B55" s="1">
        <f>IFERROR(__xludf.DUMMYFUNCTION("""COMPUTED_VALUE"""),40.78)</f>
        <v>40.78</v>
      </c>
      <c r="C55" s="1">
        <f>IFERROR(__xludf.DUMMYFUNCTION("""COMPUTED_VALUE"""),40.78)</f>
        <v>40.78</v>
      </c>
      <c r="D55" s="1">
        <f>IFERROR(__xludf.DUMMYFUNCTION("""COMPUTED_VALUE"""),40.28)</f>
        <v>40.28</v>
      </c>
      <c r="E55" s="1">
        <f>IFERROR(__xludf.DUMMYFUNCTION("""COMPUTED_VALUE"""),40.69)</f>
        <v>40.69</v>
      </c>
      <c r="F55" s="1">
        <f>IFERROR(__xludf.DUMMYFUNCTION("""COMPUTED_VALUE"""),3180776.0)</f>
        <v>3180776</v>
      </c>
      <c r="G55" s="2" t="s">
        <v>13</v>
      </c>
    </row>
    <row r="56">
      <c r="A56" s="3">
        <f>IFERROR(__xludf.DUMMYFUNCTION("""COMPUTED_VALUE"""),44638.73611111111)</f>
        <v>44638.73611</v>
      </c>
      <c r="B56" s="1">
        <f>IFERROR(__xludf.DUMMYFUNCTION("""COMPUTED_VALUE"""),40.83)</f>
        <v>40.83</v>
      </c>
      <c r="C56" s="1">
        <f>IFERROR(__xludf.DUMMYFUNCTION("""COMPUTED_VALUE"""),40.92)</f>
        <v>40.92</v>
      </c>
      <c r="D56" s="1">
        <f>IFERROR(__xludf.DUMMYFUNCTION("""COMPUTED_VALUE"""),40.19)</f>
        <v>40.19</v>
      </c>
      <c r="E56" s="1">
        <f>IFERROR(__xludf.DUMMYFUNCTION("""COMPUTED_VALUE"""),40.74)</f>
        <v>40.74</v>
      </c>
      <c r="F56" s="1">
        <f>IFERROR(__xludf.DUMMYFUNCTION("""COMPUTED_VALUE"""),5866550.0)</f>
        <v>5866550</v>
      </c>
      <c r="G56" s="2" t="s">
        <v>13</v>
      </c>
    </row>
    <row r="57">
      <c r="A57" s="3">
        <f>IFERROR(__xludf.DUMMYFUNCTION("""COMPUTED_VALUE"""),44641.73611111111)</f>
        <v>44641.73611</v>
      </c>
      <c r="B57" s="1">
        <f>IFERROR(__xludf.DUMMYFUNCTION("""COMPUTED_VALUE"""),40.8)</f>
        <v>40.8</v>
      </c>
      <c r="C57" s="1">
        <f>IFERROR(__xludf.DUMMYFUNCTION("""COMPUTED_VALUE"""),41.08)</f>
        <v>41.08</v>
      </c>
      <c r="D57" s="1">
        <f>IFERROR(__xludf.DUMMYFUNCTION("""COMPUTED_VALUE"""),40.57)</f>
        <v>40.57</v>
      </c>
      <c r="E57" s="1">
        <f>IFERROR(__xludf.DUMMYFUNCTION("""COMPUTED_VALUE"""),40.73)</f>
        <v>40.73</v>
      </c>
      <c r="F57" s="1">
        <f>IFERROR(__xludf.DUMMYFUNCTION("""COMPUTED_VALUE"""),2227933.0)</f>
        <v>2227933</v>
      </c>
      <c r="G57" s="2" t="s">
        <v>13</v>
      </c>
    </row>
    <row r="58">
      <c r="A58" s="3">
        <f>IFERROR(__xludf.DUMMYFUNCTION("""COMPUTED_VALUE"""),44642.73611111111)</f>
        <v>44642.73611</v>
      </c>
      <c r="B58" s="1">
        <f>IFERROR(__xludf.DUMMYFUNCTION("""COMPUTED_VALUE"""),40.99)</f>
        <v>40.99</v>
      </c>
      <c r="C58" s="1">
        <f>IFERROR(__xludf.DUMMYFUNCTION("""COMPUTED_VALUE"""),41.43)</f>
        <v>41.43</v>
      </c>
      <c r="D58" s="1">
        <f>IFERROR(__xludf.DUMMYFUNCTION("""COMPUTED_VALUE"""),40.74)</f>
        <v>40.74</v>
      </c>
      <c r="E58" s="1">
        <f>IFERROR(__xludf.DUMMYFUNCTION("""COMPUTED_VALUE"""),41.36)</f>
        <v>41.36</v>
      </c>
      <c r="F58" s="1">
        <f>IFERROR(__xludf.DUMMYFUNCTION("""COMPUTED_VALUE"""),2014705.0)</f>
        <v>2014705</v>
      </c>
      <c r="G58" s="2" t="s">
        <v>13</v>
      </c>
    </row>
    <row r="59">
      <c r="A59" s="3">
        <f>IFERROR(__xludf.DUMMYFUNCTION("""COMPUTED_VALUE"""),44643.73611111111)</f>
        <v>44643.73611</v>
      </c>
      <c r="B59" s="1">
        <f>IFERROR(__xludf.DUMMYFUNCTION("""COMPUTED_VALUE"""),41.35)</f>
        <v>41.35</v>
      </c>
      <c r="C59" s="1">
        <f>IFERROR(__xludf.DUMMYFUNCTION("""COMPUTED_VALUE"""),41.6)</f>
        <v>41.6</v>
      </c>
      <c r="D59" s="1">
        <f>IFERROR(__xludf.DUMMYFUNCTION("""COMPUTED_VALUE"""),40.62)</f>
        <v>40.62</v>
      </c>
      <c r="E59" s="1">
        <f>IFERROR(__xludf.DUMMYFUNCTION("""COMPUTED_VALUE"""),40.63)</f>
        <v>40.63</v>
      </c>
      <c r="F59" s="1">
        <f>IFERROR(__xludf.DUMMYFUNCTION("""COMPUTED_VALUE"""),1897113.0)</f>
        <v>1897113</v>
      </c>
      <c r="G59" s="2" t="s">
        <v>13</v>
      </c>
    </row>
    <row r="60">
      <c r="A60" s="3">
        <f>IFERROR(__xludf.DUMMYFUNCTION("""COMPUTED_VALUE"""),44644.73611111111)</f>
        <v>44644.73611</v>
      </c>
      <c r="B60" s="1">
        <f>IFERROR(__xludf.DUMMYFUNCTION("""COMPUTED_VALUE"""),40.75)</f>
        <v>40.75</v>
      </c>
      <c r="C60" s="1">
        <f>IFERROR(__xludf.DUMMYFUNCTION("""COMPUTED_VALUE"""),40.89)</f>
        <v>40.89</v>
      </c>
      <c r="D60" s="1">
        <f>IFERROR(__xludf.DUMMYFUNCTION("""COMPUTED_VALUE"""),40.39)</f>
        <v>40.39</v>
      </c>
      <c r="E60" s="1">
        <f>IFERROR(__xludf.DUMMYFUNCTION("""COMPUTED_VALUE"""),40.39)</f>
        <v>40.39</v>
      </c>
      <c r="F60" s="1">
        <f>IFERROR(__xludf.DUMMYFUNCTION("""COMPUTED_VALUE"""),1808487.0)</f>
        <v>1808487</v>
      </c>
      <c r="G60" s="2" t="s">
        <v>13</v>
      </c>
    </row>
    <row r="61">
      <c r="A61" s="3">
        <f>IFERROR(__xludf.DUMMYFUNCTION("""COMPUTED_VALUE"""),44645.73611111111)</f>
        <v>44645.73611</v>
      </c>
      <c r="B61" s="1">
        <f>IFERROR(__xludf.DUMMYFUNCTION("""COMPUTED_VALUE"""),40.26)</f>
        <v>40.26</v>
      </c>
      <c r="C61" s="1">
        <f>IFERROR(__xludf.DUMMYFUNCTION("""COMPUTED_VALUE"""),40.71)</f>
        <v>40.71</v>
      </c>
      <c r="D61" s="1">
        <f>IFERROR(__xludf.DUMMYFUNCTION("""COMPUTED_VALUE"""),40.09)</f>
        <v>40.09</v>
      </c>
      <c r="E61" s="1">
        <f>IFERROR(__xludf.DUMMYFUNCTION("""COMPUTED_VALUE"""),40.57)</f>
        <v>40.57</v>
      </c>
      <c r="F61" s="1">
        <f>IFERROR(__xludf.DUMMYFUNCTION("""COMPUTED_VALUE"""),2443084.0)</f>
        <v>2443084</v>
      </c>
      <c r="G61" s="2" t="s">
        <v>13</v>
      </c>
    </row>
    <row r="62">
      <c r="A62" s="3">
        <f>IFERROR(__xludf.DUMMYFUNCTION("""COMPUTED_VALUE"""),44648.73611111111)</f>
        <v>44648.73611</v>
      </c>
      <c r="B62" s="1">
        <f>IFERROR(__xludf.DUMMYFUNCTION("""COMPUTED_VALUE"""),41.04)</f>
        <v>41.04</v>
      </c>
      <c r="C62" s="1">
        <f>IFERROR(__xludf.DUMMYFUNCTION("""COMPUTED_VALUE"""),41.17)</f>
        <v>41.17</v>
      </c>
      <c r="D62" s="1">
        <f>IFERROR(__xludf.DUMMYFUNCTION("""COMPUTED_VALUE"""),40.77)</f>
        <v>40.77</v>
      </c>
      <c r="E62" s="1">
        <f>IFERROR(__xludf.DUMMYFUNCTION("""COMPUTED_VALUE"""),40.88)</f>
        <v>40.88</v>
      </c>
      <c r="F62" s="1">
        <f>IFERROR(__xludf.DUMMYFUNCTION("""COMPUTED_VALUE"""),2425862.0)</f>
        <v>2425862</v>
      </c>
      <c r="G62" s="2" t="s">
        <v>13</v>
      </c>
    </row>
    <row r="63">
      <c r="A63" s="3">
        <f>IFERROR(__xludf.DUMMYFUNCTION("""COMPUTED_VALUE"""),44649.73611111111)</f>
        <v>44649.73611</v>
      </c>
      <c r="B63" s="1">
        <f>IFERROR(__xludf.DUMMYFUNCTION("""COMPUTED_VALUE"""),41.31)</f>
        <v>41.31</v>
      </c>
      <c r="C63" s="1">
        <f>IFERROR(__xludf.DUMMYFUNCTION("""COMPUTED_VALUE"""),42.35)</f>
        <v>42.35</v>
      </c>
      <c r="D63" s="1">
        <f>IFERROR(__xludf.DUMMYFUNCTION("""COMPUTED_VALUE"""),41.13)</f>
        <v>41.13</v>
      </c>
      <c r="E63" s="1">
        <f>IFERROR(__xludf.DUMMYFUNCTION("""COMPUTED_VALUE"""),41.69)</f>
        <v>41.69</v>
      </c>
      <c r="F63" s="1">
        <f>IFERROR(__xludf.DUMMYFUNCTION("""COMPUTED_VALUE"""),3936725.0)</f>
        <v>3936725</v>
      </c>
      <c r="G63" s="2" t="s">
        <v>13</v>
      </c>
    </row>
    <row r="64">
      <c r="A64" s="3">
        <f>IFERROR(__xludf.DUMMYFUNCTION("""COMPUTED_VALUE"""),44650.73611111111)</f>
        <v>44650.73611</v>
      </c>
      <c r="B64" s="1">
        <f>IFERROR(__xludf.DUMMYFUNCTION("""COMPUTED_VALUE"""),41.71)</f>
        <v>41.71</v>
      </c>
      <c r="C64" s="1">
        <f>IFERROR(__xludf.DUMMYFUNCTION("""COMPUTED_VALUE"""),41.81)</f>
        <v>41.81</v>
      </c>
      <c r="D64" s="1">
        <f>IFERROR(__xludf.DUMMYFUNCTION("""COMPUTED_VALUE"""),41.48)</f>
        <v>41.48</v>
      </c>
      <c r="E64" s="1">
        <f>IFERROR(__xludf.DUMMYFUNCTION("""COMPUTED_VALUE"""),41.81)</f>
        <v>41.81</v>
      </c>
      <c r="F64" s="1">
        <f>IFERROR(__xludf.DUMMYFUNCTION("""COMPUTED_VALUE"""),2590215.0)</f>
        <v>2590215</v>
      </c>
      <c r="G64" s="2" t="s">
        <v>13</v>
      </c>
    </row>
    <row r="65">
      <c r="A65" s="3">
        <f>IFERROR(__xludf.DUMMYFUNCTION("""COMPUTED_VALUE"""),44651.73611111111)</f>
        <v>44651.73611</v>
      </c>
      <c r="B65" s="1">
        <f>IFERROR(__xludf.DUMMYFUNCTION("""COMPUTED_VALUE"""),41.71)</f>
        <v>41.71</v>
      </c>
      <c r="C65" s="1">
        <f>IFERROR(__xludf.DUMMYFUNCTION("""COMPUTED_VALUE"""),41.76)</f>
        <v>41.76</v>
      </c>
      <c r="D65" s="1">
        <f>IFERROR(__xludf.DUMMYFUNCTION("""COMPUTED_VALUE"""),40.94)</f>
        <v>40.94</v>
      </c>
      <c r="E65" s="1">
        <f>IFERROR(__xludf.DUMMYFUNCTION("""COMPUTED_VALUE"""),40.95)</f>
        <v>40.95</v>
      </c>
      <c r="F65" s="1">
        <f>IFERROR(__xludf.DUMMYFUNCTION("""COMPUTED_VALUE"""),2363255.0)</f>
        <v>2363255</v>
      </c>
      <c r="G65" s="2" t="s">
        <v>13</v>
      </c>
    </row>
    <row r="66">
      <c r="A66" s="3">
        <f>IFERROR(__xludf.DUMMYFUNCTION("""COMPUTED_VALUE"""),44652.73611111111)</f>
        <v>44652.73611</v>
      </c>
      <c r="B66" s="1">
        <f>IFERROR(__xludf.DUMMYFUNCTION("""COMPUTED_VALUE"""),41.38)</f>
        <v>41.38</v>
      </c>
      <c r="C66" s="1">
        <f>IFERROR(__xludf.DUMMYFUNCTION("""COMPUTED_VALUE"""),42.02)</f>
        <v>42.02</v>
      </c>
      <c r="D66" s="1">
        <f>IFERROR(__xludf.DUMMYFUNCTION("""COMPUTED_VALUE"""),41.3)</f>
        <v>41.3</v>
      </c>
      <c r="E66" s="1">
        <f>IFERROR(__xludf.DUMMYFUNCTION("""COMPUTED_VALUE"""),41.62)</f>
        <v>41.62</v>
      </c>
      <c r="F66" s="1">
        <f>IFERROR(__xludf.DUMMYFUNCTION("""COMPUTED_VALUE"""),2218647.0)</f>
        <v>2218647</v>
      </c>
      <c r="G66" s="2" t="s">
        <v>13</v>
      </c>
    </row>
    <row r="67">
      <c r="A67" s="3">
        <f>IFERROR(__xludf.DUMMYFUNCTION("""COMPUTED_VALUE"""),44655.73611111111)</f>
        <v>44655.73611</v>
      </c>
      <c r="B67" s="1">
        <f>IFERROR(__xludf.DUMMYFUNCTION("""COMPUTED_VALUE"""),42.12)</f>
        <v>42.12</v>
      </c>
      <c r="C67" s="1">
        <f>IFERROR(__xludf.DUMMYFUNCTION("""COMPUTED_VALUE"""),42.23)</f>
        <v>42.23</v>
      </c>
      <c r="D67" s="1">
        <f>IFERROR(__xludf.DUMMYFUNCTION("""COMPUTED_VALUE"""),41.7)</f>
        <v>41.7</v>
      </c>
      <c r="E67" s="1">
        <f>IFERROR(__xludf.DUMMYFUNCTION("""COMPUTED_VALUE"""),41.98)</f>
        <v>41.98</v>
      </c>
      <c r="F67" s="1">
        <f>IFERROR(__xludf.DUMMYFUNCTION("""COMPUTED_VALUE"""),1879344.0)</f>
        <v>1879344</v>
      </c>
      <c r="G67" s="2" t="s">
        <v>13</v>
      </c>
    </row>
    <row r="68">
      <c r="A68" s="3">
        <f>IFERROR(__xludf.DUMMYFUNCTION("""COMPUTED_VALUE"""),44656.73611111111)</f>
        <v>44656.73611</v>
      </c>
      <c r="B68" s="1">
        <f>IFERROR(__xludf.DUMMYFUNCTION("""COMPUTED_VALUE"""),42.25)</f>
        <v>42.25</v>
      </c>
      <c r="C68" s="1">
        <f>IFERROR(__xludf.DUMMYFUNCTION("""COMPUTED_VALUE"""),42.47)</f>
        <v>42.47</v>
      </c>
      <c r="D68" s="1">
        <f>IFERROR(__xludf.DUMMYFUNCTION("""COMPUTED_VALUE"""),41.92)</f>
        <v>41.92</v>
      </c>
      <c r="E68" s="1">
        <f>IFERROR(__xludf.DUMMYFUNCTION("""COMPUTED_VALUE"""),42.41)</f>
        <v>42.41</v>
      </c>
      <c r="F68" s="1">
        <f>IFERROR(__xludf.DUMMYFUNCTION("""COMPUTED_VALUE"""),1785453.0)</f>
        <v>1785453</v>
      </c>
      <c r="G68" s="2" t="s">
        <v>13</v>
      </c>
    </row>
    <row r="69">
      <c r="A69" s="3">
        <f>IFERROR(__xludf.DUMMYFUNCTION("""COMPUTED_VALUE"""),44657.73611111111)</f>
        <v>44657.73611</v>
      </c>
      <c r="B69" s="1">
        <f>IFERROR(__xludf.DUMMYFUNCTION("""COMPUTED_VALUE"""),42.09)</f>
        <v>42.09</v>
      </c>
      <c r="C69" s="1">
        <f>IFERROR(__xludf.DUMMYFUNCTION("""COMPUTED_VALUE"""),42.36)</f>
        <v>42.36</v>
      </c>
      <c r="D69" s="1">
        <f>IFERROR(__xludf.DUMMYFUNCTION("""COMPUTED_VALUE"""),41.68)</f>
        <v>41.68</v>
      </c>
      <c r="E69" s="1">
        <f>IFERROR(__xludf.DUMMYFUNCTION("""COMPUTED_VALUE"""),41.9)</f>
        <v>41.9</v>
      </c>
      <c r="F69" s="1">
        <f>IFERROR(__xludf.DUMMYFUNCTION("""COMPUTED_VALUE"""),2553625.0)</f>
        <v>2553625</v>
      </c>
      <c r="G69" s="2" t="s">
        <v>13</v>
      </c>
    </row>
    <row r="70">
      <c r="A70" s="3">
        <f>IFERROR(__xludf.DUMMYFUNCTION("""COMPUTED_VALUE"""),44658.73611111111)</f>
        <v>44658.73611</v>
      </c>
      <c r="B70" s="1">
        <f>IFERROR(__xludf.DUMMYFUNCTION("""COMPUTED_VALUE"""),42.06)</f>
        <v>42.06</v>
      </c>
      <c r="C70" s="1">
        <f>IFERROR(__xludf.DUMMYFUNCTION("""COMPUTED_VALUE"""),42.34)</f>
        <v>42.34</v>
      </c>
      <c r="D70" s="1">
        <f>IFERROR(__xludf.DUMMYFUNCTION("""COMPUTED_VALUE"""),41.71)</f>
        <v>41.71</v>
      </c>
      <c r="E70" s="1">
        <f>IFERROR(__xludf.DUMMYFUNCTION("""COMPUTED_VALUE"""),41.95)</f>
        <v>41.95</v>
      </c>
      <c r="F70" s="1">
        <f>IFERROR(__xludf.DUMMYFUNCTION("""COMPUTED_VALUE"""),2835846.0)</f>
        <v>2835846</v>
      </c>
      <c r="G70" s="2" t="s">
        <v>13</v>
      </c>
    </row>
    <row r="71">
      <c r="A71" s="3">
        <f>IFERROR(__xludf.DUMMYFUNCTION("""COMPUTED_VALUE"""),44659.73611111111)</f>
        <v>44659.73611</v>
      </c>
      <c r="B71" s="1">
        <f>IFERROR(__xludf.DUMMYFUNCTION("""COMPUTED_VALUE"""),42.11)</f>
        <v>42.11</v>
      </c>
      <c r="C71" s="1">
        <f>IFERROR(__xludf.DUMMYFUNCTION("""COMPUTED_VALUE"""),42.39)</f>
        <v>42.39</v>
      </c>
      <c r="D71" s="1">
        <f>IFERROR(__xludf.DUMMYFUNCTION("""COMPUTED_VALUE"""),41.93)</f>
        <v>41.93</v>
      </c>
      <c r="E71" s="1">
        <f>IFERROR(__xludf.DUMMYFUNCTION("""COMPUTED_VALUE"""),42.34)</f>
        <v>42.34</v>
      </c>
      <c r="F71" s="1">
        <f>IFERROR(__xludf.DUMMYFUNCTION("""COMPUTED_VALUE"""),2194761.0)</f>
        <v>2194761</v>
      </c>
      <c r="G71" s="2" t="s">
        <v>13</v>
      </c>
    </row>
    <row r="72">
      <c r="A72" s="3">
        <f>IFERROR(__xludf.DUMMYFUNCTION("""COMPUTED_VALUE"""),44662.73611111111)</f>
        <v>44662.73611</v>
      </c>
      <c r="B72" s="1">
        <f>IFERROR(__xludf.DUMMYFUNCTION("""COMPUTED_VALUE"""),42.0)</f>
        <v>42</v>
      </c>
      <c r="C72" s="1">
        <f>IFERROR(__xludf.DUMMYFUNCTION("""COMPUTED_VALUE"""),42.05)</f>
        <v>42.05</v>
      </c>
      <c r="D72" s="1">
        <f>IFERROR(__xludf.DUMMYFUNCTION("""COMPUTED_VALUE"""),41.41)</f>
        <v>41.41</v>
      </c>
      <c r="E72" s="1">
        <f>IFERROR(__xludf.DUMMYFUNCTION("""COMPUTED_VALUE"""),41.85)</f>
        <v>41.85</v>
      </c>
      <c r="F72" s="1">
        <f>IFERROR(__xludf.DUMMYFUNCTION("""COMPUTED_VALUE"""),2566220.0)</f>
        <v>2566220</v>
      </c>
      <c r="G72" s="2" t="s">
        <v>13</v>
      </c>
    </row>
    <row r="73">
      <c r="A73" s="3">
        <f>IFERROR(__xludf.DUMMYFUNCTION("""COMPUTED_VALUE"""),44663.73611111111)</f>
        <v>44663.73611</v>
      </c>
      <c r="B73" s="1">
        <f>IFERROR(__xludf.DUMMYFUNCTION("""COMPUTED_VALUE"""),41.58)</f>
        <v>41.58</v>
      </c>
      <c r="C73" s="1">
        <f>IFERROR(__xludf.DUMMYFUNCTION("""COMPUTED_VALUE"""),41.7)</f>
        <v>41.7</v>
      </c>
      <c r="D73" s="1">
        <f>IFERROR(__xludf.DUMMYFUNCTION("""COMPUTED_VALUE"""),40.94)</f>
        <v>40.94</v>
      </c>
      <c r="E73" s="1">
        <f>IFERROR(__xludf.DUMMYFUNCTION("""COMPUTED_VALUE"""),41.2)</f>
        <v>41.2</v>
      </c>
      <c r="F73" s="1">
        <f>IFERROR(__xludf.DUMMYFUNCTION("""COMPUTED_VALUE"""),3428668.0)</f>
        <v>3428668</v>
      </c>
      <c r="G73" s="2" t="s">
        <v>13</v>
      </c>
    </row>
    <row r="74">
      <c r="A74" s="3">
        <f>IFERROR(__xludf.DUMMYFUNCTION("""COMPUTED_VALUE"""),44664.73611111111)</f>
        <v>44664.73611</v>
      </c>
      <c r="B74" s="1">
        <f>IFERROR(__xludf.DUMMYFUNCTION("""COMPUTED_VALUE"""),41.08)</f>
        <v>41.08</v>
      </c>
      <c r="C74" s="1">
        <f>IFERROR(__xludf.DUMMYFUNCTION("""COMPUTED_VALUE"""),41.36)</f>
        <v>41.36</v>
      </c>
      <c r="D74" s="1">
        <f>IFERROR(__xludf.DUMMYFUNCTION("""COMPUTED_VALUE"""),40.91)</f>
        <v>40.91</v>
      </c>
      <c r="E74" s="1">
        <f>IFERROR(__xludf.DUMMYFUNCTION("""COMPUTED_VALUE"""),41.32)</f>
        <v>41.32</v>
      </c>
      <c r="F74" s="1">
        <f>IFERROR(__xludf.DUMMYFUNCTION("""COMPUTED_VALUE"""),2210410.0)</f>
        <v>2210410</v>
      </c>
      <c r="G74" s="2" t="s">
        <v>13</v>
      </c>
    </row>
    <row r="75">
      <c r="A75" s="3">
        <f>IFERROR(__xludf.DUMMYFUNCTION("""COMPUTED_VALUE"""),44665.73611111111)</f>
        <v>44665.73611</v>
      </c>
      <c r="B75" s="1">
        <f>IFERROR(__xludf.DUMMYFUNCTION("""COMPUTED_VALUE"""),41.24)</f>
        <v>41.24</v>
      </c>
      <c r="C75" s="1">
        <f>IFERROR(__xludf.DUMMYFUNCTION("""COMPUTED_VALUE"""),41.63)</f>
        <v>41.63</v>
      </c>
      <c r="D75" s="1">
        <f>IFERROR(__xludf.DUMMYFUNCTION("""COMPUTED_VALUE"""),41.04)</f>
        <v>41.04</v>
      </c>
      <c r="E75" s="1">
        <f>IFERROR(__xludf.DUMMYFUNCTION("""COMPUTED_VALUE"""),41.45)</f>
        <v>41.45</v>
      </c>
      <c r="F75" s="1">
        <f>IFERROR(__xludf.DUMMYFUNCTION("""COMPUTED_VALUE"""),2958262.0)</f>
        <v>2958262</v>
      </c>
      <c r="G75" s="2" t="s">
        <v>13</v>
      </c>
    </row>
    <row r="76">
      <c r="A76" s="3">
        <f>IFERROR(__xludf.DUMMYFUNCTION("""COMPUTED_VALUE"""),44670.73611111111)</f>
        <v>44670.73611</v>
      </c>
      <c r="B76" s="1">
        <f>IFERROR(__xludf.DUMMYFUNCTION("""COMPUTED_VALUE"""),40.65)</f>
        <v>40.65</v>
      </c>
      <c r="C76" s="1">
        <f>IFERROR(__xludf.DUMMYFUNCTION("""COMPUTED_VALUE"""),41.21)</f>
        <v>41.21</v>
      </c>
      <c r="D76" s="1">
        <f>IFERROR(__xludf.DUMMYFUNCTION("""COMPUTED_VALUE"""),40.51)</f>
        <v>40.51</v>
      </c>
      <c r="E76" s="1">
        <f>IFERROR(__xludf.DUMMYFUNCTION("""COMPUTED_VALUE"""),41.21)</f>
        <v>41.21</v>
      </c>
      <c r="F76" s="1">
        <f>IFERROR(__xludf.DUMMYFUNCTION("""COMPUTED_VALUE"""),2613026.0)</f>
        <v>2613026</v>
      </c>
      <c r="G76" s="2" t="s">
        <v>13</v>
      </c>
    </row>
    <row r="77">
      <c r="A77" s="3">
        <f>IFERROR(__xludf.DUMMYFUNCTION("""COMPUTED_VALUE"""),44671.73611111111)</f>
        <v>44671.73611</v>
      </c>
      <c r="B77" s="1">
        <f>IFERROR(__xludf.DUMMYFUNCTION("""COMPUTED_VALUE"""),41.74)</f>
        <v>41.74</v>
      </c>
      <c r="C77" s="1">
        <f>IFERROR(__xludf.DUMMYFUNCTION("""COMPUTED_VALUE"""),41.85)</f>
        <v>41.85</v>
      </c>
      <c r="D77" s="1">
        <f>IFERROR(__xludf.DUMMYFUNCTION("""COMPUTED_VALUE"""),41.23)</f>
        <v>41.23</v>
      </c>
      <c r="E77" s="1">
        <f>IFERROR(__xludf.DUMMYFUNCTION("""COMPUTED_VALUE"""),41.65)</f>
        <v>41.65</v>
      </c>
      <c r="F77" s="1">
        <f>IFERROR(__xludf.DUMMYFUNCTION("""COMPUTED_VALUE"""),3393037.0)</f>
        <v>3393037</v>
      </c>
      <c r="G77" s="2" t="s">
        <v>13</v>
      </c>
    </row>
    <row r="78">
      <c r="A78" s="3">
        <f>IFERROR(__xludf.DUMMYFUNCTION("""COMPUTED_VALUE"""),44672.73611111111)</f>
        <v>44672.73611</v>
      </c>
      <c r="B78" s="1">
        <f>IFERROR(__xludf.DUMMYFUNCTION("""COMPUTED_VALUE"""),41.75)</f>
        <v>41.75</v>
      </c>
      <c r="C78" s="1">
        <f>IFERROR(__xludf.DUMMYFUNCTION("""COMPUTED_VALUE"""),42.31)</f>
        <v>42.31</v>
      </c>
      <c r="D78" s="1">
        <f>IFERROR(__xludf.DUMMYFUNCTION("""COMPUTED_VALUE"""),41.62)</f>
        <v>41.62</v>
      </c>
      <c r="E78" s="1">
        <f>IFERROR(__xludf.DUMMYFUNCTION("""COMPUTED_VALUE"""),42.24)</f>
        <v>42.24</v>
      </c>
      <c r="F78" s="1">
        <f>IFERROR(__xludf.DUMMYFUNCTION("""COMPUTED_VALUE"""),3399298.0)</f>
        <v>3399298</v>
      </c>
      <c r="G78" s="2" t="s">
        <v>13</v>
      </c>
    </row>
    <row r="79">
      <c r="A79" s="3">
        <f>IFERROR(__xludf.DUMMYFUNCTION("""COMPUTED_VALUE"""),44673.73611111111)</f>
        <v>44673.73611</v>
      </c>
      <c r="B79" s="1">
        <f>IFERROR(__xludf.DUMMYFUNCTION("""COMPUTED_VALUE"""),41.89)</f>
        <v>41.89</v>
      </c>
      <c r="C79" s="1">
        <f>IFERROR(__xludf.DUMMYFUNCTION("""COMPUTED_VALUE"""),42.47)</f>
        <v>42.47</v>
      </c>
      <c r="D79" s="1">
        <f>IFERROR(__xludf.DUMMYFUNCTION("""COMPUTED_VALUE"""),41.88)</f>
        <v>41.88</v>
      </c>
      <c r="E79" s="1">
        <f>IFERROR(__xludf.DUMMYFUNCTION("""COMPUTED_VALUE"""),42.1)</f>
        <v>42.1</v>
      </c>
      <c r="F79" s="1">
        <f>IFERROR(__xludf.DUMMYFUNCTION("""COMPUTED_VALUE"""),2819373.0)</f>
        <v>2819373</v>
      </c>
      <c r="G79" s="2" t="s">
        <v>13</v>
      </c>
    </row>
    <row r="80">
      <c r="A80" s="3">
        <f>IFERROR(__xludf.DUMMYFUNCTION("""COMPUTED_VALUE"""),44676.73611111111)</f>
        <v>44676.73611</v>
      </c>
      <c r="B80" s="1">
        <f>IFERROR(__xludf.DUMMYFUNCTION("""COMPUTED_VALUE"""),41.72)</f>
        <v>41.72</v>
      </c>
      <c r="C80" s="1">
        <f>IFERROR(__xludf.DUMMYFUNCTION("""COMPUTED_VALUE"""),43.05)</f>
        <v>43.05</v>
      </c>
      <c r="D80" s="1">
        <f>IFERROR(__xludf.DUMMYFUNCTION("""COMPUTED_VALUE"""),41.55)</f>
        <v>41.55</v>
      </c>
      <c r="E80" s="1">
        <f>IFERROR(__xludf.DUMMYFUNCTION("""COMPUTED_VALUE"""),42.81)</f>
        <v>42.81</v>
      </c>
      <c r="F80" s="1">
        <f>IFERROR(__xludf.DUMMYFUNCTION("""COMPUTED_VALUE"""),2629100.0)</f>
        <v>2629100</v>
      </c>
      <c r="G80" s="2" t="s">
        <v>13</v>
      </c>
    </row>
    <row r="81">
      <c r="A81" s="3">
        <f>IFERROR(__xludf.DUMMYFUNCTION("""COMPUTED_VALUE"""),44677.73611111111)</f>
        <v>44677.73611</v>
      </c>
      <c r="B81" s="1">
        <f>IFERROR(__xludf.DUMMYFUNCTION("""COMPUTED_VALUE"""),43.25)</f>
        <v>43.25</v>
      </c>
      <c r="C81" s="1">
        <f>IFERROR(__xludf.DUMMYFUNCTION("""COMPUTED_VALUE"""),43.71)</f>
        <v>43.71</v>
      </c>
      <c r="D81" s="1">
        <f>IFERROR(__xludf.DUMMYFUNCTION("""COMPUTED_VALUE"""),43.07)</f>
        <v>43.07</v>
      </c>
      <c r="E81" s="1">
        <f>IFERROR(__xludf.DUMMYFUNCTION("""COMPUTED_VALUE"""),43.15)</f>
        <v>43.15</v>
      </c>
      <c r="F81" s="1">
        <f>IFERROR(__xludf.DUMMYFUNCTION("""COMPUTED_VALUE"""),2843834.0)</f>
        <v>2843834</v>
      </c>
      <c r="G81" s="2" t="s">
        <v>13</v>
      </c>
    </row>
    <row r="82">
      <c r="A82" s="3">
        <f>IFERROR(__xludf.DUMMYFUNCTION("""COMPUTED_VALUE"""),44678.73611111111)</f>
        <v>44678.73611</v>
      </c>
      <c r="B82" s="1">
        <f>IFERROR(__xludf.DUMMYFUNCTION("""COMPUTED_VALUE"""),42.67)</f>
        <v>42.67</v>
      </c>
      <c r="C82" s="1">
        <f>IFERROR(__xludf.DUMMYFUNCTION("""COMPUTED_VALUE"""),43.08)</f>
        <v>43.08</v>
      </c>
      <c r="D82" s="1">
        <f>IFERROR(__xludf.DUMMYFUNCTION("""COMPUTED_VALUE"""),42.28)</f>
        <v>42.28</v>
      </c>
      <c r="E82" s="1">
        <f>IFERROR(__xludf.DUMMYFUNCTION("""COMPUTED_VALUE"""),42.42)</f>
        <v>42.42</v>
      </c>
      <c r="F82" s="1">
        <f>IFERROR(__xludf.DUMMYFUNCTION("""COMPUTED_VALUE"""),5047295.0)</f>
        <v>5047295</v>
      </c>
      <c r="G82" s="2" t="s">
        <v>13</v>
      </c>
    </row>
    <row r="83">
      <c r="A83" s="3">
        <f>IFERROR(__xludf.DUMMYFUNCTION("""COMPUTED_VALUE"""),44679.73611111111)</f>
        <v>44679.73611</v>
      </c>
      <c r="B83" s="1">
        <f>IFERROR(__xludf.DUMMYFUNCTION("""COMPUTED_VALUE"""),43.22)</f>
        <v>43.22</v>
      </c>
      <c r="C83" s="1">
        <f>IFERROR(__xludf.DUMMYFUNCTION("""COMPUTED_VALUE"""),43.57)</f>
        <v>43.57</v>
      </c>
      <c r="D83" s="1">
        <f>IFERROR(__xludf.DUMMYFUNCTION("""COMPUTED_VALUE"""),42.43)</f>
        <v>42.43</v>
      </c>
      <c r="E83" s="1">
        <f>IFERROR(__xludf.DUMMYFUNCTION("""COMPUTED_VALUE"""),43.48)</f>
        <v>43.48</v>
      </c>
      <c r="F83" s="1">
        <f>IFERROR(__xludf.DUMMYFUNCTION("""COMPUTED_VALUE"""),2872278.0)</f>
        <v>2872278</v>
      </c>
      <c r="G83" s="2" t="s">
        <v>13</v>
      </c>
    </row>
    <row r="84">
      <c r="A84" s="3">
        <f>IFERROR(__xludf.DUMMYFUNCTION("""COMPUTED_VALUE"""),44680.73611111111)</f>
        <v>44680.73611</v>
      </c>
      <c r="B84" s="1">
        <f>IFERROR(__xludf.DUMMYFUNCTION("""COMPUTED_VALUE"""),43.9)</f>
        <v>43.9</v>
      </c>
      <c r="C84" s="1">
        <f>IFERROR(__xludf.DUMMYFUNCTION("""COMPUTED_VALUE"""),44.59)</f>
        <v>44.59</v>
      </c>
      <c r="D84" s="1">
        <f>IFERROR(__xludf.DUMMYFUNCTION("""COMPUTED_VALUE"""),43.63)</f>
        <v>43.63</v>
      </c>
      <c r="E84" s="1">
        <f>IFERROR(__xludf.DUMMYFUNCTION("""COMPUTED_VALUE"""),44.27)</f>
        <v>44.27</v>
      </c>
      <c r="F84" s="1">
        <f>IFERROR(__xludf.DUMMYFUNCTION("""COMPUTED_VALUE"""),3308091.0)</f>
        <v>3308091</v>
      </c>
      <c r="G84" s="2" t="s">
        <v>13</v>
      </c>
    </row>
    <row r="85">
      <c r="A85" s="3">
        <f>IFERROR(__xludf.DUMMYFUNCTION("""COMPUTED_VALUE"""),44683.73611111111)</f>
        <v>44683.73611</v>
      </c>
      <c r="B85" s="1">
        <f>IFERROR(__xludf.DUMMYFUNCTION("""COMPUTED_VALUE"""),43.93)</f>
        <v>43.93</v>
      </c>
      <c r="C85" s="1">
        <f>IFERROR(__xludf.DUMMYFUNCTION("""COMPUTED_VALUE"""),44.06)</f>
        <v>44.06</v>
      </c>
      <c r="D85" s="1">
        <f>IFERROR(__xludf.DUMMYFUNCTION("""COMPUTED_VALUE"""),43.17)</f>
        <v>43.17</v>
      </c>
      <c r="E85" s="1">
        <f>IFERROR(__xludf.DUMMYFUNCTION("""COMPUTED_VALUE"""),43.29)</f>
        <v>43.29</v>
      </c>
      <c r="F85" s="1">
        <f>IFERROR(__xludf.DUMMYFUNCTION("""COMPUTED_VALUE"""),2572221.0)</f>
        <v>2572221</v>
      </c>
      <c r="G85" s="2" t="s">
        <v>13</v>
      </c>
    </row>
    <row r="86">
      <c r="A86" s="3">
        <f>IFERROR(__xludf.DUMMYFUNCTION("""COMPUTED_VALUE"""),44684.73611111111)</f>
        <v>44684.73611</v>
      </c>
      <c r="B86" s="1">
        <f>IFERROR(__xludf.DUMMYFUNCTION("""COMPUTED_VALUE"""),43.57)</f>
        <v>43.57</v>
      </c>
      <c r="C86" s="1">
        <f>IFERROR(__xludf.DUMMYFUNCTION("""COMPUTED_VALUE"""),43.77)</f>
        <v>43.77</v>
      </c>
      <c r="D86" s="1">
        <f>IFERROR(__xludf.DUMMYFUNCTION("""COMPUTED_VALUE"""),42.83)</f>
        <v>42.83</v>
      </c>
      <c r="E86" s="1">
        <f>IFERROR(__xludf.DUMMYFUNCTION("""COMPUTED_VALUE"""),43.41)</f>
        <v>43.41</v>
      </c>
      <c r="F86" s="1">
        <f>IFERROR(__xludf.DUMMYFUNCTION("""COMPUTED_VALUE"""),3524717.0)</f>
        <v>3524717</v>
      </c>
      <c r="G86" s="2" t="s">
        <v>13</v>
      </c>
    </row>
    <row r="87">
      <c r="A87" s="3">
        <f>IFERROR(__xludf.DUMMYFUNCTION("""COMPUTED_VALUE"""),44685.73611111111)</f>
        <v>44685.73611</v>
      </c>
      <c r="B87" s="1">
        <f>IFERROR(__xludf.DUMMYFUNCTION("""COMPUTED_VALUE"""),43.21)</f>
        <v>43.21</v>
      </c>
      <c r="C87" s="1">
        <f>IFERROR(__xludf.DUMMYFUNCTION("""COMPUTED_VALUE"""),43.48)</f>
        <v>43.48</v>
      </c>
      <c r="D87" s="1">
        <f>IFERROR(__xludf.DUMMYFUNCTION("""COMPUTED_VALUE"""),42.82)</f>
        <v>42.82</v>
      </c>
      <c r="E87" s="1">
        <f>IFERROR(__xludf.DUMMYFUNCTION("""COMPUTED_VALUE"""),42.93)</f>
        <v>42.93</v>
      </c>
      <c r="F87" s="1">
        <f>IFERROR(__xludf.DUMMYFUNCTION("""COMPUTED_VALUE"""),2357633.0)</f>
        <v>2357633</v>
      </c>
      <c r="G87" s="2" t="s">
        <v>13</v>
      </c>
    </row>
    <row r="88">
      <c r="A88" s="3">
        <f>IFERROR(__xludf.DUMMYFUNCTION("""COMPUTED_VALUE"""),44686.73611111111)</f>
        <v>44686.73611</v>
      </c>
      <c r="B88" s="1">
        <f>IFERROR(__xludf.DUMMYFUNCTION("""COMPUTED_VALUE"""),43.17)</f>
        <v>43.17</v>
      </c>
      <c r="C88" s="1">
        <f>IFERROR(__xludf.DUMMYFUNCTION("""COMPUTED_VALUE"""),43.18)</f>
        <v>43.18</v>
      </c>
      <c r="D88" s="1">
        <f>IFERROR(__xludf.DUMMYFUNCTION("""COMPUTED_VALUE"""),42.64)</f>
        <v>42.64</v>
      </c>
      <c r="E88" s="1">
        <f>IFERROR(__xludf.DUMMYFUNCTION("""COMPUTED_VALUE"""),42.72)</f>
        <v>42.72</v>
      </c>
      <c r="F88" s="1">
        <f>IFERROR(__xludf.DUMMYFUNCTION("""COMPUTED_VALUE"""),1967834.0)</f>
        <v>1967834</v>
      </c>
      <c r="G88" s="2" t="s">
        <v>13</v>
      </c>
    </row>
    <row r="89">
      <c r="A89" s="3">
        <f>IFERROR(__xludf.DUMMYFUNCTION("""COMPUTED_VALUE"""),44687.73611111111)</f>
        <v>44687.73611</v>
      </c>
      <c r="B89" s="1">
        <f>IFERROR(__xludf.DUMMYFUNCTION("""COMPUTED_VALUE"""),42.66)</f>
        <v>42.66</v>
      </c>
      <c r="C89" s="1">
        <f>IFERROR(__xludf.DUMMYFUNCTION("""COMPUTED_VALUE"""),42.67)</f>
        <v>42.67</v>
      </c>
      <c r="D89" s="1">
        <f>IFERROR(__xludf.DUMMYFUNCTION("""COMPUTED_VALUE"""),41.8)</f>
        <v>41.8</v>
      </c>
      <c r="E89" s="1">
        <f>IFERROR(__xludf.DUMMYFUNCTION("""COMPUTED_VALUE"""),42.04)</f>
        <v>42.04</v>
      </c>
      <c r="F89" s="1">
        <f>IFERROR(__xludf.DUMMYFUNCTION("""COMPUTED_VALUE"""),2114139.0)</f>
        <v>2114139</v>
      </c>
      <c r="G89" s="2" t="s">
        <v>13</v>
      </c>
    </row>
    <row r="90">
      <c r="A90" s="3">
        <f>IFERROR(__xludf.DUMMYFUNCTION("""COMPUTED_VALUE"""),44690.73611111111)</f>
        <v>44690.73611</v>
      </c>
      <c r="B90" s="1">
        <f>IFERROR(__xludf.DUMMYFUNCTION("""COMPUTED_VALUE"""),42.07)</f>
        <v>42.07</v>
      </c>
      <c r="C90" s="1">
        <f>IFERROR(__xludf.DUMMYFUNCTION("""COMPUTED_VALUE"""),42.6)</f>
        <v>42.6</v>
      </c>
      <c r="D90" s="1">
        <f>IFERROR(__xludf.DUMMYFUNCTION("""COMPUTED_VALUE"""),41.89)</f>
        <v>41.89</v>
      </c>
      <c r="E90" s="1">
        <f>IFERROR(__xludf.DUMMYFUNCTION("""COMPUTED_VALUE"""),42.54)</f>
        <v>42.54</v>
      </c>
      <c r="F90" s="1">
        <f>IFERROR(__xludf.DUMMYFUNCTION("""COMPUTED_VALUE"""),2484288.0)</f>
        <v>2484288</v>
      </c>
      <c r="G90" s="2" t="s">
        <v>13</v>
      </c>
    </row>
    <row r="91">
      <c r="A91" s="3">
        <f>IFERROR(__xludf.DUMMYFUNCTION("""COMPUTED_VALUE"""),44691.73611111111)</f>
        <v>44691.73611</v>
      </c>
      <c r="B91" s="1">
        <f>IFERROR(__xludf.DUMMYFUNCTION("""COMPUTED_VALUE"""),42.87)</f>
        <v>42.87</v>
      </c>
      <c r="C91" s="1">
        <f>IFERROR(__xludf.DUMMYFUNCTION("""COMPUTED_VALUE"""),43.8)</f>
        <v>43.8</v>
      </c>
      <c r="D91" s="1">
        <f>IFERROR(__xludf.DUMMYFUNCTION("""COMPUTED_VALUE"""),42.74)</f>
        <v>42.74</v>
      </c>
      <c r="E91" s="1">
        <f>IFERROR(__xludf.DUMMYFUNCTION("""COMPUTED_VALUE"""),43.22)</f>
        <v>43.22</v>
      </c>
      <c r="F91" s="1">
        <f>IFERROR(__xludf.DUMMYFUNCTION("""COMPUTED_VALUE"""),2649523.0)</f>
        <v>2649523</v>
      </c>
      <c r="G91" s="2" t="s">
        <v>13</v>
      </c>
    </row>
    <row r="92">
      <c r="A92" s="3">
        <f>IFERROR(__xludf.DUMMYFUNCTION("""COMPUTED_VALUE"""),44692.73611111111)</f>
        <v>44692.73611</v>
      </c>
      <c r="B92" s="1">
        <f>IFERROR(__xludf.DUMMYFUNCTION("""COMPUTED_VALUE"""),43.09)</f>
        <v>43.09</v>
      </c>
      <c r="C92" s="1">
        <f>IFERROR(__xludf.DUMMYFUNCTION("""COMPUTED_VALUE"""),43.3)</f>
        <v>43.3</v>
      </c>
      <c r="D92" s="1">
        <f>IFERROR(__xludf.DUMMYFUNCTION("""COMPUTED_VALUE"""),42.72)</f>
        <v>42.72</v>
      </c>
      <c r="E92" s="1">
        <f>IFERROR(__xludf.DUMMYFUNCTION("""COMPUTED_VALUE"""),43.17)</f>
        <v>43.17</v>
      </c>
      <c r="F92" s="1">
        <f>IFERROR(__xludf.DUMMYFUNCTION("""COMPUTED_VALUE"""),2100616.0)</f>
        <v>2100616</v>
      </c>
      <c r="G92" s="2" t="s">
        <v>13</v>
      </c>
    </row>
    <row r="93">
      <c r="A93" s="3">
        <f>IFERROR(__xludf.DUMMYFUNCTION("""COMPUTED_VALUE"""),44693.73611111111)</f>
        <v>44693.73611</v>
      </c>
      <c r="B93" s="1">
        <f>IFERROR(__xludf.DUMMYFUNCTION("""COMPUTED_VALUE"""),42.48)</f>
        <v>42.48</v>
      </c>
      <c r="C93" s="1">
        <f>IFERROR(__xludf.DUMMYFUNCTION("""COMPUTED_VALUE"""),43.69)</f>
        <v>43.69</v>
      </c>
      <c r="D93" s="1">
        <f>IFERROR(__xludf.DUMMYFUNCTION("""COMPUTED_VALUE"""),42.45)</f>
        <v>42.45</v>
      </c>
      <c r="E93" s="1">
        <f>IFERROR(__xludf.DUMMYFUNCTION("""COMPUTED_VALUE"""),43.35)</f>
        <v>43.35</v>
      </c>
      <c r="F93" s="1">
        <f>IFERROR(__xludf.DUMMYFUNCTION("""COMPUTED_VALUE"""),2155387.0)</f>
        <v>2155387</v>
      </c>
      <c r="G93" s="2" t="s">
        <v>13</v>
      </c>
    </row>
    <row r="94">
      <c r="A94" s="3">
        <f>IFERROR(__xludf.DUMMYFUNCTION("""COMPUTED_VALUE"""),44694.73611111111)</f>
        <v>44694.73611</v>
      </c>
      <c r="B94" s="1">
        <f>IFERROR(__xludf.DUMMYFUNCTION("""COMPUTED_VALUE"""),43.57)</f>
        <v>43.57</v>
      </c>
      <c r="C94" s="1">
        <f>IFERROR(__xludf.DUMMYFUNCTION("""COMPUTED_VALUE"""),44.15)</f>
        <v>44.15</v>
      </c>
      <c r="D94" s="1">
        <f>IFERROR(__xludf.DUMMYFUNCTION("""COMPUTED_VALUE"""),43.48)</f>
        <v>43.48</v>
      </c>
      <c r="E94" s="1">
        <f>IFERROR(__xludf.DUMMYFUNCTION("""COMPUTED_VALUE"""),44.01)</f>
        <v>44.01</v>
      </c>
      <c r="F94" s="1">
        <f>IFERROR(__xludf.DUMMYFUNCTION("""COMPUTED_VALUE"""),2796780.0)</f>
        <v>2796780</v>
      </c>
      <c r="G94" s="2" t="s">
        <v>13</v>
      </c>
    </row>
    <row r="95">
      <c r="A95" s="3">
        <f>IFERROR(__xludf.DUMMYFUNCTION("""COMPUTED_VALUE"""),44697.73611111111)</f>
        <v>44697.73611</v>
      </c>
      <c r="B95" s="1">
        <f>IFERROR(__xludf.DUMMYFUNCTION("""COMPUTED_VALUE"""),43.64)</f>
        <v>43.64</v>
      </c>
      <c r="C95" s="1">
        <f>IFERROR(__xludf.DUMMYFUNCTION("""COMPUTED_VALUE"""),43.9)</f>
        <v>43.9</v>
      </c>
      <c r="D95" s="1">
        <f>IFERROR(__xludf.DUMMYFUNCTION("""COMPUTED_VALUE"""),42.9)</f>
        <v>42.9</v>
      </c>
      <c r="E95" s="1">
        <f>IFERROR(__xludf.DUMMYFUNCTION("""COMPUTED_VALUE"""),43.9)</f>
        <v>43.9</v>
      </c>
      <c r="F95" s="1">
        <f>IFERROR(__xludf.DUMMYFUNCTION("""COMPUTED_VALUE"""),2645072.0)</f>
        <v>2645072</v>
      </c>
      <c r="G95" s="2" t="s">
        <v>13</v>
      </c>
    </row>
    <row r="96">
      <c r="A96" s="3">
        <f>IFERROR(__xludf.DUMMYFUNCTION("""COMPUTED_VALUE"""),44698.73611111111)</f>
        <v>44698.73611</v>
      </c>
      <c r="B96" s="1">
        <f>IFERROR(__xludf.DUMMYFUNCTION("""COMPUTED_VALUE"""),43.45)</f>
        <v>43.45</v>
      </c>
      <c r="C96" s="1">
        <f>IFERROR(__xludf.DUMMYFUNCTION("""COMPUTED_VALUE"""),43.93)</f>
        <v>43.93</v>
      </c>
      <c r="D96" s="1">
        <f>IFERROR(__xludf.DUMMYFUNCTION("""COMPUTED_VALUE"""),43.06)</f>
        <v>43.06</v>
      </c>
      <c r="E96" s="1">
        <f>IFERROR(__xludf.DUMMYFUNCTION("""COMPUTED_VALUE"""),43.38)</f>
        <v>43.38</v>
      </c>
      <c r="F96" s="1">
        <f>IFERROR(__xludf.DUMMYFUNCTION("""COMPUTED_VALUE"""),3051919.0)</f>
        <v>3051919</v>
      </c>
      <c r="G96" s="2" t="s">
        <v>13</v>
      </c>
    </row>
    <row r="97">
      <c r="A97" s="3">
        <f>IFERROR(__xludf.DUMMYFUNCTION("""COMPUTED_VALUE"""),44699.73611111111)</f>
        <v>44699.73611</v>
      </c>
      <c r="B97" s="1">
        <f>IFERROR(__xludf.DUMMYFUNCTION("""COMPUTED_VALUE"""),43.49)</f>
        <v>43.49</v>
      </c>
      <c r="C97" s="1">
        <f>IFERROR(__xludf.DUMMYFUNCTION("""COMPUTED_VALUE"""),43.68)</f>
        <v>43.68</v>
      </c>
      <c r="D97" s="1">
        <f>IFERROR(__xludf.DUMMYFUNCTION("""COMPUTED_VALUE"""),42.84)</f>
        <v>42.84</v>
      </c>
      <c r="E97" s="1">
        <f>IFERROR(__xludf.DUMMYFUNCTION("""COMPUTED_VALUE"""),42.84)</f>
        <v>42.84</v>
      </c>
      <c r="F97" s="1">
        <f>IFERROR(__xludf.DUMMYFUNCTION("""COMPUTED_VALUE"""),1709414.0)</f>
        <v>1709414</v>
      </c>
      <c r="G97" s="2" t="s">
        <v>13</v>
      </c>
    </row>
    <row r="98">
      <c r="A98" s="3">
        <f>IFERROR(__xludf.DUMMYFUNCTION("""COMPUTED_VALUE"""),44700.73611111111)</f>
        <v>44700.73611</v>
      </c>
      <c r="B98" s="1">
        <f>IFERROR(__xludf.DUMMYFUNCTION("""COMPUTED_VALUE"""),42.0)</f>
        <v>42</v>
      </c>
      <c r="C98" s="1">
        <f>IFERROR(__xludf.DUMMYFUNCTION("""COMPUTED_VALUE"""),42.02)</f>
        <v>42.02</v>
      </c>
      <c r="D98" s="1">
        <f>IFERROR(__xludf.DUMMYFUNCTION("""COMPUTED_VALUE"""),40.27)</f>
        <v>40.27</v>
      </c>
      <c r="E98" s="1">
        <f>IFERROR(__xludf.DUMMYFUNCTION("""COMPUTED_VALUE"""),40.77)</f>
        <v>40.77</v>
      </c>
      <c r="F98" s="1">
        <f>IFERROR(__xludf.DUMMYFUNCTION("""COMPUTED_VALUE"""),2979353.0)</f>
        <v>2979353</v>
      </c>
      <c r="G98" s="2" t="s">
        <v>13</v>
      </c>
    </row>
    <row r="99">
      <c r="A99" s="3">
        <f>IFERROR(__xludf.DUMMYFUNCTION("""COMPUTED_VALUE"""),44701.73611111111)</f>
        <v>44701.73611</v>
      </c>
      <c r="B99" s="1">
        <f>IFERROR(__xludf.DUMMYFUNCTION("""COMPUTED_VALUE"""),40.89)</f>
        <v>40.89</v>
      </c>
      <c r="C99" s="1">
        <f>IFERROR(__xludf.DUMMYFUNCTION("""COMPUTED_VALUE"""),41.55)</f>
        <v>41.55</v>
      </c>
      <c r="D99" s="1">
        <f>IFERROR(__xludf.DUMMYFUNCTION("""COMPUTED_VALUE"""),40.89)</f>
        <v>40.89</v>
      </c>
      <c r="E99" s="1">
        <f>IFERROR(__xludf.DUMMYFUNCTION("""COMPUTED_VALUE"""),41.53)</f>
        <v>41.53</v>
      </c>
      <c r="F99" s="1">
        <f>IFERROR(__xludf.DUMMYFUNCTION("""COMPUTED_VALUE"""),2000799.0)</f>
        <v>2000799</v>
      </c>
      <c r="G99" s="2" t="s">
        <v>13</v>
      </c>
    </row>
    <row r="100">
      <c r="A100" s="3">
        <f>IFERROR(__xludf.DUMMYFUNCTION("""COMPUTED_VALUE"""),44704.73611111111)</f>
        <v>44704.73611</v>
      </c>
      <c r="B100" s="1">
        <f>IFERROR(__xludf.DUMMYFUNCTION("""COMPUTED_VALUE"""),41.83)</f>
        <v>41.83</v>
      </c>
      <c r="C100" s="1">
        <f>IFERROR(__xludf.DUMMYFUNCTION("""COMPUTED_VALUE"""),41.88)</f>
        <v>41.88</v>
      </c>
      <c r="D100" s="1">
        <f>IFERROR(__xludf.DUMMYFUNCTION("""COMPUTED_VALUE"""),41.14)</f>
        <v>41.14</v>
      </c>
      <c r="E100" s="1">
        <f>IFERROR(__xludf.DUMMYFUNCTION("""COMPUTED_VALUE"""),41.68)</f>
        <v>41.68</v>
      </c>
      <c r="F100" s="1">
        <f>IFERROR(__xludf.DUMMYFUNCTION("""COMPUTED_VALUE"""),1456199.0)</f>
        <v>1456199</v>
      </c>
      <c r="G100" s="2" t="s">
        <v>13</v>
      </c>
    </row>
    <row r="101">
      <c r="A101" s="3">
        <f>IFERROR(__xludf.DUMMYFUNCTION("""COMPUTED_VALUE"""),44705.73611111111)</f>
        <v>44705.73611</v>
      </c>
      <c r="B101" s="1">
        <f>IFERROR(__xludf.DUMMYFUNCTION("""COMPUTED_VALUE"""),41.66)</f>
        <v>41.66</v>
      </c>
      <c r="C101" s="1">
        <f>IFERROR(__xludf.DUMMYFUNCTION("""COMPUTED_VALUE"""),41.74)</f>
        <v>41.74</v>
      </c>
      <c r="D101" s="1">
        <f>IFERROR(__xludf.DUMMYFUNCTION("""COMPUTED_VALUE"""),41.27)</f>
        <v>41.27</v>
      </c>
      <c r="E101" s="1">
        <f>IFERROR(__xludf.DUMMYFUNCTION("""COMPUTED_VALUE"""),41.32)</f>
        <v>41.32</v>
      </c>
      <c r="F101" s="1">
        <f>IFERROR(__xludf.DUMMYFUNCTION("""COMPUTED_VALUE"""),1899853.0)</f>
        <v>1899853</v>
      </c>
      <c r="G101" s="2" t="s">
        <v>13</v>
      </c>
    </row>
    <row r="102">
      <c r="A102" s="3">
        <f>IFERROR(__xludf.DUMMYFUNCTION("""COMPUTED_VALUE"""),44706.73611111111)</f>
        <v>44706.73611</v>
      </c>
      <c r="B102" s="1">
        <f>IFERROR(__xludf.DUMMYFUNCTION("""COMPUTED_VALUE"""),41.56)</f>
        <v>41.56</v>
      </c>
      <c r="C102" s="1">
        <f>IFERROR(__xludf.DUMMYFUNCTION("""COMPUTED_VALUE"""),41.69)</f>
        <v>41.69</v>
      </c>
      <c r="D102" s="1">
        <f>IFERROR(__xludf.DUMMYFUNCTION("""COMPUTED_VALUE"""),41.08)</f>
        <v>41.08</v>
      </c>
      <c r="E102" s="1">
        <f>IFERROR(__xludf.DUMMYFUNCTION("""COMPUTED_VALUE"""),41.08)</f>
        <v>41.08</v>
      </c>
      <c r="F102" s="1">
        <f>IFERROR(__xludf.DUMMYFUNCTION("""COMPUTED_VALUE"""),1723772.0)</f>
        <v>1723772</v>
      </c>
      <c r="G102" s="2" t="s">
        <v>13</v>
      </c>
    </row>
    <row r="103">
      <c r="A103" s="3">
        <f>IFERROR(__xludf.DUMMYFUNCTION("""COMPUTED_VALUE"""),44707.73611111111)</f>
        <v>44707.73611</v>
      </c>
      <c r="B103" s="1">
        <f>IFERROR(__xludf.DUMMYFUNCTION("""COMPUTED_VALUE"""),41.19)</f>
        <v>41.19</v>
      </c>
      <c r="C103" s="1">
        <f>IFERROR(__xludf.DUMMYFUNCTION("""COMPUTED_VALUE"""),41.49)</f>
        <v>41.49</v>
      </c>
      <c r="D103" s="1">
        <f>IFERROR(__xludf.DUMMYFUNCTION("""COMPUTED_VALUE"""),40.92)</f>
        <v>40.92</v>
      </c>
      <c r="E103" s="1">
        <f>IFERROR(__xludf.DUMMYFUNCTION("""COMPUTED_VALUE"""),40.92)</f>
        <v>40.92</v>
      </c>
      <c r="F103" s="1">
        <f>IFERROR(__xludf.DUMMYFUNCTION("""COMPUTED_VALUE"""),1507711.0)</f>
        <v>1507711</v>
      </c>
      <c r="G103" s="2" t="s">
        <v>13</v>
      </c>
    </row>
    <row r="104">
      <c r="A104" s="3">
        <f>IFERROR(__xludf.DUMMYFUNCTION("""COMPUTED_VALUE"""),44708.73611111111)</f>
        <v>44708.73611</v>
      </c>
      <c r="B104" s="1">
        <f>IFERROR(__xludf.DUMMYFUNCTION("""COMPUTED_VALUE"""),41.09)</f>
        <v>41.09</v>
      </c>
      <c r="C104" s="1">
        <f>IFERROR(__xludf.DUMMYFUNCTION("""COMPUTED_VALUE"""),41.25)</f>
        <v>41.25</v>
      </c>
      <c r="D104" s="1">
        <f>IFERROR(__xludf.DUMMYFUNCTION("""COMPUTED_VALUE"""),40.85)</f>
        <v>40.85</v>
      </c>
      <c r="E104" s="1">
        <f>IFERROR(__xludf.DUMMYFUNCTION("""COMPUTED_VALUE"""),40.95)</f>
        <v>40.95</v>
      </c>
      <c r="F104" s="1">
        <f>IFERROR(__xludf.DUMMYFUNCTION("""COMPUTED_VALUE"""),1737493.0)</f>
        <v>1737493</v>
      </c>
      <c r="G104" s="2" t="s">
        <v>13</v>
      </c>
    </row>
    <row r="105">
      <c r="A105" s="3">
        <f>IFERROR(__xludf.DUMMYFUNCTION("""COMPUTED_VALUE"""),44711.73611111111)</f>
        <v>44711.73611</v>
      </c>
      <c r="B105" s="1">
        <f>IFERROR(__xludf.DUMMYFUNCTION("""COMPUTED_VALUE"""),41.08)</f>
        <v>41.08</v>
      </c>
      <c r="C105" s="1">
        <f>IFERROR(__xludf.DUMMYFUNCTION("""COMPUTED_VALUE"""),41.29)</f>
        <v>41.29</v>
      </c>
      <c r="D105" s="1">
        <f>IFERROR(__xludf.DUMMYFUNCTION("""COMPUTED_VALUE"""),40.78)</f>
        <v>40.78</v>
      </c>
      <c r="E105" s="1">
        <f>IFERROR(__xludf.DUMMYFUNCTION("""COMPUTED_VALUE"""),41.0)</f>
        <v>41</v>
      </c>
      <c r="F105" s="1">
        <f>IFERROR(__xludf.DUMMYFUNCTION("""COMPUTED_VALUE"""),1338642.0)</f>
        <v>1338642</v>
      </c>
      <c r="G105" s="2" t="s">
        <v>13</v>
      </c>
    </row>
    <row r="106">
      <c r="A106" s="3">
        <f>IFERROR(__xludf.DUMMYFUNCTION("""COMPUTED_VALUE"""),44712.73611111111)</f>
        <v>44712.73611</v>
      </c>
      <c r="B106" s="1">
        <f>IFERROR(__xludf.DUMMYFUNCTION("""COMPUTED_VALUE"""),43.5)</f>
        <v>43.5</v>
      </c>
      <c r="C106" s="1">
        <f>IFERROR(__xludf.DUMMYFUNCTION("""COMPUTED_VALUE"""),44.9)</f>
        <v>44.9</v>
      </c>
      <c r="D106" s="1">
        <f>IFERROR(__xludf.DUMMYFUNCTION("""COMPUTED_VALUE"""),43.2)</f>
        <v>43.2</v>
      </c>
      <c r="E106" s="1">
        <f>IFERROR(__xludf.DUMMYFUNCTION("""COMPUTED_VALUE"""),44.81)</f>
        <v>44.81</v>
      </c>
      <c r="F106" s="1">
        <f>IFERROR(__xludf.DUMMYFUNCTION("""COMPUTED_VALUE"""),8628275.0)</f>
        <v>8628275</v>
      </c>
      <c r="G106" s="2" t="s">
        <v>13</v>
      </c>
    </row>
    <row r="107">
      <c r="A107" s="3">
        <f>IFERROR(__xludf.DUMMYFUNCTION("""COMPUTED_VALUE"""),44713.73611111111)</f>
        <v>44713.73611</v>
      </c>
      <c r="B107" s="1">
        <f>IFERROR(__xludf.DUMMYFUNCTION("""COMPUTED_VALUE"""),44.98)</f>
        <v>44.98</v>
      </c>
      <c r="C107" s="1">
        <f>IFERROR(__xludf.DUMMYFUNCTION("""COMPUTED_VALUE"""),45.0)</f>
        <v>45</v>
      </c>
      <c r="D107" s="1">
        <f>IFERROR(__xludf.DUMMYFUNCTION("""COMPUTED_VALUE"""),43.32)</f>
        <v>43.32</v>
      </c>
      <c r="E107" s="1">
        <f>IFERROR(__xludf.DUMMYFUNCTION("""COMPUTED_VALUE"""),43.42)</f>
        <v>43.42</v>
      </c>
      <c r="F107" s="1">
        <f>IFERROR(__xludf.DUMMYFUNCTION("""COMPUTED_VALUE"""),3345401.0)</f>
        <v>3345401</v>
      </c>
      <c r="G107" s="2" t="s">
        <v>13</v>
      </c>
    </row>
    <row r="108">
      <c r="A108" s="3">
        <f>IFERROR(__xludf.DUMMYFUNCTION("""COMPUTED_VALUE"""),44714.73611111111)</f>
        <v>44714.73611</v>
      </c>
      <c r="B108" s="1">
        <f>IFERROR(__xludf.DUMMYFUNCTION("""COMPUTED_VALUE"""),43.83)</f>
        <v>43.83</v>
      </c>
      <c r="C108" s="1">
        <f>IFERROR(__xludf.DUMMYFUNCTION("""COMPUTED_VALUE"""),43.95)</f>
        <v>43.95</v>
      </c>
      <c r="D108" s="1">
        <f>IFERROR(__xludf.DUMMYFUNCTION("""COMPUTED_VALUE"""),42.98)</f>
        <v>42.98</v>
      </c>
      <c r="E108" s="1">
        <f>IFERROR(__xludf.DUMMYFUNCTION("""COMPUTED_VALUE"""),43.2)</f>
        <v>43.2</v>
      </c>
      <c r="F108" s="1">
        <f>IFERROR(__xludf.DUMMYFUNCTION("""COMPUTED_VALUE"""),1543729.0)</f>
        <v>1543729</v>
      </c>
      <c r="G108" s="2" t="s">
        <v>13</v>
      </c>
    </row>
    <row r="109">
      <c r="A109" s="3">
        <f>IFERROR(__xludf.DUMMYFUNCTION("""COMPUTED_VALUE"""),44715.73611111111)</f>
        <v>44715.73611</v>
      </c>
      <c r="B109" s="1">
        <f>IFERROR(__xludf.DUMMYFUNCTION("""COMPUTED_VALUE"""),43.58)</f>
        <v>43.58</v>
      </c>
      <c r="C109" s="1">
        <f>IFERROR(__xludf.DUMMYFUNCTION("""COMPUTED_VALUE"""),43.73)</f>
        <v>43.73</v>
      </c>
      <c r="D109" s="1">
        <f>IFERROR(__xludf.DUMMYFUNCTION("""COMPUTED_VALUE"""),43.38)</f>
        <v>43.38</v>
      </c>
      <c r="E109" s="1">
        <f>IFERROR(__xludf.DUMMYFUNCTION("""COMPUTED_VALUE"""),43.5)</f>
        <v>43.5</v>
      </c>
      <c r="F109" s="1">
        <f>IFERROR(__xludf.DUMMYFUNCTION("""COMPUTED_VALUE"""),1349725.0)</f>
        <v>1349725</v>
      </c>
      <c r="G109" s="2" t="s">
        <v>13</v>
      </c>
    </row>
    <row r="110">
      <c r="A110" s="3">
        <f>IFERROR(__xludf.DUMMYFUNCTION("""COMPUTED_VALUE"""),44718.73611111111)</f>
        <v>44718.73611</v>
      </c>
      <c r="B110" s="1">
        <f>IFERROR(__xludf.DUMMYFUNCTION("""COMPUTED_VALUE"""),43.62)</f>
        <v>43.62</v>
      </c>
      <c r="C110" s="1">
        <f>IFERROR(__xludf.DUMMYFUNCTION("""COMPUTED_VALUE"""),43.85)</f>
        <v>43.85</v>
      </c>
      <c r="D110" s="1">
        <f>IFERROR(__xludf.DUMMYFUNCTION("""COMPUTED_VALUE"""),43.28)</f>
        <v>43.28</v>
      </c>
      <c r="E110" s="1">
        <f>IFERROR(__xludf.DUMMYFUNCTION("""COMPUTED_VALUE"""),43.57)</f>
        <v>43.57</v>
      </c>
      <c r="F110" s="1">
        <f>IFERROR(__xludf.DUMMYFUNCTION("""COMPUTED_VALUE"""),1111309.0)</f>
        <v>1111309</v>
      </c>
      <c r="G110" s="2" t="s">
        <v>13</v>
      </c>
    </row>
    <row r="111">
      <c r="A111" s="3">
        <f>IFERROR(__xludf.DUMMYFUNCTION("""COMPUTED_VALUE"""),44719.73611111111)</f>
        <v>44719.73611</v>
      </c>
      <c r="B111" s="1">
        <f>IFERROR(__xludf.DUMMYFUNCTION("""COMPUTED_VALUE"""),43.44)</f>
        <v>43.44</v>
      </c>
      <c r="C111" s="1">
        <f>IFERROR(__xludf.DUMMYFUNCTION("""COMPUTED_VALUE"""),43.52)</f>
        <v>43.52</v>
      </c>
      <c r="D111" s="1">
        <f>IFERROR(__xludf.DUMMYFUNCTION("""COMPUTED_VALUE"""),43.15)</f>
        <v>43.15</v>
      </c>
      <c r="E111" s="1">
        <f>IFERROR(__xludf.DUMMYFUNCTION("""COMPUTED_VALUE"""),43.49)</f>
        <v>43.49</v>
      </c>
      <c r="F111" s="1">
        <f>IFERROR(__xludf.DUMMYFUNCTION("""COMPUTED_VALUE"""),1691509.0)</f>
        <v>1691509</v>
      </c>
      <c r="G111" s="2" t="s">
        <v>13</v>
      </c>
    </row>
    <row r="112">
      <c r="A112" s="3">
        <f>IFERROR(__xludf.DUMMYFUNCTION("""COMPUTED_VALUE"""),44720.73611111111)</f>
        <v>44720.73611</v>
      </c>
      <c r="B112" s="1">
        <f>IFERROR(__xludf.DUMMYFUNCTION("""COMPUTED_VALUE"""),43.75)</f>
        <v>43.75</v>
      </c>
      <c r="C112" s="1">
        <f>IFERROR(__xludf.DUMMYFUNCTION("""COMPUTED_VALUE"""),43.75)</f>
        <v>43.75</v>
      </c>
      <c r="D112" s="1">
        <f>IFERROR(__xludf.DUMMYFUNCTION("""COMPUTED_VALUE"""),42.78)</f>
        <v>42.78</v>
      </c>
      <c r="E112" s="1">
        <f>IFERROR(__xludf.DUMMYFUNCTION("""COMPUTED_VALUE"""),43.03)</f>
        <v>43.03</v>
      </c>
      <c r="F112" s="1">
        <f>IFERROR(__xludf.DUMMYFUNCTION("""COMPUTED_VALUE"""),1813002.0)</f>
        <v>1813002</v>
      </c>
      <c r="G112" s="2" t="s">
        <v>13</v>
      </c>
    </row>
    <row r="113">
      <c r="A113" s="3">
        <f>IFERROR(__xludf.DUMMYFUNCTION("""COMPUTED_VALUE"""),44721.73611111111)</f>
        <v>44721.73611</v>
      </c>
      <c r="B113" s="1">
        <f>IFERROR(__xludf.DUMMYFUNCTION("""COMPUTED_VALUE"""),42.79)</f>
        <v>42.79</v>
      </c>
      <c r="C113" s="1">
        <f>IFERROR(__xludf.DUMMYFUNCTION("""COMPUTED_VALUE"""),43.3)</f>
        <v>43.3</v>
      </c>
      <c r="D113" s="1">
        <f>IFERROR(__xludf.DUMMYFUNCTION("""COMPUTED_VALUE"""),42.6)</f>
        <v>42.6</v>
      </c>
      <c r="E113" s="1">
        <f>IFERROR(__xludf.DUMMYFUNCTION("""COMPUTED_VALUE"""),42.77)</f>
        <v>42.77</v>
      </c>
      <c r="F113" s="1">
        <f>IFERROR(__xludf.DUMMYFUNCTION("""COMPUTED_VALUE"""),1737546.0)</f>
        <v>1737546</v>
      </c>
      <c r="G113" s="2" t="s">
        <v>13</v>
      </c>
    </row>
    <row r="114">
      <c r="A114" s="3">
        <f>IFERROR(__xludf.DUMMYFUNCTION("""COMPUTED_VALUE"""),44722.73611111111)</f>
        <v>44722.73611</v>
      </c>
      <c r="B114" s="1">
        <f>IFERROR(__xludf.DUMMYFUNCTION("""COMPUTED_VALUE"""),42.52)</f>
        <v>42.52</v>
      </c>
      <c r="C114" s="1">
        <f>IFERROR(__xludf.DUMMYFUNCTION("""COMPUTED_VALUE"""),42.72)</f>
        <v>42.72</v>
      </c>
      <c r="D114" s="1">
        <f>IFERROR(__xludf.DUMMYFUNCTION("""COMPUTED_VALUE"""),42.18)</f>
        <v>42.18</v>
      </c>
      <c r="E114" s="1">
        <f>IFERROR(__xludf.DUMMYFUNCTION("""COMPUTED_VALUE"""),42.67)</f>
        <v>42.67</v>
      </c>
      <c r="F114" s="1">
        <f>IFERROR(__xludf.DUMMYFUNCTION("""COMPUTED_VALUE"""),2208678.0)</f>
        <v>2208678</v>
      </c>
      <c r="G114" s="2" t="s">
        <v>13</v>
      </c>
    </row>
    <row r="115">
      <c r="A115" s="3">
        <f>IFERROR(__xludf.DUMMYFUNCTION("""COMPUTED_VALUE"""),44725.73611111111)</f>
        <v>44725.73611</v>
      </c>
      <c r="B115" s="1">
        <f>IFERROR(__xludf.DUMMYFUNCTION("""COMPUTED_VALUE"""),42.52)</f>
        <v>42.52</v>
      </c>
      <c r="C115" s="1">
        <f>IFERROR(__xludf.DUMMYFUNCTION("""COMPUTED_VALUE"""),42.83)</f>
        <v>42.83</v>
      </c>
      <c r="D115" s="1">
        <f>IFERROR(__xludf.DUMMYFUNCTION("""COMPUTED_VALUE"""),41.98)</f>
        <v>41.98</v>
      </c>
      <c r="E115" s="1">
        <f>IFERROR(__xludf.DUMMYFUNCTION("""COMPUTED_VALUE"""),42.28)</f>
        <v>42.28</v>
      </c>
      <c r="F115" s="1">
        <f>IFERROR(__xludf.DUMMYFUNCTION("""COMPUTED_VALUE"""),2153445.0)</f>
        <v>2153445</v>
      </c>
      <c r="G115" s="2" t="s">
        <v>13</v>
      </c>
    </row>
    <row r="116">
      <c r="A116" s="3">
        <f>IFERROR(__xludf.DUMMYFUNCTION("""COMPUTED_VALUE"""),44726.73611111111)</f>
        <v>44726.73611</v>
      </c>
      <c r="B116" s="1">
        <f>IFERROR(__xludf.DUMMYFUNCTION("""COMPUTED_VALUE"""),42.37)</f>
        <v>42.37</v>
      </c>
      <c r="C116" s="1">
        <f>IFERROR(__xludf.DUMMYFUNCTION("""COMPUTED_VALUE"""),42.54)</f>
        <v>42.54</v>
      </c>
      <c r="D116" s="1">
        <f>IFERROR(__xludf.DUMMYFUNCTION("""COMPUTED_VALUE"""),41.63)</f>
        <v>41.63</v>
      </c>
      <c r="E116" s="1">
        <f>IFERROR(__xludf.DUMMYFUNCTION("""COMPUTED_VALUE"""),41.68)</f>
        <v>41.68</v>
      </c>
      <c r="F116" s="1">
        <f>IFERROR(__xludf.DUMMYFUNCTION("""COMPUTED_VALUE"""),2448362.0)</f>
        <v>2448362</v>
      </c>
      <c r="G116" s="2" t="s">
        <v>13</v>
      </c>
    </row>
    <row r="117">
      <c r="A117" s="3">
        <f>IFERROR(__xludf.DUMMYFUNCTION("""COMPUTED_VALUE"""),44727.73611111111)</f>
        <v>44727.73611</v>
      </c>
      <c r="B117" s="1">
        <f>IFERROR(__xludf.DUMMYFUNCTION("""COMPUTED_VALUE"""),41.98)</f>
        <v>41.98</v>
      </c>
      <c r="C117" s="1">
        <f>IFERROR(__xludf.DUMMYFUNCTION("""COMPUTED_VALUE"""),42.84)</f>
        <v>42.84</v>
      </c>
      <c r="D117" s="1">
        <f>IFERROR(__xludf.DUMMYFUNCTION("""COMPUTED_VALUE"""),41.63)</f>
        <v>41.63</v>
      </c>
      <c r="E117" s="1">
        <f>IFERROR(__xludf.DUMMYFUNCTION("""COMPUTED_VALUE"""),42.05)</f>
        <v>42.05</v>
      </c>
      <c r="F117" s="1">
        <f>IFERROR(__xludf.DUMMYFUNCTION("""COMPUTED_VALUE"""),3834803.0)</f>
        <v>3834803</v>
      </c>
      <c r="G117" s="2" t="s">
        <v>13</v>
      </c>
    </row>
    <row r="118">
      <c r="A118" s="3">
        <f>IFERROR(__xludf.DUMMYFUNCTION("""COMPUTED_VALUE"""),44728.73611111111)</f>
        <v>44728.73611</v>
      </c>
      <c r="B118" s="1">
        <f>IFERROR(__xludf.DUMMYFUNCTION("""COMPUTED_VALUE"""),41.94)</f>
        <v>41.94</v>
      </c>
      <c r="C118" s="1">
        <f>IFERROR(__xludf.DUMMYFUNCTION("""COMPUTED_VALUE"""),42.16)</f>
        <v>42.16</v>
      </c>
      <c r="D118" s="1">
        <f>IFERROR(__xludf.DUMMYFUNCTION("""COMPUTED_VALUE"""),41.24)</f>
        <v>41.24</v>
      </c>
      <c r="E118" s="1">
        <f>IFERROR(__xludf.DUMMYFUNCTION("""COMPUTED_VALUE"""),41.67)</f>
        <v>41.67</v>
      </c>
      <c r="F118" s="1">
        <f>IFERROR(__xludf.DUMMYFUNCTION("""COMPUTED_VALUE"""),2551739.0)</f>
        <v>2551739</v>
      </c>
      <c r="G118" s="2" t="s">
        <v>13</v>
      </c>
    </row>
    <row r="119">
      <c r="A119" s="3">
        <f>IFERROR(__xludf.DUMMYFUNCTION("""COMPUTED_VALUE"""),44729.73611111111)</f>
        <v>44729.73611</v>
      </c>
      <c r="B119" s="1">
        <f>IFERROR(__xludf.DUMMYFUNCTION("""COMPUTED_VALUE"""),41.59)</f>
        <v>41.59</v>
      </c>
      <c r="C119" s="1">
        <f>IFERROR(__xludf.DUMMYFUNCTION("""COMPUTED_VALUE"""),42.22)</f>
        <v>42.22</v>
      </c>
      <c r="D119" s="1">
        <f>IFERROR(__xludf.DUMMYFUNCTION("""COMPUTED_VALUE"""),41.43)</f>
        <v>41.43</v>
      </c>
      <c r="E119" s="1">
        <f>IFERROR(__xludf.DUMMYFUNCTION("""COMPUTED_VALUE"""),41.9)</f>
        <v>41.9</v>
      </c>
      <c r="F119" s="1">
        <f>IFERROR(__xludf.DUMMYFUNCTION("""COMPUTED_VALUE"""),3950922.0)</f>
        <v>3950922</v>
      </c>
      <c r="G119" s="2" t="s">
        <v>13</v>
      </c>
    </row>
    <row r="120">
      <c r="A120" s="3">
        <f>IFERROR(__xludf.DUMMYFUNCTION("""COMPUTED_VALUE"""),44732.73611111111)</f>
        <v>44732.73611</v>
      </c>
      <c r="B120" s="1">
        <f>IFERROR(__xludf.DUMMYFUNCTION("""COMPUTED_VALUE"""),41.81)</f>
        <v>41.81</v>
      </c>
      <c r="C120" s="1">
        <f>IFERROR(__xludf.DUMMYFUNCTION("""COMPUTED_VALUE"""),41.92)</f>
        <v>41.92</v>
      </c>
      <c r="D120" s="1">
        <f>IFERROR(__xludf.DUMMYFUNCTION("""COMPUTED_VALUE"""),41.59)</f>
        <v>41.59</v>
      </c>
      <c r="E120" s="1">
        <f>IFERROR(__xludf.DUMMYFUNCTION("""COMPUTED_VALUE"""),41.83)</f>
        <v>41.83</v>
      </c>
      <c r="F120" s="1">
        <f>IFERROR(__xludf.DUMMYFUNCTION("""COMPUTED_VALUE"""),1362673.0)</f>
        <v>1362673</v>
      </c>
      <c r="G120" s="2" t="s">
        <v>13</v>
      </c>
    </row>
    <row r="121">
      <c r="A121" s="3">
        <f>IFERROR(__xludf.DUMMYFUNCTION("""COMPUTED_VALUE"""),44733.73611111111)</f>
        <v>44733.73611</v>
      </c>
      <c r="B121" s="1">
        <f>IFERROR(__xludf.DUMMYFUNCTION("""COMPUTED_VALUE"""),41.85)</f>
        <v>41.85</v>
      </c>
      <c r="C121" s="1">
        <f>IFERROR(__xludf.DUMMYFUNCTION("""COMPUTED_VALUE"""),42.09)</f>
        <v>42.09</v>
      </c>
      <c r="D121" s="1">
        <f>IFERROR(__xludf.DUMMYFUNCTION("""COMPUTED_VALUE"""),41.73)</f>
        <v>41.73</v>
      </c>
      <c r="E121" s="1">
        <f>IFERROR(__xludf.DUMMYFUNCTION("""COMPUTED_VALUE"""),41.88)</f>
        <v>41.88</v>
      </c>
      <c r="F121" s="1">
        <f>IFERROR(__xludf.DUMMYFUNCTION("""COMPUTED_VALUE"""),1918014.0)</f>
        <v>1918014</v>
      </c>
      <c r="G121" s="2" t="s">
        <v>13</v>
      </c>
    </row>
    <row r="122">
      <c r="A122" s="3">
        <f>IFERROR(__xludf.DUMMYFUNCTION("""COMPUTED_VALUE"""),44734.73611111111)</f>
        <v>44734.73611</v>
      </c>
      <c r="B122" s="1">
        <f>IFERROR(__xludf.DUMMYFUNCTION("""COMPUTED_VALUE"""),42.29)</f>
        <v>42.29</v>
      </c>
      <c r="C122" s="1">
        <f>IFERROR(__xludf.DUMMYFUNCTION("""COMPUTED_VALUE"""),42.31)</f>
        <v>42.31</v>
      </c>
      <c r="D122" s="1">
        <f>IFERROR(__xludf.DUMMYFUNCTION("""COMPUTED_VALUE"""),41.59)</f>
        <v>41.59</v>
      </c>
      <c r="E122" s="1">
        <f>IFERROR(__xludf.DUMMYFUNCTION("""COMPUTED_VALUE"""),41.9)</f>
        <v>41.9</v>
      </c>
      <c r="F122" s="1">
        <f>IFERROR(__xludf.DUMMYFUNCTION("""COMPUTED_VALUE"""),1957673.0)</f>
        <v>1957673</v>
      </c>
      <c r="G122" s="2" t="s">
        <v>13</v>
      </c>
    </row>
    <row r="123">
      <c r="A123" s="3">
        <f>IFERROR(__xludf.DUMMYFUNCTION("""COMPUTED_VALUE"""),44735.73611111111)</f>
        <v>44735.73611</v>
      </c>
      <c r="B123" s="1">
        <f>IFERROR(__xludf.DUMMYFUNCTION("""COMPUTED_VALUE"""),41.71)</f>
        <v>41.71</v>
      </c>
      <c r="C123" s="1">
        <f>IFERROR(__xludf.DUMMYFUNCTION("""COMPUTED_VALUE"""),42.25)</f>
        <v>42.25</v>
      </c>
      <c r="D123" s="1">
        <f>IFERROR(__xludf.DUMMYFUNCTION("""COMPUTED_VALUE"""),41.52)</f>
        <v>41.52</v>
      </c>
      <c r="E123" s="1">
        <f>IFERROR(__xludf.DUMMYFUNCTION("""COMPUTED_VALUE"""),42.24)</f>
        <v>42.24</v>
      </c>
      <c r="F123" s="1">
        <f>IFERROR(__xludf.DUMMYFUNCTION("""COMPUTED_VALUE"""),2814209.0)</f>
        <v>2814209</v>
      </c>
      <c r="G123" s="2" t="s">
        <v>13</v>
      </c>
    </row>
    <row r="124">
      <c r="A124" s="3">
        <f>IFERROR(__xludf.DUMMYFUNCTION("""COMPUTED_VALUE"""),44736.73611111111)</f>
        <v>44736.73611</v>
      </c>
      <c r="B124" s="1">
        <f>IFERROR(__xludf.DUMMYFUNCTION("""COMPUTED_VALUE"""),42.42)</f>
        <v>42.42</v>
      </c>
      <c r="C124" s="1">
        <f>IFERROR(__xludf.DUMMYFUNCTION("""COMPUTED_VALUE"""),43.73)</f>
        <v>43.73</v>
      </c>
      <c r="D124" s="1">
        <f>IFERROR(__xludf.DUMMYFUNCTION("""COMPUTED_VALUE"""),42.39)</f>
        <v>42.39</v>
      </c>
      <c r="E124" s="1">
        <f>IFERROR(__xludf.DUMMYFUNCTION("""COMPUTED_VALUE"""),43.53)</f>
        <v>43.53</v>
      </c>
      <c r="F124" s="1">
        <f>IFERROR(__xludf.DUMMYFUNCTION("""COMPUTED_VALUE"""),3089637.0)</f>
        <v>3089637</v>
      </c>
      <c r="G124" s="2" t="s">
        <v>13</v>
      </c>
    </row>
    <row r="125">
      <c r="A125" s="3">
        <f>IFERROR(__xludf.DUMMYFUNCTION("""COMPUTED_VALUE"""),44739.73611111111)</f>
        <v>44739.73611</v>
      </c>
      <c r="B125" s="1">
        <f>IFERROR(__xludf.DUMMYFUNCTION("""COMPUTED_VALUE"""),43.55)</f>
        <v>43.55</v>
      </c>
      <c r="C125" s="1">
        <f>IFERROR(__xludf.DUMMYFUNCTION("""COMPUTED_VALUE"""),43.84)</f>
        <v>43.84</v>
      </c>
      <c r="D125" s="1">
        <f>IFERROR(__xludf.DUMMYFUNCTION("""COMPUTED_VALUE"""),43.05)</f>
        <v>43.05</v>
      </c>
      <c r="E125" s="1">
        <f>IFERROR(__xludf.DUMMYFUNCTION("""COMPUTED_VALUE"""),43.3)</f>
        <v>43.3</v>
      </c>
      <c r="F125" s="1">
        <f>IFERROR(__xludf.DUMMYFUNCTION("""COMPUTED_VALUE"""),2182151.0)</f>
        <v>2182151</v>
      </c>
      <c r="G125" s="2" t="s">
        <v>13</v>
      </c>
    </row>
    <row r="126">
      <c r="A126" s="3">
        <f>IFERROR(__xludf.DUMMYFUNCTION("""COMPUTED_VALUE"""),44740.73611111111)</f>
        <v>44740.73611</v>
      </c>
      <c r="B126" s="1">
        <f>IFERROR(__xludf.DUMMYFUNCTION("""COMPUTED_VALUE"""),43.86)</f>
        <v>43.86</v>
      </c>
      <c r="C126" s="1">
        <f>IFERROR(__xludf.DUMMYFUNCTION("""COMPUTED_VALUE"""),43.88)</f>
        <v>43.88</v>
      </c>
      <c r="D126" s="1">
        <f>IFERROR(__xludf.DUMMYFUNCTION("""COMPUTED_VALUE"""),43.12)</f>
        <v>43.12</v>
      </c>
      <c r="E126" s="1">
        <f>IFERROR(__xludf.DUMMYFUNCTION("""COMPUTED_VALUE"""),43.32)</f>
        <v>43.32</v>
      </c>
      <c r="F126" s="1">
        <f>IFERROR(__xludf.DUMMYFUNCTION("""COMPUTED_VALUE"""),1453264.0)</f>
        <v>1453264</v>
      </c>
      <c r="G126" s="2" t="s">
        <v>13</v>
      </c>
    </row>
    <row r="127">
      <c r="A127" s="3">
        <f>IFERROR(__xludf.DUMMYFUNCTION("""COMPUTED_VALUE"""),44741.73611111111)</f>
        <v>44741.73611</v>
      </c>
      <c r="B127" s="1">
        <f>IFERROR(__xludf.DUMMYFUNCTION("""COMPUTED_VALUE"""),43.11)</f>
        <v>43.11</v>
      </c>
      <c r="C127" s="1">
        <f>IFERROR(__xludf.DUMMYFUNCTION("""COMPUTED_VALUE"""),43.6)</f>
        <v>43.6</v>
      </c>
      <c r="D127" s="1">
        <f>IFERROR(__xludf.DUMMYFUNCTION("""COMPUTED_VALUE"""),42.86)</f>
        <v>42.86</v>
      </c>
      <c r="E127" s="1">
        <f>IFERROR(__xludf.DUMMYFUNCTION("""COMPUTED_VALUE"""),43.52)</f>
        <v>43.52</v>
      </c>
      <c r="F127" s="1">
        <f>IFERROR(__xludf.DUMMYFUNCTION("""COMPUTED_VALUE"""),1592788.0)</f>
        <v>1592788</v>
      </c>
      <c r="G127" s="2" t="s">
        <v>13</v>
      </c>
    </row>
    <row r="128">
      <c r="A128" s="3">
        <f>IFERROR(__xludf.DUMMYFUNCTION("""COMPUTED_VALUE"""),44742.73611111111)</f>
        <v>44742.73611</v>
      </c>
      <c r="B128" s="1">
        <f>IFERROR(__xludf.DUMMYFUNCTION("""COMPUTED_VALUE"""),43.13)</f>
        <v>43.13</v>
      </c>
      <c r="C128" s="1">
        <f>IFERROR(__xludf.DUMMYFUNCTION("""COMPUTED_VALUE"""),43.32)</f>
        <v>43.32</v>
      </c>
      <c r="D128" s="1">
        <f>IFERROR(__xludf.DUMMYFUNCTION("""COMPUTED_VALUE"""),42.91)</f>
        <v>42.91</v>
      </c>
      <c r="E128" s="1">
        <f>IFERROR(__xludf.DUMMYFUNCTION("""COMPUTED_VALUE"""),43.32)</f>
        <v>43.32</v>
      </c>
      <c r="F128" s="1">
        <f>IFERROR(__xludf.DUMMYFUNCTION("""COMPUTED_VALUE"""),2092631.0)</f>
        <v>2092631</v>
      </c>
      <c r="G128" s="2" t="s">
        <v>13</v>
      </c>
    </row>
    <row r="129">
      <c r="A129" s="3">
        <f>IFERROR(__xludf.DUMMYFUNCTION("""COMPUTED_VALUE"""),44743.73611111111)</f>
        <v>44743.73611</v>
      </c>
      <c r="B129" s="1">
        <f>IFERROR(__xludf.DUMMYFUNCTION("""COMPUTED_VALUE"""),43.34)</f>
        <v>43.34</v>
      </c>
      <c r="C129" s="1">
        <f>IFERROR(__xludf.DUMMYFUNCTION("""COMPUTED_VALUE"""),44.01)</f>
        <v>44.01</v>
      </c>
      <c r="D129" s="1">
        <f>IFERROR(__xludf.DUMMYFUNCTION("""COMPUTED_VALUE"""),43.11)</f>
        <v>43.11</v>
      </c>
      <c r="E129" s="1">
        <f>IFERROR(__xludf.DUMMYFUNCTION("""COMPUTED_VALUE"""),43.92)</f>
        <v>43.92</v>
      </c>
      <c r="F129" s="1">
        <f>IFERROR(__xludf.DUMMYFUNCTION("""COMPUTED_VALUE"""),2360153.0)</f>
        <v>2360153</v>
      </c>
      <c r="G129" s="2" t="s">
        <v>13</v>
      </c>
    </row>
    <row r="130">
      <c r="A130" s="3">
        <f>IFERROR(__xludf.DUMMYFUNCTION("""COMPUTED_VALUE"""),44746.73611111111)</f>
        <v>44746.73611</v>
      </c>
      <c r="B130" s="1">
        <f>IFERROR(__xludf.DUMMYFUNCTION("""COMPUTED_VALUE"""),44.05)</f>
        <v>44.05</v>
      </c>
      <c r="C130" s="1">
        <f>IFERROR(__xludf.DUMMYFUNCTION("""COMPUTED_VALUE"""),44.32)</f>
        <v>44.32</v>
      </c>
      <c r="D130" s="1">
        <f>IFERROR(__xludf.DUMMYFUNCTION("""COMPUTED_VALUE"""),44.02)</f>
        <v>44.02</v>
      </c>
      <c r="E130" s="1">
        <f>IFERROR(__xludf.DUMMYFUNCTION("""COMPUTED_VALUE"""),44.19)</f>
        <v>44.19</v>
      </c>
      <c r="F130" s="1">
        <f>IFERROR(__xludf.DUMMYFUNCTION("""COMPUTED_VALUE"""),1120668.0)</f>
        <v>1120668</v>
      </c>
      <c r="G130" s="2" t="s">
        <v>13</v>
      </c>
    </row>
    <row r="131">
      <c r="A131" s="3">
        <f>IFERROR(__xludf.DUMMYFUNCTION("""COMPUTED_VALUE"""),44747.73611111111)</f>
        <v>44747.73611</v>
      </c>
      <c r="B131" s="1">
        <f>IFERROR(__xludf.DUMMYFUNCTION("""COMPUTED_VALUE"""),44.13)</f>
        <v>44.13</v>
      </c>
      <c r="C131" s="1">
        <f>IFERROR(__xludf.DUMMYFUNCTION("""COMPUTED_VALUE"""),44.44)</f>
        <v>44.44</v>
      </c>
      <c r="D131" s="1">
        <f>IFERROR(__xludf.DUMMYFUNCTION("""COMPUTED_VALUE"""),43.95)</f>
        <v>43.95</v>
      </c>
      <c r="E131" s="1">
        <f>IFERROR(__xludf.DUMMYFUNCTION("""COMPUTED_VALUE"""),44.22)</f>
        <v>44.22</v>
      </c>
      <c r="F131" s="1">
        <f>IFERROR(__xludf.DUMMYFUNCTION("""COMPUTED_VALUE"""),2065234.0)</f>
        <v>2065234</v>
      </c>
      <c r="G131" s="2" t="s">
        <v>13</v>
      </c>
    </row>
    <row r="132">
      <c r="A132" s="3">
        <f>IFERROR(__xludf.DUMMYFUNCTION("""COMPUTED_VALUE"""),44748.73611111111)</f>
        <v>44748.73611</v>
      </c>
      <c r="B132" s="1">
        <f>IFERROR(__xludf.DUMMYFUNCTION("""COMPUTED_VALUE"""),44.32)</f>
        <v>44.32</v>
      </c>
      <c r="C132" s="1">
        <f>IFERROR(__xludf.DUMMYFUNCTION("""COMPUTED_VALUE"""),45.52)</f>
        <v>45.52</v>
      </c>
      <c r="D132" s="1">
        <f>IFERROR(__xludf.DUMMYFUNCTION("""COMPUTED_VALUE"""),44.31)</f>
        <v>44.31</v>
      </c>
      <c r="E132" s="1">
        <f>IFERROR(__xludf.DUMMYFUNCTION("""COMPUTED_VALUE"""),45.27)</f>
        <v>45.27</v>
      </c>
      <c r="F132" s="1">
        <f>IFERROR(__xludf.DUMMYFUNCTION("""COMPUTED_VALUE"""),2706997.0)</f>
        <v>2706997</v>
      </c>
      <c r="G132" s="2" t="s">
        <v>13</v>
      </c>
    </row>
    <row r="133">
      <c r="A133" s="3">
        <f>IFERROR(__xludf.DUMMYFUNCTION("""COMPUTED_VALUE"""),44749.73611111111)</f>
        <v>44749.73611</v>
      </c>
      <c r="B133" s="1">
        <f>IFERROR(__xludf.DUMMYFUNCTION("""COMPUTED_VALUE"""),45.54)</f>
        <v>45.54</v>
      </c>
      <c r="C133" s="1">
        <f>IFERROR(__xludf.DUMMYFUNCTION("""COMPUTED_VALUE"""),45.72)</f>
        <v>45.72</v>
      </c>
      <c r="D133" s="1">
        <f>IFERROR(__xludf.DUMMYFUNCTION("""COMPUTED_VALUE"""),45.01)</f>
        <v>45.01</v>
      </c>
      <c r="E133" s="1">
        <f>IFERROR(__xludf.DUMMYFUNCTION("""COMPUTED_VALUE"""),45.18)</f>
        <v>45.18</v>
      </c>
      <c r="F133" s="1">
        <f>IFERROR(__xludf.DUMMYFUNCTION("""COMPUTED_VALUE"""),2031954.0)</f>
        <v>2031954</v>
      </c>
      <c r="G133" s="2" t="s">
        <v>13</v>
      </c>
    </row>
    <row r="134">
      <c r="A134" s="3">
        <f>IFERROR(__xludf.DUMMYFUNCTION("""COMPUTED_VALUE"""),44750.73611111111)</f>
        <v>44750.73611</v>
      </c>
      <c r="B134" s="1">
        <f>IFERROR(__xludf.DUMMYFUNCTION("""COMPUTED_VALUE"""),45.39)</f>
        <v>45.39</v>
      </c>
      <c r="C134" s="1">
        <f>IFERROR(__xludf.DUMMYFUNCTION("""COMPUTED_VALUE"""),45.58)</f>
        <v>45.58</v>
      </c>
      <c r="D134" s="1">
        <f>IFERROR(__xludf.DUMMYFUNCTION("""COMPUTED_VALUE"""),45.04)</f>
        <v>45.04</v>
      </c>
      <c r="E134" s="1">
        <f>IFERROR(__xludf.DUMMYFUNCTION("""COMPUTED_VALUE"""),45.35)</f>
        <v>45.35</v>
      </c>
      <c r="F134" s="1">
        <f>IFERROR(__xludf.DUMMYFUNCTION("""COMPUTED_VALUE"""),1814757.0)</f>
        <v>1814757</v>
      </c>
      <c r="G134" s="2" t="s">
        <v>13</v>
      </c>
    </row>
    <row r="135">
      <c r="A135" s="3">
        <f>IFERROR(__xludf.DUMMYFUNCTION("""COMPUTED_VALUE"""),44753.73611111111)</f>
        <v>44753.73611</v>
      </c>
      <c r="B135" s="1">
        <f>IFERROR(__xludf.DUMMYFUNCTION("""COMPUTED_VALUE"""),45.14)</f>
        <v>45.14</v>
      </c>
      <c r="C135" s="1">
        <f>IFERROR(__xludf.DUMMYFUNCTION("""COMPUTED_VALUE"""),45.68)</f>
        <v>45.68</v>
      </c>
      <c r="D135" s="1">
        <f>IFERROR(__xludf.DUMMYFUNCTION("""COMPUTED_VALUE"""),45.12)</f>
        <v>45.12</v>
      </c>
      <c r="E135" s="1">
        <f>IFERROR(__xludf.DUMMYFUNCTION("""COMPUTED_VALUE"""),45.38)</f>
        <v>45.38</v>
      </c>
      <c r="F135" s="1">
        <f>IFERROR(__xludf.DUMMYFUNCTION("""COMPUTED_VALUE"""),1209711.0)</f>
        <v>1209711</v>
      </c>
      <c r="G135" s="2" t="s">
        <v>13</v>
      </c>
    </row>
    <row r="136">
      <c r="A136" s="3">
        <f>IFERROR(__xludf.DUMMYFUNCTION("""COMPUTED_VALUE"""),44754.73611111111)</f>
        <v>44754.73611</v>
      </c>
      <c r="B136" s="1">
        <f>IFERROR(__xludf.DUMMYFUNCTION("""COMPUTED_VALUE"""),45.58)</f>
        <v>45.58</v>
      </c>
      <c r="C136" s="1">
        <f>IFERROR(__xludf.DUMMYFUNCTION("""COMPUTED_VALUE"""),46.06)</f>
        <v>46.06</v>
      </c>
      <c r="D136" s="1">
        <f>IFERROR(__xludf.DUMMYFUNCTION("""COMPUTED_VALUE"""),45.31)</f>
        <v>45.31</v>
      </c>
      <c r="E136" s="1">
        <f>IFERROR(__xludf.DUMMYFUNCTION("""COMPUTED_VALUE"""),45.96)</f>
        <v>45.96</v>
      </c>
      <c r="F136" s="1">
        <f>IFERROR(__xludf.DUMMYFUNCTION("""COMPUTED_VALUE"""),1939113.0)</f>
        <v>1939113</v>
      </c>
      <c r="G136" s="2" t="s">
        <v>13</v>
      </c>
    </row>
    <row r="137">
      <c r="A137" s="3">
        <f>IFERROR(__xludf.DUMMYFUNCTION("""COMPUTED_VALUE"""),44755.73611111111)</f>
        <v>44755.73611</v>
      </c>
      <c r="B137" s="1">
        <f>IFERROR(__xludf.DUMMYFUNCTION("""COMPUTED_VALUE"""),45.94)</f>
        <v>45.94</v>
      </c>
      <c r="C137" s="1">
        <f>IFERROR(__xludf.DUMMYFUNCTION("""COMPUTED_VALUE"""),46.03)</f>
        <v>46.03</v>
      </c>
      <c r="D137" s="1">
        <f>IFERROR(__xludf.DUMMYFUNCTION("""COMPUTED_VALUE"""),45.41)</f>
        <v>45.41</v>
      </c>
      <c r="E137" s="1">
        <f>IFERROR(__xludf.DUMMYFUNCTION("""COMPUTED_VALUE"""),45.79)</f>
        <v>45.79</v>
      </c>
      <c r="F137" s="1">
        <f>IFERROR(__xludf.DUMMYFUNCTION("""COMPUTED_VALUE"""),1662680.0)</f>
        <v>1662680</v>
      </c>
      <c r="G137" s="2" t="s">
        <v>13</v>
      </c>
    </row>
    <row r="138">
      <c r="A138" s="3">
        <f>IFERROR(__xludf.DUMMYFUNCTION("""COMPUTED_VALUE"""),44756.73611111111)</f>
        <v>44756.73611</v>
      </c>
      <c r="B138" s="1">
        <f>IFERROR(__xludf.DUMMYFUNCTION("""COMPUTED_VALUE"""),45.77)</f>
        <v>45.77</v>
      </c>
      <c r="C138" s="1">
        <f>IFERROR(__xludf.DUMMYFUNCTION("""COMPUTED_VALUE"""),46.0)</f>
        <v>46</v>
      </c>
      <c r="D138" s="1">
        <f>IFERROR(__xludf.DUMMYFUNCTION("""COMPUTED_VALUE"""),45.61)</f>
        <v>45.61</v>
      </c>
      <c r="E138" s="1">
        <f>IFERROR(__xludf.DUMMYFUNCTION("""COMPUTED_VALUE"""),45.77)</f>
        <v>45.77</v>
      </c>
      <c r="F138" s="1">
        <f>IFERROR(__xludf.DUMMYFUNCTION("""COMPUTED_VALUE"""),1687532.0)</f>
        <v>1687532</v>
      </c>
      <c r="G138" s="2" t="s">
        <v>13</v>
      </c>
    </row>
    <row r="139">
      <c r="A139" s="3">
        <f>IFERROR(__xludf.DUMMYFUNCTION("""COMPUTED_VALUE"""),44757.73611111111)</f>
        <v>44757.73611</v>
      </c>
      <c r="B139" s="1">
        <f>IFERROR(__xludf.DUMMYFUNCTION("""COMPUTED_VALUE"""),45.87)</f>
        <v>45.87</v>
      </c>
      <c r="C139" s="1">
        <f>IFERROR(__xludf.DUMMYFUNCTION("""COMPUTED_VALUE"""),46.16)</f>
        <v>46.16</v>
      </c>
      <c r="D139" s="1">
        <f>IFERROR(__xludf.DUMMYFUNCTION("""COMPUTED_VALUE"""),45.76)</f>
        <v>45.76</v>
      </c>
      <c r="E139" s="1">
        <f>IFERROR(__xludf.DUMMYFUNCTION("""COMPUTED_VALUE"""),45.91)</f>
        <v>45.91</v>
      </c>
      <c r="F139" s="1">
        <f>IFERROR(__xludf.DUMMYFUNCTION("""COMPUTED_VALUE"""),2228065.0)</f>
        <v>2228065</v>
      </c>
      <c r="G139" s="2" t="s">
        <v>13</v>
      </c>
    </row>
    <row r="140">
      <c r="A140" s="3">
        <f>IFERROR(__xludf.DUMMYFUNCTION("""COMPUTED_VALUE"""),44760.73611111111)</f>
        <v>44760.73611</v>
      </c>
      <c r="B140" s="1">
        <f>IFERROR(__xludf.DUMMYFUNCTION("""COMPUTED_VALUE"""),45.91)</f>
        <v>45.91</v>
      </c>
      <c r="C140" s="1">
        <f>IFERROR(__xludf.DUMMYFUNCTION("""COMPUTED_VALUE"""),46.28)</f>
        <v>46.28</v>
      </c>
      <c r="D140" s="1">
        <f>IFERROR(__xludf.DUMMYFUNCTION("""COMPUTED_VALUE"""),45.44)</f>
        <v>45.44</v>
      </c>
      <c r="E140" s="1">
        <f>IFERROR(__xludf.DUMMYFUNCTION("""COMPUTED_VALUE"""),45.66)</f>
        <v>45.66</v>
      </c>
      <c r="F140" s="1">
        <f>IFERROR(__xludf.DUMMYFUNCTION("""COMPUTED_VALUE"""),1966630.0)</f>
        <v>1966630</v>
      </c>
      <c r="G140" s="2" t="s">
        <v>13</v>
      </c>
    </row>
    <row r="141">
      <c r="A141" s="3">
        <f>IFERROR(__xludf.DUMMYFUNCTION("""COMPUTED_VALUE"""),44761.73611111111)</f>
        <v>44761.73611</v>
      </c>
      <c r="B141" s="1">
        <f>IFERROR(__xludf.DUMMYFUNCTION("""COMPUTED_VALUE"""),45.38)</f>
        <v>45.38</v>
      </c>
      <c r="C141" s="1">
        <f>IFERROR(__xludf.DUMMYFUNCTION("""COMPUTED_VALUE"""),46.68)</f>
        <v>46.68</v>
      </c>
      <c r="D141" s="1">
        <f>IFERROR(__xludf.DUMMYFUNCTION("""COMPUTED_VALUE"""),45.3)</f>
        <v>45.3</v>
      </c>
      <c r="E141" s="1">
        <f>IFERROR(__xludf.DUMMYFUNCTION("""COMPUTED_VALUE"""),46.28)</f>
        <v>46.28</v>
      </c>
      <c r="F141" s="1">
        <f>IFERROR(__xludf.DUMMYFUNCTION("""COMPUTED_VALUE"""),2278902.0)</f>
        <v>2278902</v>
      </c>
      <c r="G141" s="2" t="s">
        <v>13</v>
      </c>
    </row>
    <row r="142">
      <c r="A142" s="3">
        <f>IFERROR(__xludf.DUMMYFUNCTION("""COMPUTED_VALUE"""),44762.73611111111)</f>
        <v>44762.73611</v>
      </c>
      <c r="B142" s="1">
        <f>IFERROR(__xludf.DUMMYFUNCTION("""COMPUTED_VALUE"""),46.28)</f>
        <v>46.28</v>
      </c>
      <c r="C142" s="1">
        <f>IFERROR(__xludf.DUMMYFUNCTION("""COMPUTED_VALUE"""),46.57)</f>
        <v>46.57</v>
      </c>
      <c r="D142" s="1">
        <f>IFERROR(__xludf.DUMMYFUNCTION("""COMPUTED_VALUE"""),45.67)</f>
        <v>45.67</v>
      </c>
      <c r="E142" s="1">
        <f>IFERROR(__xludf.DUMMYFUNCTION("""COMPUTED_VALUE"""),45.72)</f>
        <v>45.72</v>
      </c>
      <c r="F142" s="1">
        <f>IFERROR(__xludf.DUMMYFUNCTION("""COMPUTED_VALUE"""),1657657.0)</f>
        <v>1657657</v>
      </c>
      <c r="G142" s="2" t="s">
        <v>13</v>
      </c>
    </row>
    <row r="143">
      <c r="A143" s="3">
        <f>IFERROR(__xludf.DUMMYFUNCTION("""COMPUTED_VALUE"""),44763.73611111111)</f>
        <v>44763.73611</v>
      </c>
      <c r="B143" s="1">
        <f>IFERROR(__xludf.DUMMYFUNCTION("""COMPUTED_VALUE"""),45.83)</f>
        <v>45.83</v>
      </c>
      <c r="C143" s="1">
        <f>IFERROR(__xludf.DUMMYFUNCTION("""COMPUTED_VALUE"""),45.86)</f>
        <v>45.86</v>
      </c>
      <c r="D143" s="1">
        <f>IFERROR(__xludf.DUMMYFUNCTION("""COMPUTED_VALUE"""),45.01)</f>
        <v>45.01</v>
      </c>
      <c r="E143" s="1">
        <f>IFERROR(__xludf.DUMMYFUNCTION("""COMPUTED_VALUE"""),45.6)</f>
        <v>45.6</v>
      </c>
      <c r="F143" s="1">
        <f>IFERROR(__xludf.DUMMYFUNCTION("""COMPUTED_VALUE"""),2030429.0)</f>
        <v>2030429</v>
      </c>
      <c r="G143" s="2" t="s">
        <v>13</v>
      </c>
    </row>
    <row r="144">
      <c r="A144" s="3">
        <f>IFERROR(__xludf.DUMMYFUNCTION("""COMPUTED_VALUE"""),44764.73611111111)</f>
        <v>44764.73611</v>
      </c>
      <c r="B144" s="1">
        <f>IFERROR(__xludf.DUMMYFUNCTION("""COMPUTED_VALUE"""),45.77)</f>
        <v>45.77</v>
      </c>
      <c r="C144" s="1">
        <f>IFERROR(__xludf.DUMMYFUNCTION("""COMPUTED_VALUE"""),46.24)</f>
        <v>46.24</v>
      </c>
      <c r="D144" s="1">
        <f>IFERROR(__xludf.DUMMYFUNCTION("""COMPUTED_VALUE"""),45.65)</f>
        <v>45.65</v>
      </c>
      <c r="E144" s="1">
        <f>IFERROR(__xludf.DUMMYFUNCTION("""COMPUTED_VALUE"""),45.93)</f>
        <v>45.93</v>
      </c>
      <c r="F144" s="1">
        <f>IFERROR(__xludf.DUMMYFUNCTION("""COMPUTED_VALUE"""),1627338.0)</f>
        <v>1627338</v>
      </c>
      <c r="G144" s="2" t="s">
        <v>13</v>
      </c>
    </row>
    <row r="145">
      <c r="A145" s="3">
        <f>IFERROR(__xludf.DUMMYFUNCTION("""COMPUTED_VALUE"""),44767.73611111111)</f>
        <v>44767.73611</v>
      </c>
      <c r="B145" s="1">
        <f>IFERROR(__xludf.DUMMYFUNCTION("""COMPUTED_VALUE"""),45.94)</f>
        <v>45.94</v>
      </c>
      <c r="C145" s="1">
        <f>IFERROR(__xludf.DUMMYFUNCTION("""COMPUTED_VALUE"""),46.3)</f>
        <v>46.3</v>
      </c>
      <c r="D145" s="1">
        <f>IFERROR(__xludf.DUMMYFUNCTION("""COMPUTED_VALUE"""),45.82)</f>
        <v>45.82</v>
      </c>
      <c r="E145" s="1">
        <f>IFERROR(__xludf.DUMMYFUNCTION("""COMPUTED_VALUE"""),46.09)</f>
        <v>46.09</v>
      </c>
      <c r="F145" s="1">
        <f>IFERROR(__xludf.DUMMYFUNCTION("""COMPUTED_VALUE"""),1429112.0)</f>
        <v>1429112</v>
      </c>
      <c r="G145" s="2" t="s">
        <v>13</v>
      </c>
    </row>
    <row r="146">
      <c r="A146" s="3">
        <f>IFERROR(__xludf.DUMMYFUNCTION("""COMPUTED_VALUE"""),44768.73611111111)</f>
        <v>44768.73611</v>
      </c>
      <c r="B146" s="1">
        <f>IFERROR(__xludf.DUMMYFUNCTION("""COMPUTED_VALUE"""),46.7)</f>
        <v>46.7</v>
      </c>
      <c r="C146" s="1">
        <f>IFERROR(__xludf.DUMMYFUNCTION("""COMPUTED_VALUE"""),47.89)</f>
        <v>47.89</v>
      </c>
      <c r="D146" s="1">
        <f>IFERROR(__xludf.DUMMYFUNCTION("""COMPUTED_VALUE"""),46.62)</f>
        <v>46.62</v>
      </c>
      <c r="E146" s="1">
        <f>IFERROR(__xludf.DUMMYFUNCTION("""COMPUTED_VALUE"""),47.89)</f>
        <v>47.89</v>
      </c>
      <c r="F146" s="1">
        <f>IFERROR(__xludf.DUMMYFUNCTION("""COMPUTED_VALUE"""),4117469.0)</f>
        <v>4117469</v>
      </c>
      <c r="G146" s="2" t="s">
        <v>13</v>
      </c>
    </row>
    <row r="147">
      <c r="A147" s="3">
        <f>IFERROR(__xludf.DUMMYFUNCTION("""COMPUTED_VALUE"""),44769.73611111111)</f>
        <v>44769.73611</v>
      </c>
      <c r="B147" s="1">
        <f>IFERROR(__xludf.DUMMYFUNCTION("""COMPUTED_VALUE"""),48.76)</f>
        <v>48.76</v>
      </c>
      <c r="C147" s="1">
        <f>IFERROR(__xludf.DUMMYFUNCTION("""COMPUTED_VALUE"""),48.81)</f>
        <v>48.81</v>
      </c>
      <c r="D147" s="1">
        <f>IFERROR(__xludf.DUMMYFUNCTION("""COMPUTED_VALUE"""),47.43)</f>
        <v>47.43</v>
      </c>
      <c r="E147" s="1">
        <f>IFERROR(__xludf.DUMMYFUNCTION("""COMPUTED_VALUE"""),47.49)</f>
        <v>47.49</v>
      </c>
      <c r="F147" s="1">
        <f>IFERROR(__xludf.DUMMYFUNCTION("""COMPUTED_VALUE"""),2843960.0)</f>
        <v>2843960</v>
      </c>
      <c r="G147" s="2" t="s">
        <v>13</v>
      </c>
    </row>
    <row r="148">
      <c r="A148" s="3">
        <f>IFERROR(__xludf.DUMMYFUNCTION("""COMPUTED_VALUE"""),44770.73611111111)</f>
        <v>44770.73611</v>
      </c>
      <c r="B148" s="1">
        <f>IFERROR(__xludf.DUMMYFUNCTION("""COMPUTED_VALUE"""),47.51)</f>
        <v>47.51</v>
      </c>
      <c r="C148" s="1">
        <f>IFERROR(__xludf.DUMMYFUNCTION("""COMPUTED_VALUE"""),47.51)</f>
        <v>47.51</v>
      </c>
      <c r="D148" s="1">
        <f>IFERROR(__xludf.DUMMYFUNCTION("""COMPUTED_VALUE"""),46.99)</f>
        <v>46.99</v>
      </c>
      <c r="E148" s="1">
        <f>IFERROR(__xludf.DUMMYFUNCTION("""COMPUTED_VALUE"""),47.38)</f>
        <v>47.38</v>
      </c>
      <c r="F148" s="1">
        <f>IFERROR(__xludf.DUMMYFUNCTION("""COMPUTED_VALUE"""),1901178.0)</f>
        <v>1901178</v>
      </c>
      <c r="G148" s="2" t="s">
        <v>13</v>
      </c>
    </row>
    <row r="149">
      <c r="A149" s="3">
        <f>IFERROR(__xludf.DUMMYFUNCTION("""COMPUTED_VALUE"""),44771.73611111111)</f>
        <v>44771.73611</v>
      </c>
      <c r="B149" s="1">
        <f>IFERROR(__xludf.DUMMYFUNCTION("""COMPUTED_VALUE"""),47.23)</f>
        <v>47.23</v>
      </c>
      <c r="C149" s="1">
        <f>IFERROR(__xludf.DUMMYFUNCTION("""COMPUTED_VALUE"""),47.76)</f>
        <v>47.76</v>
      </c>
      <c r="D149" s="1">
        <f>IFERROR(__xludf.DUMMYFUNCTION("""COMPUTED_VALUE"""),47.17)</f>
        <v>47.17</v>
      </c>
      <c r="E149" s="1">
        <f>IFERROR(__xludf.DUMMYFUNCTION("""COMPUTED_VALUE"""),47.64)</f>
        <v>47.64</v>
      </c>
      <c r="F149" s="1">
        <f>IFERROR(__xludf.DUMMYFUNCTION("""COMPUTED_VALUE"""),2195444.0)</f>
        <v>2195444</v>
      </c>
      <c r="G149" s="2" t="s">
        <v>13</v>
      </c>
    </row>
    <row r="150">
      <c r="A150" s="3">
        <f>IFERROR(__xludf.DUMMYFUNCTION("""COMPUTED_VALUE"""),44774.73611111111)</f>
        <v>44774.73611</v>
      </c>
      <c r="B150" s="1">
        <f>IFERROR(__xludf.DUMMYFUNCTION("""COMPUTED_VALUE"""),47.5)</f>
        <v>47.5</v>
      </c>
      <c r="C150" s="1">
        <f>IFERROR(__xludf.DUMMYFUNCTION("""COMPUTED_VALUE"""),47.89)</f>
        <v>47.89</v>
      </c>
      <c r="D150" s="1">
        <f>IFERROR(__xludf.DUMMYFUNCTION("""COMPUTED_VALUE"""),47.4)</f>
        <v>47.4</v>
      </c>
      <c r="E150" s="1">
        <f>IFERROR(__xludf.DUMMYFUNCTION("""COMPUTED_VALUE"""),47.65)</f>
        <v>47.65</v>
      </c>
      <c r="F150" s="1">
        <f>IFERROR(__xludf.DUMMYFUNCTION("""COMPUTED_VALUE"""),1258436.0)</f>
        <v>1258436</v>
      </c>
      <c r="G150" s="2" t="s">
        <v>13</v>
      </c>
    </row>
    <row r="151">
      <c r="A151" s="3">
        <f>IFERROR(__xludf.DUMMYFUNCTION("""COMPUTED_VALUE"""),44775.73611111111)</f>
        <v>44775.73611</v>
      </c>
      <c r="B151" s="1">
        <f>IFERROR(__xludf.DUMMYFUNCTION("""COMPUTED_VALUE"""),47.7)</f>
        <v>47.7</v>
      </c>
      <c r="C151" s="1">
        <f>IFERROR(__xludf.DUMMYFUNCTION("""COMPUTED_VALUE"""),48.12)</f>
        <v>48.12</v>
      </c>
      <c r="D151" s="1">
        <f>IFERROR(__xludf.DUMMYFUNCTION("""COMPUTED_VALUE"""),47.52)</f>
        <v>47.52</v>
      </c>
      <c r="E151" s="1">
        <f>IFERROR(__xludf.DUMMYFUNCTION("""COMPUTED_VALUE"""),47.86)</f>
        <v>47.86</v>
      </c>
      <c r="F151" s="1">
        <f>IFERROR(__xludf.DUMMYFUNCTION("""COMPUTED_VALUE"""),1740812.0)</f>
        <v>1740812</v>
      </c>
      <c r="G151" s="2" t="s">
        <v>13</v>
      </c>
    </row>
    <row r="152">
      <c r="A152" s="3">
        <f>IFERROR(__xludf.DUMMYFUNCTION("""COMPUTED_VALUE"""),44776.73611111111)</f>
        <v>44776.73611</v>
      </c>
      <c r="B152" s="1">
        <f>IFERROR(__xludf.DUMMYFUNCTION("""COMPUTED_VALUE"""),47.64)</f>
        <v>47.64</v>
      </c>
      <c r="C152" s="1">
        <f>IFERROR(__xludf.DUMMYFUNCTION("""COMPUTED_VALUE"""),48.04)</f>
        <v>48.04</v>
      </c>
      <c r="D152" s="1">
        <f>IFERROR(__xludf.DUMMYFUNCTION("""COMPUTED_VALUE"""),47.34)</f>
        <v>47.34</v>
      </c>
      <c r="E152" s="1">
        <f>IFERROR(__xludf.DUMMYFUNCTION("""COMPUTED_VALUE"""),47.98)</f>
        <v>47.98</v>
      </c>
      <c r="F152" s="1">
        <f>IFERROR(__xludf.DUMMYFUNCTION("""COMPUTED_VALUE"""),1454621.0)</f>
        <v>1454621</v>
      </c>
      <c r="G152" s="2" t="s">
        <v>13</v>
      </c>
    </row>
    <row r="153">
      <c r="A153" s="3">
        <f>IFERROR(__xludf.DUMMYFUNCTION("""COMPUTED_VALUE"""),44777.73611111111)</f>
        <v>44777.73611</v>
      </c>
      <c r="B153" s="1">
        <f>IFERROR(__xludf.DUMMYFUNCTION("""COMPUTED_VALUE"""),47.63)</f>
        <v>47.63</v>
      </c>
      <c r="C153" s="1">
        <f>IFERROR(__xludf.DUMMYFUNCTION("""COMPUTED_VALUE"""),47.72)</f>
        <v>47.72</v>
      </c>
      <c r="D153" s="1">
        <f>IFERROR(__xludf.DUMMYFUNCTION("""COMPUTED_VALUE"""),47.13)</f>
        <v>47.13</v>
      </c>
      <c r="E153" s="1">
        <f>IFERROR(__xludf.DUMMYFUNCTION("""COMPUTED_VALUE"""),47.35)</f>
        <v>47.35</v>
      </c>
      <c r="F153" s="1">
        <f>IFERROR(__xludf.DUMMYFUNCTION("""COMPUTED_VALUE"""),1427017.0)</f>
        <v>1427017</v>
      </c>
      <c r="G153" s="2" t="s">
        <v>13</v>
      </c>
    </row>
    <row r="154">
      <c r="A154" s="3">
        <f>IFERROR(__xludf.DUMMYFUNCTION("""COMPUTED_VALUE"""),44778.73611111111)</f>
        <v>44778.73611</v>
      </c>
      <c r="B154" s="1">
        <f>IFERROR(__xludf.DUMMYFUNCTION("""COMPUTED_VALUE"""),47.46)</f>
        <v>47.46</v>
      </c>
      <c r="C154" s="1">
        <f>IFERROR(__xludf.DUMMYFUNCTION("""COMPUTED_VALUE"""),47.5)</f>
        <v>47.5</v>
      </c>
      <c r="D154" s="1">
        <f>IFERROR(__xludf.DUMMYFUNCTION("""COMPUTED_VALUE"""),46.97)</f>
        <v>46.97</v>
      </c>
      <c r="E154" s="1">
        <f>IFERROR(__xludf.DUMMYFUNCTION("""COMPUTED_VALUE"""),47.11)</f>
        <v>47.11</v>
      </c>
      <c r="F154" s="1">
        <f>IFERROR(__xludf.DUMMYFUNCTION("""COMPUTED_VALUE"""),1654864.0)</f>
        <v>1654864</v>
      </c>
      <c r="G154" s="2" t="s">
        <v>13</v>
      </c>
    </row>
    <row r="155">
      <c r="A155" s="3">
        <f>IFERROR(__xludf.DUMMYFUNCTION("""COMPUTED_VALUE"""),44781.73611111111)</f>
        <v>44781.73611</v>
      </c>
      <c r="B155" s="1">
        <f>IFERROR(__xludf.DUMMYFUNCTION("""COMPUTED_VALUE"""),47.23)</f>
        <v>47.23</v>
      </c>
      <c r="C155" s="1">
        <f>IFERROR(__xludf.DUMMYFUNCTION("""COMPUTED_VALUE"""),47.74)</f>
        <v>47.74</v>
      </c>
      <c r="D155" s="1">
        <f>IFERROR(__xludf.DUMMYFUNCTION("""COMPUTED_VALUE"""),46.93)</f>
        <v>46.93</v>
      </c>
      <c r="E155" s="1">
        <f>IFERROR(__xludf.DUMMYFUNCTION("""COMPUTED_VALUE"""),47.45)</f>
        <v>47.45</v>
      </c>
      <c r="F155" s="1">
        <f>IFERROR(__xludf.DUMMYFUNCTION("""COMPUTED_VALUE"""),1324409.0)</f>
        <v>1324409</v>
      </c>
      <c r="G155" s="2" t="s">
        <v>13</v>
      </c>
    </row>
    <row r="156">
      <c r="A156" s="3">
        <f>IFERROR(__xludf.DUMMYFUNCTION("""COMPUTED_VALUE"""),44782.73611111111)</f>
        <v>44782.73611</v>
      </c>
      <c r="B156" s="1">
        <f>IFERROR(__xludf.DUMMYFUNCTION("""COMPUTED_VALUE"""),47.4)</f>
        <v>47.4</v>
      </c>
      <c r="C156" s="1">
        <f>IFERROR(__xludf.DUMMYFUNCTION("""COMPUTED_VALUE"""),47.48)</f>
        <v>47.48</v>
      </c>
      <c r="D156" s="1">
        <f>IFERROR(__xludf.DUMMYFUNCTION("""COMPUTED_VALUE"""),47.01)</f>
        <v>47.01</v>
      </c>
      <c r="E156" s="1">
        <f>IFERROR(__xludf.DUMMYFUNCTION("""COMPUTED_VALUE"""),47.17)</f>
        <v>47.17</v>
      </c>
      <c r="F156" s="1">
        <f>IFERROR(__xludf.DUMMYFUNCTION("""COMPUTED_VALUE"""),1248827.0)</f>
        <v>1248827</v>
      </c>
      <c r="G156" s="2" t="s">
        <v>13</v>
      </c>
    </row>
    <row r="157">
      <c r="A157" s="3">
        <f>IFERROR(__xludf.DUMMYFUNCTION("""COMPUTED_VALUE"""),44783.73611111111)</f>
        <v>44783.73611</v>
      </c>
      <c r="B157" s="1">
        <f>IFERROR(__xludf.DUMMYFUNCTION("""COMPUTED_VALUE"""),46.96)</f>
        <v>46.96</v>
      </c>
      <c r="C157" s="1">
        <f>IFERROR(__xludf.DUMMYFUNCTION("""COMPUTED_VALUE"""),47.12)</f>
        <v>47.12</v>
      </c>
      <c r="D157" s="1">
        <f>IFERROR(__xludf.DUMMYFUNCTION("""COMPUTED_VALUE"""),46.53)</f>
        <v>46.53</v>
      </c>
      <c r="E157" s="1">
        <f>IFERROR(__xludf.DUMMYFUNCTION("""COMPUTED_VALUE"""),46.76)</f>
        <v>46.76</v>
      </c>
      <c r="F157" s="1">
        <f>IFERROR(__xludf.DUMMYFUNCTION("""COMPUTED_VALUE"""),1357998.0)</f>
        <v>1357998</v>
      </c>
      <c r="G157" s="2" t="s">
        <v>13</v>
      </c>
    </row>
    <row r="158">
      <c r="A158" s="3">
        <f>IFERROR(__xludf.DUMMYFUNCTION("""COMPUTED_VALUE"""),44784.73611111111)</f>
        <v>44784.73611</v>
      </c>
      <c r="B158" s="1">
        <f>IFERROR(__xludf.DUMMYFUNCTION("""COMPUTED_VALUE"""),46.91)</f>
        <v>46.91</v>
      </c>
      <c r="C158" s="1">
        <f>IFERROR(__xludf.DUMMYFUNCTION("""COMPUTED_VALUE"""),46.93)</f>
        <v>46.93</v>
      </c>
      <c r="D158" s="1">
        <f>IFERROR(__xludf.DUMMYFUNCTION("""COMPUTED_VALUE"""),46.01)</f>
        <v>46.01</v>
      </c>
      <c r="E158" s="1">
        <f>IFERROR(__xludf.DUMMYFUNCTION("""COMPUTED_VALUE"""),46.36)</f>
        <v>46.36</v>
      </c>
      <c r="F158" s="1">
        <f>IFERROR(__xludf.DUMMYFUNCTION("""COMPUTED_VALUE"""),1661219.0)</f>
        <v>1661219</v>
      </c>
      <c r="G158" s="2" t="s">
        <v>13</v>
      </c>
    </row>
    <row r="159">
      <c r="A159" s="3">
        <f>IFERROR(__xludf.DUMMYFUNCTION("""COMPUTED_VALUE"""),44785.73611111111)</f>
        <v>44785.73611</v>
      </c>
      <c r="B159" s="1">
        <f>IFERROR(__xludf.DUMMYFUNCTION("""COMPUTED_VALUE"""),46.2)</f>
        <v>46.2</v>
      </c>
      <c r="C159" s="1">
        <f>IFERROR(__xludf.DUMMYFUNCTION("""COMPUTED_VALUE"""),46.24)</f>
        <v>46.24</v>
      </c>
      <c r="D159" s="1">
        <f>IFERROR(__xludf.DUMMYFUNCTION("""COMPUTED_VALUE"""),45.81)</f>
        <v>45.81</v>
      </c>
      <c r="E159" s="1">
        <f>IFERROR(__xludf.DUMMYFUNCTION("""COMPUTED_VALUE"""),46.19)</f>
        <v>46.19</v>
      </c>
      <c r="F159" s="1">
        <f>IFERROR(__xludf.DUMMYFUNCTION("""COMPUTED_VALUE"""),2234124.0)</f>
        <v>2234124</v>
      </c>
      <c r="G159" s="2" t="s">
        <v>13</v>
      </c>
    </row>
    <row r="160">
      <c r="A160" s="3">
        <f>IFERROR(__xludf.DUMMYFUNCTION("""COMPUTED_VALUE"""),44788.73611111111)</f>
        <v>44788.73611</v>
      </c>
      <c r="B160" s="1">
        <f>IFERROR(__xludf.DUMMYFUNCTION("""COMPUTED_VALUE"""),46.46)</f>
        <v>46.46</v>
      </c>
      <c r="C160" s="1">
        <f>IFERROR(__xludf.DUMMYFUNCTION("""COMPUTED_VALUE"""),46.71)</f>
        <v>46.71</v>
      </c>
      <c r="D160" s="1">
        <f>IFERROR(__xludf.DUMMYFUNCTION("""COMPUTED_VALUE"""),46.16)</f>
        <v>46.16</v>
      </c>
      <c r="E160" s="1">
        <f>IFERROR(__xludf.DUMMYFUNCTION("""COMPUTED_VALUE"""),46.61)</f>
        <v>46.61</v>
      </c>
      <c r="F160" s="1">
        <f>IFERROR(__xludf.DUMMYFUNCTION("""COMPUTED_VALUE"""),2126529.0)</f>
        <v>2126529</v>
      </c>
      <c r="G160" s="2" t="s">
        <v>13</v>
      </c>
    </row>
    <row r="161">
      <c r="A161" s="3">
        <f>IFERROR(__xludf.DUMMYFUNCTION("""COMPUTED_VALUE"""),44789.73611111111)</f>
        <v>44789.73611</v>
      </c>
      <c r="B161" s="1">
        <f>IFERROR(__xludf.DUMMYFUNCTION("""COMPUTED_VALUE"""),46.75)</f>
        <v>46.75</v>
      </c>
      <c r="C161" s="1">
        <f>IFERROR(__xludf.DUMMYFUNCTION("""COMPUTED_VALUE"""),46.85)</f>
        <v>46.85</v>
      </c>
      <c r="D161" s="1">
        <f>IFERROR(__xludf.DUMMYFUNCTION("""COMPUTED_VALUE"""),46.3)</f>
        <v>46.3</v>
      </c>
      <c r="E161" s="1">
        <f>IFERROR(__xludf.DUMMYFUNCTION("""COMPUTED_VALUE"""),46.61)</f>
        <v>46.61</v>
      </c>
      <c r="F161" s="1">
        <f>IFERROR(__xludf.DUMMYFUNCTION("""COMPUTED_VALUE"""),2292941.0)</f>
        <v>2292941</v>
      </c>
      <c r="G161" s="2" t="s">
        <v>13</v>
      </c>
    </row>
    <row r="162">
      <c r="A162" s="3">
        <f>IFERROR(__xludf.DUMMYFUNCTION("""COMPUTED_VALUE"""),44790.73611111111)</f>
        <v>44790.73611</v>
      </c>
      <c r="B162" s="1">
        <f>IFERROR(__xludf.DUMMYFUNCTION("""COMPUTED_VALUE"""),46.74)</f>
        <v>46.74</v>
      </c>
      <c r="C162" s="1">
        <f>IFERROR(__xludf.DUMMYFUNCTION("""COMPUTED_VALUE"""),46.9)</f>
        <v>46.9</v>
      </c>
      <c r="D162" s="1">
        <f>IFERROR(__xludf.DUMMYFUNCTION("""COMPUTED_VALUE"""),46.55)</f>
        <v>46.55</v>
      </c>
      <c r="E162" s="1">
        <f>IFERROR(__xludf.DUMMYFUNCTION("""COMPUTED_VALUE"""),46.67)</f>
        <v>46.67</v>
      </c>
      <c r="F162" s="1">
        <f>IFERROR(__xludf.DUMMYFUNCTION("""COMPUTED_VALUE"""),1437233.0)</f>
        <v>1437233</v>
      </c>
      <c r="G162" s="2" t="s">
        <v>13</v>
      </c>
    </row>
    <row r="163">
      <c r="A163" s="3">
        <f>IFERROR(__xludf.DUMMYFUNCTION("""COMPUTED_VALUE"""),44791.73611111111)</f>
        <v>44791.73611</v>
      </c>
      <c r="B163" s="1">
        <f>IFERROR(__xludf.DUMMYFUNCTION("""COMPUTED_VALUE"""),46.86)</f>
        <v>46.86</v>
      </c>
      <c r="C163" s="1">
        <f>IFERROR(__xludf.DUMMYFUNCTION("""COMPUTED_VALUE"""),46.86)</f>
        <v>46.86</v>
      </c>
      <c r="D163" s="1">
        <f>IFERROR(__xludf.DUMMYFUNCTION("""COMPUTED_VALUE"""),46.35)</f>
        <v>46.35</v>
      </c>
      <c r="E163" s="1">
        <f>IFERROR(__xludf.DUMMYFUNCTION("""COMPUTED_VALUE"""),46.67)</f>
        <v>46.67</v>
      </c>
      <c r="F163" s="1">
        <f>IFERROR(__xludf.DUMMYFUNCTION("""COMPUTED_VALUE"""),1401349.0)</f>
        <v>1401349</v>
      </c>
      <c r="G163" s="2" t="s">
        <v>13</v>
      </c>
    </row>
    <row r="164">
      <c r="A164" s="3">
        <f>IFERROR(__xludf.DUMMYFUNCTION("""COMPUTED_VALUE"""),44792.73611111111)</f>
        <v>44792.73611</v>
      </c>
      <c r="B164" s="1">
        <f>IFERROR(__xludf.DUMMYFUNCTION("""COMPUTED_VALUE"""),46.58)</f>
        <v>46.58</v>
      </c>
      <c r="C164" s="1">
        <f>IFERROR(__xludf.DUMMYFUNCTION("""COMPUTED_VALUE"""),47.19)</f>
        <v>47.19</v>
      </c>
      <c r="D164" s="1">
        <f>IFERROR(__xludf.DUMMYFUNCTION("""COMPUTED_VALUE"""),46.42)</f>
        <v>46.42</v>
      </c>
      <c r="E164" s="1">
        <f>IFERROR(__xludf.DUMMYFUNCTION("""COMPUTED_VALUE"""),47.15)</f>
        <v>47.15</v>
      </c>
      <c r="F164" s="1">
        <f>IFERROR(__xludf.DUMMYFUNCTION("""COMPUTED_VALUE"""),2208129.0)</f>
        <v>2208129</v>
      </c>
      <c r="G164" s="2" t="s">
        <v>13</v>
      </c>
    </row>
    <row r="165">
      <c r="A165" s="3">
        <f>IFERROR(__xludf.DUMMYFUNCTION("""COMPUTED_VALUE"""),44795.73611111111)</f>
        <v>44795.73611</v>
      </c>
      <c r="B165" s="1">
        <f>IFERROR(__xludf.DUMMYFUNCTION("""COMPUTED_VALUE"""),46.96)</f>
        <v>46.96</v>
      </c>
      <c r="C165" s="1">
        <f>IFERROR(__xludf.DUMMYFUNCTION("""COMPUTED_VALUE"""),47.56)</f>
        <v>47.56</v>
      </c>
      <c r="D165" s="1">
        <f>IFERROR(__xludf.DUMMYFUNCTION("""COMPUTED_VALUE"""),46.89)</f>
        <v>46.89</v>
      </c>
      <c r="E165" s="1">
        <f>IFERROR(__xludf.DUMMYFUNCTION("""COMPUTED_VALUE"""),47.37)</f>
        <v>47.37</v>
      </c>
      <c r="F165" s="1">
        <f>IFERROR(__xludf.DUMMYFUNCTION("""COMPUTED_VALUE"""),1744851.0)</f>
        <v>1744851</v>
      </c>
      <c r="G165" s="2" t="s">
        <v>13</v>
      </c>
    </row>
    <row r="166">
      <c r="A166" s="3">
        <f>IFERROR(__xludf.DUMMYFUNCTION("""COMPUTED_VALUE"""),44796.73611111111)</f>
        <v>44796.73611</v>
      </c>
      <c r="B166" s="1">
        <f>IFERROR(__xludf.DUMMYFUNCTION("""COMPUTED_VALUE"""),47.3)</f>
        <v>47.3</v>
      </c>
      <c r="C166" s="1">
        <f>IFERROR(__xludf.DUMMYFUNCTION("""COMPUTED_VALUE"""),47.37)</f>
        <v>47.37</v>
      </c>
      <c r="D166" s="1">
        <f>IFERROR(__xludf.DUMMYFUNCTION("""COMPUTED_VALUE"""),46.47)</f>
        <v>46.47</v>
      </c>
      <c r="E166" s="1">
        <f>IFERROR(__xludf.DUMMYFUNCTION("""COMPUTED_VALUE"""),46.85)</f>
        <v>46.85</v>
      </c>
      <c r="F166" s="1">
        <f>IFERROR(__xludf.DUMMYFUNCTION("""COMPUTED_VALUE"""),1806684.0)</f>
        <v>1806684</v>
      </c>
      <c r="G166" s="2" t="s">
        <v>13</v>
      </c>
    </row>
    <row r="167">
      <c r="A167" s="3">
        <f>IFERROR(__xludf.DUMMYFUNCTION("""COMPUTED_VALUE"""),44797.73611111111)</f>
        <v>44797.73611</v>
      </c>
      <c r="B167" s="1">
        <f>IFERROR(__xludf.DUMMYFUNCTION("""COMPUTED_VALUE"""),46.69)</f>
        <v>46.69</v>
      </c>
      <c r="C167" s="1">
        <f>IFERROR(__xludf.DUMMYFUNCTION("""COMPUTED_VALUE"""),47.29)</f>
        <v>47.29</v>
      </c>
      <c r="D167" s="1">
        <f>IFERROR(__xludf.DUMMYFUNCTION("""COMPUTED_VALUE"""),46.59)</f>
        <v>46.59</v>
      </c>
      <c r="E167" s="1">
        <f>IFERROR(__xludf.DUMMYFUNCTION("""COMPUTED_VALUE"""),47.24)</f>
        <v>47.24</v>
      </c>
      <c r="F167" s="1">
        <f>IFERROR(__xludf.DUMMYFUNCTION("""COMPUTED_VALUE"""),1457063.0)</f>
        <v>1457063</v>
      </c>
      <c r="G167" s="2" t="s">
        <v>13</v>
      </c>
    </row>
    <row r="168">
      <c r="A168" s="3">
        <f>IFERROR(__xludf.DUMMYFUNCTION("""COMPUTED_VALUE"""),44798.73611111111)</f>
        <v>44798.73611</v>
      </c>
      <c r="B168" s="1">
        <f>IFERROR(__xludf.DUMMYFUNCTION("""COMPUTED_VALUE"""),47.23)</f>
        <v>47.23</v>
      </c>
      <c r="C168" s="1">
        <f>IFERROR(__xludf.DUMMYFUNCTION("""COMPUTED_VALUE"""),47.34)</f>
        <v>47.34</v>
      </c>
      <c r="D168" s="1">
        <f>IFERROR(__xludf.DUMMYFUNCTION("""COMPUTED_VALUE"""),46.63)</f>
        <v>46.63</v>
      </c>
      <c r="E168" s="1">
        <f>IFERROR(__xludf.DUMMYFUNCTION("""COMPUTED_VALUE"""),46.96)</f>
        <v>46.96</v>
      </c>
      <c r="F168" s="1">
        <f>IFERROR(__xludf.DUMMYFUNCTION("""COMPUTED_VALUE"""),1730376.0)</f>
        <v>1730376</v>
      </c>
      <c r="G168" s="2" t="s">
        <v>13</v>
      </c>
    </row>
    <row r="169">
      <c r="A169" s="3">
        <f>IFERROR(__xludf.DUMMYFUNCTION("""COMPUTED_VALUE"""),44799.73611111111)</f>
        <v>44799.73611</v>
      </c>
      <c r="B169" s="1">
        <f>IFERROR(__xludf.DUMMYFUNCTION("""COMPUTED_VALUE"""),47.1)</f>
        <v>47.1</v>
      </c>
      <c r="C169" s="1">
        <f>IFERROR(__xludf.DUMMYFUNCTION("""COMPUTED_VALUE"""),47.32)</f>
        <v>47.32</v>
      </c>
      <c r="D169" s="1">
        <f>IFERROR(__xludf.DUMMYFUNCTION("""COMPUTED_VALUE"""),46.22)</f>
        <v>46.22</v>
      </c>
      <c r="E169" s="1">
        <f>IFERROR(__xludf.DUMMYFUNCTION("""COMPUTED_VALUE"""),46.38)</f>
        <v>46.38</v>
      </c>
      <c r="F169" s="1">
        <f>IFERROR(__xludf.DUMMYFUNCTION("""COMPUTED_VALUE"""),1579439.0)</f>
        <v>1579439</v>
      </c>
      <c r="G169" s="2" t="s">
        <v>13</v>
      </c>
    </row>
    <row r="170">
      <c r="A170" s="3">
        <f>IFERROR(__xludf.DUMMYFUNCTION("""COMPUTED_VALUE"""),44802.73611111111)</f>
        <v>44802.73611</v>
      </c>
      <c r="B170" s="1">
        <f>IFERROR(__xludf.DUMMYFUNCTION("""COMPUTED_VALUE"""),46.06)</f>
        <v>46.06</v>
      </c>
      <c r="C170" s="1">
        <f>IFERROR(__xludf.DUMMYFUNCTION("""COMPUTED_VALUE"""),46.16)</f>
        <v>46.16</v>
      </c>
      <c r="D170" s="1">
        <f>IFERROR(__xludf.DUMMYFUNCTION("""COMPUTED_VALUE"""),45.67)</f>
        <v>45.67</v>
      </c>
      <c r="E170" s="1">
        <f>IFERROR(__xludf.DUMMYFUNCTION("""COMPUTED_VALUE"""),46.15)</f>
        <v>46.15</v>
      </c>
      <c r="F170" s="1">
        <f>IFERROR(__xludf.DUMMYFUNCTION("""COMPUTED_VALUE"""),1255876.0)</f>
        <v>1255876</v>
      </c>
      <c r="G170" s="2" t="s">
        <v>13</v>
      </c>
    </row>
    <row r="171">
      <c r="A171" s="3">
        <f>IFERROR(__xludf.DUMMYFUNCTION("""COMPUTED_VALUE"""),44803.73611111111)</f>
        <v>44803.73611</v>
      </c>
      <c r="B171" s="1">
        <f>IFERROR(__xludf.DUMMYFUNCTION("""COMPUTED_VALUE"""),46.16)</f>
        <v>46.16</v>
      </c>
      <c r="C171" s="1">
        <f>IFERROR(__xludf.DUMMYFUNCTION("""COMPUTED_VALUE"""),46.61)</f>
        <v>46.61</v>
      </c>
      <c r="D171" s="1">
        <f>IFERROR(__xludf.DUMMYFUNCTION("""COMPUTED_VALUE"""),45.76)</f>
        <v>45.76</v>
      </c>
      <c r="E171" s="1">
        <f>IFERROR(__xludf.DUMMYFUNCTION("""COMPUTED_VALUE"""),45.91)</f>
        <v>45.91</v>
      </c>
      <c r="F171" s="1">
        <f>IFERROR(__xludf.DUMMYFUNCTION("""COMPUTED_VALUE"""),1546219.0)</f>
        <v>1546219</v>
      </c>
      <c r="G171" s="2" t="s">
        <v>13</v>
      </c>
    </row>
    <row r="172">
      <c r="A172" s="3">
        <f>IFERROR(__xludf.DUMMYFUNCTION("""COMPUTED_VALUE"""),44804.73611111111)</f>
        <v>44804.73611</v>
      </c>
      <c r="B172" s="1">
        <f>IFERROR(__xludf.DUMMYFUNCTION("""COMPUTED_VALUE"""),45.88)</f>
        <v>45.88</v>
      </c>
      <c r="C172" s="1">
        <f>IFERROR(__xludf.DUMMYFUNCTION("""COMPUTED_VALUE"""),45.92)</f>
        <v>45.92</v>
      </c>
      <c r="D172" s="1">
        <f>IFERROR(__xludf.DUMMYFUNCTION("""COMPUTED_VALUE"""),45.28)</f>
        <v>45.28</v>
      </c>
      <c r="E172" s="1">
        <f>IFERROR(__xludf.DUMMYFUNCTION("""COMPUTED_VALUE"""),45.43)</f>
        <v>45.43</v>
      </c>
      <c r="F172" s="1">
        <f>IFERROR(__xludf.DUMMYFUNCTION("""COMPUTED_VALUE"""),2023734.0)</f>
        <v>2023734</v>
      </c>
      <c r="G172" s="2" t="s">
        <v>13</v>
      </c>
    </row>
    <row r="173">
      <c r="A173" s="3">
        <f>IFERROR(__xludf.DUMMYFUNCTION("""COMPUTED_VALUE"""),44805.73611111111)</f>
        <v>44805.73611</v>
      </c>
      <c r="B173" s="1">
        <f>IFERROR(__xludf.DUMMYFUNCTION("""COMPUTED_VALUE"""),45.48)</f>
        <v>45.48</v>
      </c>
      <c r="C173" s="1">
        <f>IFERROR(__xludf.DUMMYFUNCTION("""COMPUTED_VALUE"""),45.48)</f>
        <v>45.48</v>
      </c>
      <c r="D173" s="1">
        <f>IFERROR(__xludf.DUMMYFUNCTION("""COMPUTED_VALUE"""),44.73)</f>
        <v>44.73</v>
      </c>
      <c r="E173" s="1">
        <f>IFERROR(__xludf.DUMMYFUNCTION("""COMPUTED_VALUE"""),45.0)</f>
        <v>45</v>
      </c>
      <c r="F173" s="1">
        <f>IFERROR(__xludf.DUMMYFUNCTION("""COMPUTED_VALUE"""),2736093.0)</f>
        <v>2736093</v>
      </c>
      <c r="G173" s="2" t="s">
        <v>13</v>
      </c>
    </row>
    <row r="174">
      <c r="A174" s="3">
        <f>IFERROR(__xludf.DUMMYFUNCTION("""COMPUTED_VALUE"""),44806.73611111111)</f>
        <v>44806.73611</v>
      </c>
      <c r="B174" s="1">
        <f>IFERROR(__xludf.DUMMYFUNCTION("""COMPUTED_VALUE"""),44.94)</f>
        <v>44.94</v>
      </c>
      <c r="C174" s="1">
        <f>IFERROR(__xludf.DUMMYFUNCTION("""COMPUTED_VALUE"""),45.19)</f>
        <v>45.19</v>
      </c>
      <c r="D174" s="1">
        <f>IFERROR(__xludf.DUMMYFUNCTION("""COMPUTED_VALUE"""),44.81)</f>
        <v>44.81</v>
      </c>
      <c r="E174" s="1">
        <f>IFERROR(__xludf.DUMMYFUNCTION("""COMPUTED_VALUE"""),45.11)</f>
        <v>45.11</v>
      </c>
      <c r="F174" s="1">
        <f>IFERROR(__xludf.DUMMYFUNCTION("""COMPUTED_VALUE"""),2000966.0)</f>
        <v>2000966</v>
      </c>
      <c r="G174" s="2" t="s">
        <v>13</v>
      </c>
    </row>
    <row r="175">
      <c r="A175" s="3">
        <f>IFERROR(__xludf.DUMMYFUNCTION("""COMPUTED_VALUE"""),44809.73611111111)</f>
        <v>44809.73611</v>
      </c>
      <c r="B175" s="1">
        <f>IFERROR(__xludf.DUMMYFUNCTION("""COMPUTED_VALUE"""),44.79)</f>
        <v>44.79</v>
      </c>
      <c r="C175" s="1">
        <f>IFERROR(__xludf.DUMMYFUNCTION("""COMPUTED_VALUE"""),45.02)</f>
        <v>45.02</v>
      </c>
      <c r="D175" s="1">
        <f>IFERROR(__xludf.DUMMYFUNCTION("""COMPUTED_VALUE"""),44.58)</f>
        <v>44.58</v>
      </c>
      <c r="E175" s="1">
        <f>IFERROR(__xludf.DUMMYFUNCTION("""COMPUTED_VALUE"""),45.02)</f>
        <v>45.02</v>
      </c>
      <c r="F175" s="1">
        <f>IFERROR(__xludf.DUMMYFUNCTION("""COMPUTED_VALUE"""),1516622.0)</f>
        <v>1516622</v>
      </c>
      <c r="G175" s="2" t="s">
        <v>13</v>
      </c>
    </row>
    <row r="176">
      <c r="A176" s="3">
        <f>IFERROR(__xludf.DUMMYFUNCTION("""COMPUTED_VALUE"""),44810.73611111111)</f>
        <v>44810.73611</v>
      </c>
      <c r="B176" s="1">
        <f>IFERROR(__xludf.DUMMYFUNCTION("""COMPUTED_VALUE"""),44.85)</f>
        <v>44.85</v>
      </c>
      <c r="C176" s="1">
        <f>IFERROR(__xludf.DUMMYFUNCTION("""COMPUTED_VALUE"""),45.77)</f>
        <v>45.77</v>
      </c>
      <c r="D176" s="1">
        <f>IFERROR(__xludf.DUMMYFUNCTION("""COMPUTED_VALUE"""),44.85)</f>
        <v>44.85</v>
      </c>
      <c r="E176" s="1">
        <f>IFERROR(__xludf.DUMMYFUNCTION("""COMPUTED_VALUE"""),45.58)</f>
        <v>45.58</v>
      </c>
      <c r="F176" s="1">
        <f>IFERROR(__xludf.DUMMYFUNCTION("""COMPUTED_VALUE"""),1793462.0)</f>
        <v>1793462</v>
      </c>
      <c r="G176" s="2" t="s">
        <v>13</v>
      </c>
    </row>
    <row r="177">
      <c r="A177" s="3">
        <f>IFERROR(__xludf.DUMMYFUNCTION("""COMPUTED_VALUE"""),44811.73611111111)</f>
        <v>44811.73611</v>
      </c>
      <c r="B177" s="1">
        <f>IFERROR(__xludf.DUMMYFUNCTION("""COMPUTED_VALUE"""),45.28)</f>
        <v>45.28</v>
      </c>
      <c r="C177" s="1">
        <f>IFERROR(__xludf.DUMMYFUNCTION("""COMPUTED_VALUE"""),45.43)</f>
        <v>45.43</v>
      </c>
      <c r="D177" s="1">
        <f>IFERROR(__xludf.DUMMYFUNCTION("""COMPUTED_VALUE"""),45.12)</f>
        <v>45.12</v>
      </c>
      <c r="E177" s="1">
        <f>IFERROR(__xludf.DUMMYFUNCTION("""COMPUTED_VALUE"""),45.26)</f>
        <v>45.26</v>
      </c>
      <c r="F177" s="1">
        <f>IFERROR(__xludf.DUMMYFUNCTION("""COMPUTED_VALUE"""),1600309.0)</f>
        <v>1600309</v>
      </c>
      <c r="G177" s="2" t="s">
        <v>13</v>
      </c>
    </row>
    <row r="178">
      <c r="A178" s="3">
        <f>IFERROR(__xludf.DUMMYFUNCTION("""COMPUTED_VALUE"""),44812.73611111111)</f>
        <v>44812.73611</v>
      </c>
      <c r="B178" s="1">
        <f>IFERROR(__xludf.DUMMYFUNCTION("""COMPUTED_VALUE"""),45.26)</f>
        <v>45.26</v>
      </c>
      <c r="C178" s="1">
        <f>IFERROR(__xludf.DUMMYFUNCTION("""COMPUTED_VALUE"""),45.41)</f>
        <v>45.41</v>
      </c>
      <c r="D178" s="1">
        <f>IFERROR(__xludf.DUMMYFUNCTION("""COMPUTED_VALUE"""),44.63)</f>
        <v>44.63</v>
      </c>
      <c r="E178" s="1">
        <f>IFERROR(__xludf.DUMMYFUNCTION("""COMPUTED_VALUE"""),45.18)</f>
        <v>45.18</v>
      </c>
      <c r="F178" s="1">
        <f>IFERROR(__xludf.DUMMYFUNCTION("""COMPUTED_VALUE"""),1405164.0)</f>
        <v>1405164</v>
      </c>
      <c r="G178" s="2" t="s">
        <v>13</v>
      </c>
    </row>
    <row r="179">
      <c r="A179" s="3">
        <f>IFERROR(__xludf.DUMMYFUNCTION("""COMPUTED_VALUE"""),44813.73611111111)</f>
        <v>44813.73611</v>
      </c>
      <c r="B179" s="1">
        <f>IFERROR(__xludf.DUMMYFUNCTION("""COMPUTED_VALUE"""),45.29)</f>
        <v>45.29</v>
      </c>
      <c r="C179" s="1">
        <f>IFERROR(__xludf.DUMMYFUNCTION("""COMPUTED_VALUE"""),45.96)</f>
        <v>45.96</v>
      </c>
      <c r="D179" s="1">
        <f>IFERROR(__xludf.DUMMYFUNCTION("""COMPUTED_VALUE"""),45.17)</f>
        <v>45.17</v>
      </c>
      <c r="E179" s="1">
        <f>IFERROR(__xludf.DUMMYFUNCTION("""COMPUTED_VALUE"""),45.6)</f>
        <v>45.6</v>
      </c>
      <c r="F179" s="1">
        <f>IFERROR(__xludf.DUMMYFUNCTION("""COMPUTED_VALUE"""),1657612.0)</f>
        <v>1657612</v>
      </c>
      <c r="G179" s="2" t="s">
        <v>13</v>
      </c>
    </row>
    <row r="180">
      <c r="A180" s="3">
        <f>IFERROR(__xludf.DUMMYFUNCTION("""COMPUTED_VALUE"""),44816.73611111111)</f>
        <v>44816.73611</v>
      </c>
      <c r="B180" s="1">
        <f>IFERROR(__xludf.DUMMYFUNCTION("""COMPUTED_VALUE"""),45.62)</f>
        <v>45.62</v>
      </c>
      <c r="C180" s="1">
        <f>IFERROR(__xludf.DUMMYFUNCTION("""COMPUTED_VALUE"""),46.53)</f>
        <v>46.53</v>
      </c>
      <c r="D180" s="1">
        <f>IFERROR(__xludf.DUMMYFUNCTION("""COMPUTED_VALUE"""),45.58)</f>
        <v>45.58</v>
      </c>
      <c r="E180" s="1">
        <f>IFERROR(__xludf.DUMMYFUNCTION("""COMPUTED_VALUE"""),46.43)</f>
        <v>46.43</v>
      </c>
      <c r="F180" s="1">
        <f>IFERROR(__xludf.DUMMYFUNCTION("""COMPUTED_VALUE"""),1933170.0)</f>
        <v>1933170</v>
      </c>
      <c r="G180" s="2" t="s">
        <v>13</v>
      </c>
    </row>
    <row r="181">
      <c r="A181" s="3">
        <f>IFERROR(__xludf.DUMMYFUNCTION("""COMPUTED_VALUE"""),44817.73611111111)</f>
        <v>44817.73611</v>
      </c>
      <c r="B181" s="1">
        <f>IFERROR(__xludf.DUMMYFUNCTION("""COMPUTED_VALUE"""),46.51)</f>
        <v>46.51</v>
      </c>
      <c r="C181" s="1">
        <f>IFERROR(__xludf.DUMMYFUNCTION("""COMPUTED_VALUE"""),46.82)</f>
        <v>46.82</v>
      </c>
      <c r="D181" s="1">
        <f>IFERROR(__xludf.DUMMYFUNCTION("""COMPUTED_VALUE"""),46.3)</f>
        <v>46.3</v>
      </c>
      <c r="E181" s="1">
        <f>IFERROR(__xludf.DUMMYFUNCTION("""COMPUTED_VALUE"""),46.3)</f>
        <v>46.3</v>
      </c>
      <c r="F181" s="1">
        <f>IFERROR(__xludf.DUMMYFUNCTION("""COMPUTED_VALUE"""),2000094.0)</f>
        <v>2000094</v>
      </c>
      <c r="G181" s="2" t="s">
        <v>13</v>
      </c>
    </row>
    <row r="182">
      <c r="A182" s="3">
        <f>IFERROR(__xludf.DUMMYFUNCTION("""COMPUTED_VALUE"""),44818.73611111111)</f>
        <v>44818.73611</v>
      </c>
      <c r="B182" s="1">
        <f>IFERROR(__xludf.DUMMYFUNCTION("""COMPUTED_VALUE"""),46.2)</f>
        <v>46.2</v>
      </c>
      <c r="C182" s="1">
        <f>IFERROR(__xludf.DUMMYFUNCTION("""COMPUTED_VALUE"""),46.23)</f>
        <v>46.23</v>
      </c>
      <c r="D182" s="1">
        <f>IFERROR(__xludf.DUMMYFUNCTION("""COMPUTED_VALUE"""),45.67)</f>
        <v>45.67</v>
      </c>
      <c r="E182" s="1">
        <f>IFERROR(__xludf.DUMMYFUNCTION("""COMPUTED_VALUE"""),45.91)</f>
        <v>45.91</v>
      </c>
      <c r="F182" s="1">
        <f>IFERROR(__xludf.DUMMYFUNCTION("""COMPUTED_VALUE"""),1851029.0)</f>
        <v>1851029</v>
      </c>
      <c r="G182" s="2" t="s">
        <v>13</v>
      </c>
    </row>
    <row r="183">
      <c r="A183" s="3">
        <f>IFERROR(__xludf.DUMMYFUNCTION("""COMPUTED_VALUE"""),44819.73611111111)</f>
        <v>44819.73611</v>
      </c>
      <c r="B183" s="1">
        <f>IFERROR(__xludf.DUMMYFUNCTION("""COMPUTED_VALUE"""),45.97)</f>
        <v>45.97</v>
      </c>
      <c r="C183" s="1">
        <f>IFERROR(__xludf.DUMMYFUNCTION("""COMPUTED_VALUE"""),46.16)</f>
        <v>46.16</v>
      </c>
      <c r="D183" s="1">
        <f>IFERROR(__xludf.DUMMYFUNCTION("""COMPUTED_VALUE"""),45.47)</f>
        <v>45.47</v>
      </c>
      <c r="E183" s="1">
        <f>IFERROR(__xludf.DUMMYFUNCTION("""COMPUTED_VALUE"""),45.64)</f>
        <v>45.64</v>
      </c>
      <c r="F183" s="1">
        <f>IFERROR(__xludf.DUMMYFUNCTION("""COMPUTED_VALUE"""),1038162.0)</f>
        <v>1038162</v>
      </c>
      <c r="G183" s="2" t="s">
        <v>13</v>
      </c>
    </row>
    <row r="184">
      <c r="A184" s="3">
        <f>IFERROR(__xludf.DUMMYFUNCTION("""COMPUTED_VALUE"""),44820.73611111111)</f>
        <v>44820.73611</v>
      </c>
      <c r="B184" s="1">
        <f>IFERROR(__xludf.DUMMYFUNCTION("""COMPUTED_VALUE"""),45.29)</f>
        <v>45.29</v>
      </c>
      <c r="C184" s="1">
        <f>IFERROR(__xludf.DUMMYFUNCTION("""COMPUTED_VALUE"""),45.58)</f>
        <v>45.58</v>
      </c>
      <c r="D184" s="1">
        <f>IFERROR(__xludf.DUMMYFUNCTION("""COMPUTED_VALUE"""),44.89)</f>
        <v>44.89</v>
      </c>
      <c r="E184" s="1">
        <f>IFERROR(__xludf.DUMMYFUNCTION("""COMPUTED_VALUE"""),44.96)</f>
        <v>44.96</v>
      </c>
      <c r="F184" s="1">
        <f>IFERROR(__xludf.DUMMYFUNCTION("""COMPUTED_VALUE"""),1965692.0)</f>
        <v>1965692</v>
      </c>
      <c r="G184" s="2" t="s">
        <v>13</v>
      </c>
    </row>
    <row r="185">
      <c r="A185" s="3">
        <f>IFERROR(__xludf.DUMMYFUNCTION("""COMPUTED_VALUE"""),44823.73611111111)</f>
        <v>44823.73611</v>
      </c>
      <c r="B185" s="1">
        <f>IFERROR(__xludf.DUMMYFUNCTION("""COMPUTED_VALUE"""),45.0)</f>
        <v>45</v>
      </c>
      <c r="C185" s="1">
        <f>IFERROR(__xludf.DUMMYFUNCTION("""COMPUTED_VALUE"""),45.25)</f>
        <v>45.25</v>
      </c>
      <c r="D185" s="1">
        <f>IFERROR(__xludf.DUMMYFUNCTION("""COMPUTED_VALUE"""),44.86)</f>
        <v>44.86</v>
      </c>
      <c r="E185" s="1">
        <f>IFERROR(__xludf.DUMMYFUNCTION("""COMPUTED_VALUE"""),45.15)</f>
        <v>45.15</v>
      </c>
      <c r="F185" s="1">
        <f>IFERROR(__xludf.DUMMYFUNCTION("""COMPUTED_VALUE"""),802830.0)</f>
        <v>802830</v>
      </c>
      <c r="G185" s="2" t="s">
        <v>13</v>
      </c>
    </row>
    <row r="186">
      <c r="A186" s="3">
        <f>IFERROR(__xludf.DUMMYFUNCTION("""COMPUTED_VALUE"""),44824.73611111111)</f>
        <v>44824.73611</v>
      </c>
      <c r="B186" s="1">
        <f>IFERROR(__xludf.DUMMYFUNCTION("""COMPUTED_VALUE"""),45.32)</f>
        <v>45.32</v>
      </c>
      <c r="C186" s="1">
        <f>IFERROR(__xludf.DUMMYFUNCTION("""COMPUTED_VALUE"""),45.74)</f>
        <v>45.74</v>
      </c>
      <c r="D186" s="1">
        <f>IFERROR(__xludf.DUMMYFUNCTION("""COMPUTED_VALUE"""),45.12)</f>
        <v>45.12</v>
      </c>
      <c r="E186" s="1">
        <f>IFERROR(__xludf.DUMMYFUNCTION("""COMPUTED_VALUE"""),45.34)</f>
        <v>45.34</v>
      </c>
      <c r="F186" s="1">
        <f>IFERROR(__xludf.DUMMYFUNCTION("""COMPUTED_VALUE"""),1323243.0)</f>
        <v>1323243</v>
      </c>
      <c r="G186" s="2" t="s">
        <v>13</v>
      </c>
    </row>
    <row r="187">
      <c r="A187" s="3">
        <f>IFERROR(__xludf.DUMMYFUNCTION("""COMPUTED_VALUE"""),44825.73611111111)</f>
        <v>44825.73611</v>
      </c>
      <c r="B187" s="1">
        <f>IFERROR(__xludf.DUMMYFUNCTION("""COMPUTED_VALUE"""),45.27)</f>
        <v>45.27</v>
      </c>
      <c r="C187" s="1">
        <f>IFERROR(__xludf.DUMMYFUNCTION("""COMPUTED_VALUE"""),46.6)</f>
        <v>46.6</v>
      </c>
      <c r="D187" s="1">
        <f>IFERROR(__xludf.DUMMYFUNCTION("""COMPUTED_VALUE"""),45.22)</f>
        <v>45.22</v>
      </c>
      <c r="E187" s="1">
        <f>IFERROR(__xludf.DUMMYFUNCTION("""COMPUTED_VALUE"""),46.46)</f>
        <v>46.46</v>
      </c>
      <c r="F187" s="1">
        <f>IFERROR(__xludf.DUMMYFUNCTION("""COMPUTED_VALUE"""),2229568.0)</f>
        <v>2229568</v>
      </c>
      <c r="G187" s="2" t="s">
        <v>13</v>
      </c>
    </row>
    <row r="188">
      <c r="A188" s="3">
        <f>IFERROR(__xludf.DUMMYFUNCTION("""COMPUTED_VALUE"""),44826.73611111111)</f>
        <v>44826.73611</v>
      </c>
      <c r="B188" s="1">
        <f>IFERROR(__xludf.DUMMYFUNCTION("""COMPUTED_VALUE"""),46.23)</f>
        <v>46.23</v>
      </c>
      <c r="C188" s="1">
        <f>IFERROR(__xludf.DUMMYFUNCTION("""COMPUTED_VALUE"""),46.84)</f>
        <v>46.84</v>
      </c>
      <c r="D188" s="1">
        <f>IFERROR(__xludf.DUMMYFUNCTION("""COMPUTED_VALUE"""),46.17)</f>
        <v>46.17</v>
      </c>
      <c r="E188" s="1">
        <f>IFERROR(__xludf.DUMMYFUNCTION("""COMPUTED_VALUE"""),46.44)</f>
        <v>46.44</v>
      </c>
      <c r="F188" s="1">
        <f>IFERROR(__xludf.DUMMYFUNCTION("""COMPUTED_VALUE"""),1649477.0)</f>
        <v>1649477</v>
      </c>
      <c r="G188" s="2" t="s">
        <v>13</v>
      </c>
    </row>
    <row r="189">
      <c r="A189" s="3">
        <f>IFERROR(__xludf.DUMMYFUNCTION("""COMPUTED_VALUE"""),44827.73611111111)</f>
        <v>44827.73611</v>
      </c>
      <c r="B189" s="1">
        <f>IFERROR(__xludf.DUMMYFUNCTION("""COMPUTED_VALUE"""),46.31)</f>
        <v>46.31</v>
      </c>
      <c r="C189" s="1">
        <f>IFERROR(__xludf.DUMMYFUNCTION("""COMPUTED_VALUE"""),46.34)</f>
        <v>46.34</v>
      </c>
      <c r="D189" s="1">
        <f>IFERROR(__xludf.DUMMYFUNCTION("""COMPUTED_VALUE"""),45.08)</f>
        <v>45.08</v>
      </c>
      <c r="E189" s="1">
        <f>IFERROR(__xludf.DUMMYFUNCTION("""COMPUTED_VALUE"""),45.31)</f>
        <v>45.31</v>
      </c>
      <c r="F189" s="1">
        <f>IFERROR(__xludf.DUMMYFUNCTION("""COMPUTED_VALUE"""),2333367.0)</f>
        <v>2333367</v>
      </c>
      <c r="G189" s="2" t="s">
        <v>13</v>
      </c>
    </row>
    <row r="190">
      <c r="A190" s="3">
        <f>IFERROR(__xludf.DUMMYFUNCTION("""COMPUTED_VALUE"""),44830.73611111111)</f>
        <v>44830.73611</v>
      </c>
      <c r="B190" s="1">
        <f>IFERROR(__xludf.DUMMYFUNCTION("""COMPUTED_VALUE"""),45.72)</f>
        <v>45.72</v>
      </c>
      <c r="C190" s="1">
        <f>IFERROR(__xludf.DUMMYFUNCTION("""COMPUTED_VALUE"""),46.23)</f>
        <v>46.23</v>
      </c>
      <c r="D190" s="1">
        <f>IFERROR(__xludf.DUMMYFUNCTION("""COMPUTED_VALUE"""),44.89)</f>
        <v>44.89</v>
      </c>
      <c r="E190" s="1">
        <f>IFERROR(__xludf.DUMMYFUNCTION("""COMPUTED_VALUE"""),45.53)</f>
        <v>45.53</v>
      </c>
      <c r="F190" s="1">
        <f>IFERROR(__xludf.DUMMYFUNCTION("""COMPUTED_VALUE"""),3332908.0)</f>
        <v>3332908</v>
      </c>
      <c r="G190" s="2" t="s">
        <v>13</v>
      </c>
    </row>
    <row r="191">
      <c r="A191" s="3">
        <f>IFERROR(__xludf.DUMMYFUNCTION("""COMPUTED_VALUE"""),44831.73611111111)</f>
        <v>44831.73611</v>
      </c>
      <c r="B191" s="1">
        <f>IFERROR(__xludf.DUMMYFUNCTION("""COMPUTED_VALUE"""),45.95)</f>
        <v>45.95</v>
      </c>
      <c r="C191" s="1">
        <f>IFERROR(__xludf.DUMMYFUNCTION("""COMPUTED_VALUE"""),46.36)</f>
        <v>46.36</v>
      </c>
      <c r="D191" s="1">
        <f>IFERROR(__xludf.DUMMYFUNCTION("""COMPUTED_VALUE"""),45.62)</f>
        <v>45.62</v>
      </c>
      <c r="E191" s="1">
        <f>IFERROR(__xludf.DUMMYFUNCTION("""COMPUTED_VALUE"""),45.65)</f>
        <v>45.65</v>
      </c>
      <c r="F191" s="1">
        <f>IFERROR(__xludf.DUMMYFUNCTION("""COMPUTED_VALUE"""),1777835.0)</f>
        <v>1777835</v>
      </c>
      <c r="G191" s="2" t="s">
        <v>13</v>
      </c>
    </row>
    <row r="192">
      <c r="A192" s="3">
        <f>IFERROR(__xludf.DUMMYFUNCTION("""COMPUTED_VALUE"""),44832.73611111111)</f>
        <v>44832.73611</v>
      </c>
      <c r="B192" s="1">
        <f>IFERROR(__xludf.DUMMYFUNCTION("""COMPUTED_VALUE"""),44.95)</f>
        <v>44.95</v>
      </c>
      <c r="C192" s="1">
        <f>IFERROR(__xludf.DUMMYFUNCTION("""COMPUTED_VALUE"""),45.44)</f>
        <v>45.44</v>
      </c>
      <c r="D192" s="1">
        <f>IFERROR(__xludf.DUMMYFUNCTION("""COMPUTED_VALUE"""),44.75)</f>
        <v>44.75</v>
      </c>
      <c r="E192" s="1">
        <f>IFERROR(__xludf.DUMMYFUNCTION("""COMPUTED_VALUE"""),45.4)</f>
        <v>45.4</v>
      </c>
      <c r="F192" s="1">
        <f>IFERROR(__xludf.DUMMYFUNCTION("""COMPUTED_VALUE"""),2714289.0)</f>
        <v>2714289</v>
      </c>
      <c r="G192" s="2" t="s">
        <v>13</v>
      </c>
    </row>
    <row r="193">
      <c r="A193" s="3">
        <f>IFERROR(__xludf.DUMMYFUNCTION("""COMPUTED_VALUE"""),44833.73611111111)</f>
        <v>44833.73611</v>
      </c>
      <c r="B193" s="1">
        <f>IFERROR(__xludf.DUMMYFUNCTION("""COMPUTED_VALUE"""),45.76)</f>
        <v>45.76</v>
      </c>
      <c r="C193" s="1">
        <f>IFERROR(__xludf.DUMMYFUNCTION("""COMPUTED_VALUE"""),46.08)</f>
        <v>46.08</v>
      </c>
      <c r="D193" s="1">
        <f>IFERROR(__xludf.DUMMYFUNCTION("""COMPUTED_VALUE"""),45.38)</f>
        <v>45.38</v>
      </c>
      <c r="E193" s="1">
        <f>IFERROR(__xludf.DUMMYFUNCTION("""COMPUTED_VALUE"""),45.92)</f>
        <v>45.92</v>
      </c>
      <c r="F193" s="1">
        <f>IFERROR(__xludf.DUMMYFUNCTION("""COMPUTED_VALUE"""),2838259.0)</f>
        <v>2838259</v>
      </c>
      <c r="G193" s="2" t="s">
        <v>13</v>
      </c>
    </row>
    <row r="194">
      <c r="A194" s="3">
        <f>IFERROR(__xludf.DUMMYFUNCTION("""COMPUTED_VALUE"""),44834.73611111111)</f>
        <v>44834.73611</v>
      </c>
      <c r="B194" s="1">
        <f>IFERROR(__xludf.DUMMYFUNCTION("""COMPUTED_VALUE"""),45.78)</f>
        <v>45.78</v>
      </c>
      <c r="C194" s="1">
        <f>IFERROR(__xludf.DUMMYFUNCTION("""COMPUTED_VALUE"""),45.94)</f>
        <v>45.94</v>
      </c>
      <c r="D194" s="1">
        <f>IFERROR(__xludf.DUMMYFUNCTION("""COMPUTED_VALUE"""),45.04)</f>
        <v>45.04</v>
      </c>
      <c r="E194" s="1">
        <f>IFERROR(__xludf.DUMMYFUNCTION("""COMPUTED_VALUE"""),45.22)</f>
        <v>45.22</v>
      </c>
      <c r="F194" s="1">
        <f>IFERROR(__xludf.DUMMYFUNCTION("""COMPUTED_VALUE"""),2598825.0)</f>
        <v>2598825</v>
      </c>
      <c r="G194" s="2" t="s">
        <v>13</v>
      </c>
    </row>
    <row r="195">
      <c r="A195" s="3">
        <f>IFERROR(__xludf.DUMMYFUNCTION("""COMPUTED_VALUE"""),44837.73611111111)</f>
        <v>44837.73611</v>
      </c>
      <c r="B195" s="1">
        <f>IFERROR(__xludf.DUMMYFUNCTION("""COMPUTED_VALUE"""),44.76)</f>
        <v>44.76</v>
      </c>
      <c r="C195" s="1">
        <f>IFERROR(__xludf.DUMMYFUNCTION("""COMPUTED_VALUE"""),45.02)</f>
        <v>45.02</v>
      </c>
      <c r="D195" s="1">
        <f>IFERROR(__xludf.DUMMYFUNCTION("""COMPUTED_VALUE"""),44.48)</f>
        <v>44.48</v>
      </c>
      <c r="E195" s="1">
        <f>IFERROR(__xludf.DUMMYFUNCTION("""COMPUTED_VALUE"""),44.55)</f>
        <v>44.55</v>
      </c>
      <c r="F195" s="1">
        <f>IFERROR(__xludf.DUMMYFUNCTION("""COMPUTED_VALUE"""),1700261.0)</f>
        <v>1700261</v>
      </c>
      <c r="G195" s="2" t="s">
        <v>13</v>
      </c>
    </row>
    <row r="196">
      <c r="A196" s="3">
        <f>IFERROR(__xludf.DUMMYFUNCTION("""COMPUTED_VALUE"""),44838.73611111111)</f>
        <v>44838.73611</v>
      </c>
      <c r="B196" s="1">
        <f>IFERROR(__xludf.DUMMYFUNCTION("""COMPUTED_VALUE"""),45.0)</f>
        <v>45</v>
      </c>
      <c r="C196" s="1">
        <f>IFERROR(__xludf.DUMMYFUNCTION("""COMPUTED_VALUE"""),45.65)</f>
        <v>45.65</v>
      </c>
      <c r="D196" s="1">
        <f>IFERROR(__xludf.DUMMYFUNCTION("""COMPUTED_VALUE"""),44.61)</f>
        <v>44.61</v>
      </c>
      <c r="E196" s="1">
        <f>IFERROR(__xludf.DUMMYFUNCTION("""COMPUTED_VALUE"""),45.41)</f>
        <v>45.41</v>
      </c>
      <c r="F196" s="1">
        <f>IFERROR(__xludf.DUMMYFUNCTION("""COMPUTED_VALUE"""),2429577.0)</f>
        <v>2429577</v>
      </c>
      <c r="G196" s="2" t="s">
        <v>13</v>
      </c>
    </row>
    <row r="197">
      <c r="A197" s="3">
        <f>IFERROR(__xludf.DUMMYFUNCTION("""COMPUTED_VALUE"""),44839.73611111111)</f>
        <v>44839.73611</v>
      </c>
      <c r="B197" s="1">
        <f>IFERROR(__xludf.DUMMYFUNCTION("""COMPUTED_VALUE"""),45.11)</f>
        <v>45.11</v>
      </c>
      <c r="C197" s="1">
        <f>IFERROR(__xludf.DUMMYFUNCTION("""COMPUTED_VALUE"""),45.39)</f>
        <v>45.39</v>
      </c>
      <c r="D197" s="1">
        <f>IFERROR(__xludf.DUMMYFUNCTION("""COMPUTED_VALUE"""),44.9)</f>
        <v>44.9</v>
      </c>
      <c r="E197" s="1">
        <f>IFERROR(__xludf.DUMMYFUNCTION("""COMPUTED_VALUE"""),45.08)</f>
        <v>45.08</v>
      </c>
      <c r="F197" s="1">
        <f>IFERROR(__xludf.DUMMYFUNCTION("""COMPUTED_VALUE"""),1191531.0)</f>
        <v>1191531</v>
      </c>
      <c r="G197" s="2" t="s">
        <v>13</v>
      </c>
    </row>
    <row r="198">
      <c r="A198" s="3">
        <f>IFERROR(__xludf.DUMMYFUNCTION("""COMPUTED_VALUE"""),44840.73611111111)</f>
        <v>44840.73611</v>
      </c>
      <c r="B198" s="1">
        <f>IFERROR(__xludf.DUMMYFUNCTION("""COMPUTED_VALUE"""),45.25)</f>
        <v>45.25</v>
      </c>
      <c r="C198" s="1">
        <f>IFERROR(__xludf.DUMMYFUNCTION("""COMPUTED_VALUE"""),45.59)</f>
        <v>45.59</v>
      </c>
      <c r="D198" s="1">
        <f>IFERROR(__xludf.DUMMYFUNCTION("""COMPUTED_VALUE"""),44.62)</f>
        <v>44.62</v>
      </c>
      <c r="E198" s="1">
        <f>IFERROR(__xludf.DUMMYFUNCTION("""COMPUTED_VALUE"""),44.76)</f>
        <v>44.76</v>
      </c>
      <c r="F198" s="1">
        <f>IFERROR(__xludf.DUMMYFUNCTION("""COMPUTED_VALUE"""),1174641.0)</f>
        <v>1174641</v>
      </c>
      <c r="G198" s="2" t="s">
        <v>13</v>
      </c>
    </row>
    <row r="199">
      <c r="A199" s="3">
        <f>IFERROR(__xludf.DUMMYFUNCTION("""COMPUTED_VALUE"""),44841.73611111111)</f>
        <v>44841.73611</v>
      </c>
      <c r="B199" s="1">
        <f>IFERROR(__xludf.DUMMYFUNCTION("""COMPUTED_VALUE"""),44.76)</f>
        <v>44.76</v>
      </c>
      <c r="C199" s="1">
        <f>IFERROR(__xludf.DUMMYFUNCTION("""COMPUTED_VALUE"""),45.21)</f>
        <v>45.21</v>
      </c>
      <c r="D199" s="1">
        <f>IFERROR(__xludf.DUMMYFUNCTION("""COMPUTED_VALUE"""),44.57)</f>
        <v>44.57</v>
      </c>
      <c r="E199" s="1">
        <f>IFERROR(__xludf.DUMMYFUNCTION("""COMPUTED_VALUE"""),44.64)</f>
        <v>44.64</v>
      </c>
      <c r="F199" s="1">
        <f>IFERROR(__xludf.DUMMYFUNCTION("""COMPUTED_VALUE"""),1657201.0)</f>
        <v>1657201</v>
      </c>
      <c r="G199" s="2" t="s">
        <v>13</v>
      </c>
    </row>
    <row r="200">
      <c r="A200" s="3">
        <f>IFERROR(__xludf.DUMMYFUNCTION("""COMPUTED_VALUE"""),44844.73611111111)</f>
        <v>44844.73611</v>
      </c>
      <c r="B200" s="1">
        <f>IFERROR(__xludf.DUMMYFUNCTION("""COMPUTED_VALUE"""),44.62)</f>
        <v>44.62</v>
      </c>
      <c r="C200" s="1">
        <f>IFERROR(__xludf.DUMMYFUNCTION("""COMPUTED_VALUE"""),44.81)</f>
        <v>44.81</v>
      </c>
      <c r="D200" s="1">
        <f>IFERROR(__xludf.DUMMYFUNCTION("""COMPUTED_VALUE"""),44.38)</f>
        <v>44.38</v>
      </c>
      <c r="E200" s="1">
        <f>IFERROR(__xludf.DUMMYFUNCTION("""COMPUTED_VALUE"""),44.51)</f>
        <v>44.51</v>
      </c>
      <c r="F200" s="1">
        <f>IFERROR(__xludf.DUMMYFUNCTION("""COMPUTED_VALUE"""),1190120.0)</f>
        <v>1190120</v>
      </c>
      <c r="G200" s="2" t="s">
        <v>13</v>
      </c>
    </row>
    <row r="201">
      <c r="A201" s="3">
        <f>IFERROR(__xludf.DUMMYFUNCTION("""COMPUTED_VALUE"""),44845.73611111111)</f>
        <v>44845.73611</v>
      </c>
      <c r="B201" s="1">
        <f>IFERROR(__xludf.DUMMYFUNCTION("""COMPUTED_VALUE"""),44.58)</f>
        <v>44.58</v>
      </c>
      <c r="C201" s="1">
        <f>IFERROR(__xludf.DUMMYFUNCTION("""COMPUTED_VALUE"""),45.21)</f>
        <v>45.21</v>
      </c>
      <c r="D201" s="1">
        <f>IFERROR(__xludf.DUMMYFUNCTION("""COMPUTED_VALUE"""),44.44)</f>
        <v>44.44</v>
      </c>
      <c r="E201" s="1">
        <f>IFERROR(__xludf.DUMMYFUNCTION("""COMPUTED_VALUE"""),45.11)</f>
        <v>45.11</v>
      </c>
      <c r="F201" s="1">
        <f>IFERROR(__xludf.DUMMYFUNCTION("""COMPUTED_VALUE"""),2096098.0)</f>
        <v>2096098</v>
      </c>
      <c r="G201" s="2" t="s">
        <v>13</v>
      </c>
    </row>
    <row r="202">
      <c r="A202" s="3">
        <f>IFERROR(__xludf.DUMMYFUNCTION("""COMPUTED_VALUE"""),44846.73611111111)</f>
        <v>44846.73611</v>
      </c>
      <c r="B202" s="1">
        <f>IFERROR(__xludf.DUMMYFUNCTION("""COMPUTED_VALUE"""),44.88)</f>
        <v>44.88</v>
      </c>
      <c r="C202" s="1">
        <f>IFERROR(__xludf.DUMMYFUNCTION("""COMPUTED_VALUE"""),45.06)</f>
        <v>45.06</v>
      </c>
      <c r="D202" s="1">
        <f>IFERROR(__xludf.DUMMYFUNCTION("""COMPUTED_VALUE"""),44.52)</f>
        <v>44.52</v>
      </c>
      <c r="E202" s="1">
        <f>IFERROR(__xludf.DUMMYFUNCTION("""COMPUTED_VALUE"""),44.88)</f>
        <v>44.88</v>
      </c>
      <c r="F202" s="1">
        <f>IFERROR(__xludf.DUMMYFUNCTION("""COMPUTED_VALUE"""),1511338.0)</f>
        <v>1511338</v>
      </c>
      <c r="G202" s="2" t="s">
        <v>13</v>
      </c>
    </row>
    <row r="203">
      <c r="A203" s="3">
        <f>IFERROR(__xludf.DUMMYFUNCTION("""COMPUTED_VALUE"""),44847.73611111111)</f>
        <v>44847.73611</v>
      </c>
      <c r="B203" s="1">
        <f>IFERROR(__xludf.DUMMYFUNCTION("""COMPUTED_VALUE"""),44.85)</f>
        <v>44.85</v>
      </c>
      <c r="C203" s="1">
        <f>IFERROR(__xludf.DUMMYFUNCTION("""COMPUTED_VALUE"""),44.85)</f>
        <v>44.85</v>
      </c>
      <c r="D203" s="1">
        <f>IFERROR(__xludf.DUMMYFUNCTION("""COMPUTED_VALUE"""),43.94)</f>
        <v>43.94</v>
      </c>
      <c r="E203" s="1">
        <f>IFERROR(__xludf.DUMMYFUNCTION("""COMPUTED_VALUE"""),44.53)</f>
        <v>44.53</v>
      </c>
      <c r="F203" s="1">
        <f>IFERROR(__xludf.DUMMYFUNCTION("""COMPUTED_VALUE"""),2212946.0)</f>
        <v>2212946</v>
      </c>
      <c r="G203" s="2" t="s">
        <v>13</v>
      </c>
    </row>
    <row r="204">
      <c r="A204" s="3">
        <f>IFERROR(__xludf.DUMMYFUNCTION("""COMPUTED_VALUE"""),44848.73611111111)</f>
        <v>44848.73611</v>
      </c>
      <c r="B204" s="1">
        <f>IFERROR(__xludf.DUMMYFUNCTION("""COMPUTED_VALUE"""),44.77)</f>
        <v>44.77</v>
      </c>
      <c r="C204" s="1">
        <f>IFERROR(__xludf.DUMMYFUNCTION("""COMPUTED_VALUE"""),45.34)</f>
        <v>45.34</v>
      </c>
      <c r="D204" s="1">
        <f>IFERROR(__xludf.DUMMYFUNCTION("""COMPUTED_VALUE"""),44.57)</f>
        <v>44.57</v>
      </c>
      <c r="E204" s="1">
        <f>IFERROR(__xludf.DUMMYFUNCTION("""COMPUTED_VALUE"""),44.68)</f>
        <v>44.68</v>
      </c>
      <c r="F204" s="1">
        <f>IFERROR(__xludf.DUMMYFUNCTION("""COMPUTED_VALUE"""),2038702.0)</f>
        <v>2038702</v>
      </c>
      <c r="G204" s="2" t="s">
        <v>13</v>
      </c>
    </row>
    <row r="205">
      <c r="A205" s="3">
        <f>IFERROR(__xludf.DUMMYFUNCTION("""COMPUTED_VALUE"""),44851.73611111111)</f>
        <v>44851.73611</v>
      </c>
      <c r="B205" s="1">
        <f>IFERROR(__xludf.DUMMYFUNCTION("""COMPUTED_VALUE"""),44.86)</f>
        <v>44.86</v>
      </c>
      <c r="C205" s="1">
        <f>IFERROR(__xludf.DUMMYFUNCTION("""COMPUTED_VALUE"""),45.26)</f>
        <v>45.26</v>
      </c>
      <c r="D205" s="1">
        <f>IFERROR(__xludf.DUMMYFUNCTION("""COMPUTED_VALUE"""),44.68)</f>
        <v>44.68</v>
      </c>
      <c r="E205" s="1">
        <f>IFERROR(__xludf.DUMMYFUNCTION("""COMPUTED_VALUE"""),44.91)</f>
        <v>44.91</v>
      </c>
      <c r="F205" s="1">
        <f>IFERROR(__xludf.DUMMYFUNCTION("""COMPUTED_VALUE"""),1768495.0)</f>
        <v>1768495</v>
      </c>
      <c r="G205" s="2" t="s">
        <v>13</v>
      </c>
    </row>
    <row r="206">
      <c r="A206" s="3">
        <f>IFERROR(__xludf.DUMMYFUNCTION("""COMPUTED_VALUE"""),44852.73611111111)</f>
        <v>44852.73611</v>
      </c>
      <c r="B206" s="1">
        <f>IFERROR(__xludf.DUMMYFUNCTION("""COMPUTED_VALUE"""),44.96)</f>
        <v>44.96</v>
      </c>
      <c r="C206" s="1">
        <f>IFERROR(__xludf.DUMMYFUNCTION("""COMPUTED_VALUE"""),44.97)</f>
        <v>44.97</v>
      </c>
      <c r="D206" s="1">
        <f>IFERROR(__xludf.DUMMYFUNCTION("""COMPUTED_VALUE"""),44.39)</f>
        <v>44.39</v>
      </c>
      <c r="E206" s="1">
        <f>IFERROR(__xludf.DUMMYFUNCTION("""COMPUTED_VALUE"""),44.82)</f>
        <v>44.82</v>
      </c>
      <c r="F206" s="1">
        <f>IFERROR(__xludf.DUMMYFUNCTION("""COMPUTED_VALUE"""),2476197.0)</f>
        <v>2476197</v>
      </c>
      <c r="G206" s="2" t="s">
        <v>13</v>
      </c>
    </row>
    <row r="207">
      <c r="A207" s="3">
        <f>IFERROR(__xludf.DUMMYFUNCTION("""COMPUTED_VALUE"""),44853.73611111111)</f>
        <v>44853.73611</v>
      </c>
      <c r="B207" s="1">
        <f>IFERROR(__xludf.DUMMYFUNCTION("""COMPUTED_VALUE"""),44.79)</f>
        <v>44.79</v>
      </c>
      <c r="C207" s="1">
        <f>IFERROR(__xludf.DUMMYFUNCTION("""COMPUTED_VALUE"""),45.13)</f>
        <v>45.13</v>
      </c>
      <c r="D207" s="1">
        <f>IFERROR(__xludf.DUMMYFUNCTION("""COMPUTED_VALUE"""),44.64)</f>
        <v>44.64</v>
      </c>
      <c r="E207" s="1">
        <f>IFERROR(__xludf.DUMMYFUNCTION("""COMPUTED_VALUE"""),44.8)</f>
        <v>44.8</v>
      </c>
      <c r="F207" s="1">
        <f>IFERROR(__xludf.DUMMYFUNCTION("""COMPUTED_VALUE"""),1368100.0)</f>
        <v>1368100</v>
      </c>
      <c r="G207" s="2" t="s">
        <v>13</v>
      </c>
    </row>
    <row r="208">
      <c r="A208" s="3">
        <f>IFERROR(__xludf.DUMMYFUNCTION("""COMPUTED_VALUE"""),44854.73611111111)</f>
        <v>44854.73611</v>
      </c>
      <c r="B208" s="1">
        <f>IFERROR(__xludf.DUMMYFUNCTION("""COMPUTED_VALUE"""),44.84)</f>
        <v>44.84</v>
      </c>
      <c r="C208" s="1">
        <f>IFERROR(__xludf.DUMMYFUNCTION("""COMPUTED_VALUE"""),44.93)</f>
        <v>44.93</v>
      </c>
      <c r="D208" s="1">
        <f>IFERROR(__xludf.DUMMYFUNCTION("""COMPUTED_VALUE"""),44.5)</f>
        <v>44.5</v>
      </c>
      <c r="E208" s="1">
        <f>IFERROR(__xludf.DUMMYFUNCTION("""COMPUTED_VALUE"""),44.93)</f>
        <v>44.93</v>
      </c>
      <c r="F208" s="1">
        <f>IFERROR(__xludf.DUMMYFUNCTION("""COMPUTED_VALUE"""),1953726.0)</f>
        <v>1953726</v>
      </c>
      <c r="G208" s="2" t="s">
        <v>13</v>
      </c>
    </row>
    <row r="209">
      <c r="A209" s="3">
        <f>IFERROR(__xludf.DUMMYFUNCTION("""COMPUTED_VALUE"""),44855.73611111111)</f>
        <v>44855.73611</v>
      </c>
      <c r="B209" s="1">
        <f>IFERROR(__xludf.DUMMYFUNCTION("""COMPUTED_VALUE"""),44.44)</f>
        <v>44.44</v>
      </c>
      <c r="C209" s="1">
        <f>IFERROR(__xludf.DUMMYFUNCTION("""COMPUTED_VALUE"""),45.42)</f>
        <v>45.42</v>
      </c>
      <c r="D209" s="1">
        <f>IFERROR(__xludf.DUMMYFUNCTION("""COMPUTED_VALUE"""),44.34)</f>
        <v>44.34</v>
      </c>
      <c r="E209" s="1">
        <f>IFERROR(__xludf.DUMMYFUNCTION("""COMPUTED_VALUE"""),45.13)</f>
        <v>45.13</v>
      </c>
      <c r="F209" s="1">
        <f>IFERROR(__xludf.DUMMYFUNCTION("""COMPUTED_VALUE"""),2334410.0)</f>
        <v>2334410</v>
      </c>
      <c r="G209" s="2" t="s">
        <v>13</v>
      </c>
    </row>
    <row r="210">
      <c r="A210" s="3">
        <f>IFERROR(__xludf.DUMMYFUNCTION("""COMPUTED_VALUE"""),44858.73611111111)</f>
        <v>44858.73611</v>
      </c>
      <c r="B210" s="1">
        <f>IFERROR(__xludf.DUMMYFUNCTION("""COMPUTED_VALUE"""),45.37)</f>
        <v>45.37</v>
      </c>
      <c r="C210" s="1">
        <f>IFERROR(__xludf.DUMMYFUNCTION("""COMPUTED_VALUE"""),45.49)</f>
        <v>45.49</v>
      </c>
      <c r="D210" s="1">
        <f>IFERROR(__xludf.DUMMYFUNCTION("""COMPUTED_VALUE"""),44.75)</f>
        <v>44.75</v>
      </c>
      <c r="E210" s="1">
        <f>IFERROR(__xludf.DUMMYFUNCTION("""COMPUTED_VALUE"""),44.86)</f>
        <v>44.86</v>
      </c>
      <c r="F210" s="1">
        <f>IFERROR(__xludf.DUMMYFUNCTION("""COMPUTED_VALUE"""),1693134.0)</f>
        <v>1693134</v>
      </c>
      <c r="G210" s="2" t="s">
        <v>13</v>
      </c>
    </row>
    <row r="211">
      <c r="A211" s="3">
        <f>IFERROR(__xludf.DUMMYFUNCTION("""COMPUTED_VALUE"""),44859.73611111111)</f>
        <v>44859.73611</v>
      </c>
      <c r="B211" s="1">
        <f>IFERROR(__xludf.DUMMYFUNCTION("""COMPUTED_VALUE"""),45.15)</f>
        <v>45.15</v>
      </c>
      <c r="C211" s="1">
        <f>IFERROR(__xludf.DUMMYFUNCTION("""COMPUTED_VALUE"""),45.43)</f>
        <v>45.43</v>
      </c>
      <c r="D211" s="1">
        <f>IFERROR(__xludf.DUMMYFUNCTION("""COMPUTED_VALUE"""),44.63)</f>
        <v>44.63</v>
      </c>
      <c r="E211" s="1">
        <f>IFERROR(__xludf.DUMMYFUNCTION("""COMPUTED_VALUE"""),45.23)</f>
        <v>45.23</v>
      </c>
      <c r="F211" s="1">
        <f>IFERROR(__xludf.DUMMYFUNCTION("""COMPUTED_VALUE"""),2322311.0)</f>
        <v>2322311</v>
      </c>
      <c r="G211" s="2" t="s">
        <v>13</v>
      </c>
    </row>
    <row r="212">
      <c r="A212" s="3">
        <f>IFERROR(__xludf.DUMMYFUNCTION("""COMPUTED_VALUE"""),44860.73611111111)</f>
        <v>44860.73611</v>
      </c>
      <c r="B212" s="1">
        <f>IFERROR(__xludf.DUMMYFUNCTION("""COMPUTED_VALUE"""),45.2)</f>
        <v>45.2</v>
      </c>
      <c r="C212" s="1">
        <f>IFERROR(__xludf.DUMMYFUNCTION("""COMPUTED_VALUE"""),45.2)</f>
        <v>45.2</v>
      </c>
      <c r="D212" s="1">
        <f>IFERROR(__xludf.DUMMYFUNCTION("""COMPUTED_VALUE"""),44.05)</f>
        <v>44.05</v>
      </c>
      <c r="E212" s="1">
        <f>IFERROR(__xludf.DUMMYFUNCTION("""COMPUTED_VALUE"""),44.62)</f>
        <v>44.62</v>
      </c>
      <c r="F212" s="1">
        <f>IFERROR(__xludf.DUMMYFUNCTION("""COMPUTED_VALUE"""),2666184.0)</f>
        <v>2666184</v>
      </c>
      <c r="G212" s="2" t="s">
        <v>13</v>
      </c>
    </row>
    <row r="213">
      <c r="A213" s="3">
        <f>IFERROR(__xludf.DUMMYFUNCTION("""COMPUTED_VALUE"""),44861.73611111111)</f>
        <v>44861.73611</v>
      </c>
      <c r="B213" s="1">
        <f>IFERROR(__xludf.DUMMYFUNCTION("""COMPUTED_VALUE"""),44.84)</f>
        <v>44.84</v>
      </c>
      <c r="C213" s="1">
        <f>IFERROR(__xludf.DUMMYFUNCTION("""COMPUTED_VALUE"""),45.03)</f>
        <v>45.03</v>
      </c>
      <c r="D213" s="1">
        <f>IFERROR(__xludf.DUMMYFUNCTION("""COMPUTED_VALUE"""),44.32)</f>
        <v>44.32</v>
      </c>
      <c r="E213" s="1">
        <f>IFERROR(__xludf.DUMMYFUNCTION("""COMPUTED_VALUE"""),44.81)</f>
        <v>44.81</v>
      </c>
      <c r="F213" s="1">
        <f>IFERROR(__xludf.DUMMYFUNCTION("""COMPUTED_VALUE"""),2113162.0)</f>
        <v>2113162</v>
      </c>
      <c r="G213" s="2" t="s">
        <v>13</v>
      </c>
    </row>
    <row r="214">
      <c r="A214" s="3">
        <f>IFERROR(__xludf.DUMMYFUNCTION("""COMPUTED_VALUE"""),44862.73611111111)</f>
        <v>44862.73611</v>
      </c>
      <c r="B214" s="1">
        <f>IFERROR(__xludf.DUMMYFUNCTION("""COMPUTED_VALUE"""),44.88)</f>
        <v>44.88</v>
      </c>
      <c r="C214" s="1">
        <f>IFERROR(__xludf.DUMMYFUNCTION("""COMPUTED_VALUE"""),45.74)</f>
        <v>45.74</v>
      </c>
      <c r="D214" s="1">
        <f>IFERROR(__xludf.DUMMYFUNCTION("""COMPUTED_VALUE"""),44.7)</f>
        <v>44.7</v>
      </c>
      <c r="E214" s="1">
        <f>IFERROR(__xludf.DUMMYFUNCTION("""COMPUTED_VALUE"""),45.66)</f>
        <v>45.66</v>
      </c>
      <c r="F214" s="1">
        <f>IFERROR(__xludf.DUMMYFUNCTION("""COMPUTED_VALUE"""),2147648.0)</f>
        <v>2147648</v>
      </c>
      <c r="G214" s="2" t="s">
        <v>13</v>
      </c>
    </row>
    <row r="215">
      <c r="A215" s="3">
        <f>IFERROR(__xludf.DUMMYFUNCTION("""COMPUTED_VALUE"""),44865.73611111111)</f>
        <v>44865.73611</v>
      </c>
      <c r="B215" s="1">
        <f>IFERROR(__xludf.DUMMYFUNCTION("""COMPUTED_VALUE"""),45.74)</f>
        <v>45.74</v>
      </c>
      <c r="C215" s="1">
        <f>IFERROR(__xludf.DUMMYFUNCTION("""COMPUTED_VALUE"""),46.45)</f>
        <v>46.45</v>
      </c>
      <c r="D215" s="1">
        <f>IFERROR(__xludf.DUMMYFUNCTION("""COMPUTED_VALUE"""),45.62)</f>
        <v>45.62</v>
      </c>
      <c r="E215" s="1">
        <f>IFERROR(__xludf.DUMMYFUNCTION("""COMPUTED_VALUE"""),46.22)</f>
        <v>46.22</v>
      </c>
      <c r="F215" s="1">
        <f>IFERROR(__xludf.DUMMYFUNCTION("""COMPUTED_VALUE"""),2057851.0)</f>
        <v>2057851</v>
      </c>
      <c r="G215" s="2" t="s">
        <v>13</v>
      </c>
    </row>
    <row r="216">
      <c r="A216" s="3">
        <f>IFERROR(__xludf.DUMMYFUNCTION("""COMPUTED_VALUE"""),44866.73611111111)</f>
        <v>44866.73611</v>
      </c>
      <c r="B216" s="1">
        <f>IFERROR(__xludf.DUMMYFUNCTION("""COMPUTED_VALUE"""),46.3)</f>
        <v>46.3</v>
      </c>
      <c r="C216" s="1">
        <f>IFERROR(__xludf.DUMMYFUNCTION("""COMPUTED_VALUE"""),46.46)</f>
        <v>46.46</v>
      </c>
      <c r="D216" s="1">
        <f>IFERROR(__xludf.DUMMYFUNCTION("""COMPUTED_VALUE"""),45.77)</f>
        <v>45.77</v>
      </c>
      <c r="E216" s="1">
        <f>IFERROR(__xludf.DUMMYFUNCTION("""COMPUTED_VALUE"""),45.83)</f>
        <v>45.83</v>
      </c>
      <c r="F216" s="1">
        <f>IFERROR(__xludf.DUMMYFUNCTION("""COMPUTED_VALUE"""),1755656.0)</f>
        <v>1755656</v>
      </c>
      <c r="G216" s="2" t="s">
        <v>13</v>
      </c>
    </row>
    <row r="217">
      <c r="A217" s="3">
        <f>IFERROR(__xludf.DUMMYFUNCTION("""COMPUTED_VALUE"""),44867.73611111111)</f>
        <v>44867.73611</v>
      </c>
      <c r="B217" s="1">
        <f>IFERROR(__xludf.DUMMYFUNCTION("""COMPUTED_VALUE"""),46.11)</f>
        <v>46.11</v>
      </c>
      <c r="C217" s="1">
        <f>IFERROR(__xludf.DUMMYFUNCTION("""COMPUTED_VALUE"""),46.37)</f>
        <v>46.37</v>
      </c>
      <c r="D217" s="1">
        <f>IFERROR(__xludf.DUMMYFUNCTION("""COMPUTED_VALUE"""),45.6)</f>
        <v>45.6</v>
      </c>
      <c r="E217" s="1">
        <f>IFERROR(__xludf.DUMMYFUNCTION("""COMPUTED_VALUE"""),45.84)</f>
        <v>45.84</v>
      </c>
      <c r="F217" s="1">
        <f>IFERROR(__xludf.DUMMYFUNCTION("""COMPUTED_VALUE"""),1519466.0)</f>
        <v>1519466</v>
      </c>
      <c r="G217" s="2" t="s">
        <v>13</v>
      </c>
    </row>
    <row r="218">
      <c r="A218" s="3">
        <f>IFERROR(__xludf.DUMMYFUNCTION("""COMPUTED_VALUE"""),44868.73611111111)</f>
        <v>44868.73611</v>
      </c>
      <c r="B218" s="1">
        <f>IFERROR(__xludf.DUMMYFUNCTION("""COMPUTED_VALUE"""),45.68)</f>
        <v>45.68</v>
      </c>
      <c r="C218" s="1">
        <f>IFERROR(__xludf.DUMMYFUNCTION("""COMPUTED_VALUE"""),46.08)</f>
        <v>46.08</v>
      </c>
      <c r="D218" s="1">
        <f>IFERROR(__xludf.DUMMYFUNCTION("""COMPUTED_VALUE"""),45.47)</f>
        <v>45.47</v>
      </c>
      <c r="E218" s="1">
        <f>IFERROR(__xludf.DUMMYFUNCTION("""COMPUTED_VALUE"""),45.8)</f>
        <v>45.8</v>
      </c>
      <c r="F218" s="1">
        <f>IFERROR(__xludf.DUMMYFUNCTION("""COMPUTED_VALUE"""),1656675.0)</f>
        <v>1656675</v>
      </c>
      <c r="G218" s="2" t="s">
        <v>13</v>
      </c>
    </row>
    <row r="219">
      <c r="A219" s="3">
        <f>IFERROR(__xludf.DUMMYFUNCTION("""COMPUTED_VALUE"""),44869.73611111111)</f>
        <v>44869.73611</v>
      </c>
      <c r="B219" s="1">
        <f>IFERROR(__xludf.DUMMYFUNCTION("""COMPUTED_VALUE"""),45.92)</f>
        <v>45.92</v>
      </c>
      <c r="C219" s="1">
        <f>IFERROR(__xludf.DUMMYFUNCTION("""COMPUTED_VALUE"""),46.33)</f>
        <v>46.33</v>
      </c>
      <c r="D219" s="1">
        <f>IFERROR(__xludf.DUMMYFUNCTION("""COMPUTED_VALUE"""),45.61)</f>
        <v>45.61</v>
      </c>
      <c r="E219" s="1">
        <f>IFERROR(__xludf.DUMMYFUNCTION("""COMPUTED_VALUE"""),46.16)</f>
        <v>46.16</v>
      </c>
      <c r="F219" s="1">
        <f>IFERROR(__xludf.DUMMYFUNCTION("""COMPUTED_VALUE"""),1943520.0)</f>
        <v>1943520</v>
      </c>
      <c r="G219" s="2" t="s">
        <v>13</v>
      </c>
    </row>
    <row r="220">
      <c r="A220" s="3">
        <f>IFERROR(__xludf.DUMMYFUNCTION("""COMPUTED_VALUE"""),44872.73611111111)</f>
        <v>44872.73611</v>
      </c>
      <c r="B220" s="1">
        <f>IFERROR(__xludf.DUMMYFUNCTION("""COMPUTED_VALUE"""),46.25)</f>
        <v>46.25</v>
      </c>
      <c r="C220" s="1">
        <f>IFERROR(__xludf.DUMMYFUNCTION("""COMPUTED_VALUE"""),46.45)</f>
        <v>46.45</v>
      </c>
      <c r="D220" s="1">
        <f>IFERROR(__xludf.DUMMYFUNCTION("""COMPUTED_VALUE"""),45.96)</f>
        <v>45.96</v>
      </c>
      <c r="E220" s="1">
        <f>IFERROR(__xludf.DUMMYFUNCTION("""COMPUTED_VALUE"""),46.22)</f>
        <v>46.22</v>
      </c>
      <c r="F220" s="1">
        <f>IFERROR(__xludf.DUMMYFUNCTION("""COMPUTED_VALUE"""),1619015.0)</f>
        <v>1619015</v>
      </c>
      <c r="G220" s="2" t="s">
        <v>13</v>
      </c>
    </row>
    <row r="221">
      <c r="A221" s="3">
        <f>IFERROR(__xludf.DUMMYFUNCTION("""COMPUTED_VALUE"""),44873.73611111111)</f>
        <v>44873.73611</v>
      </c>
      <c r="B221" s="1">
        <f>IFERROR(__xludf.DUMMYFUNCTION("""COMPUTED_VALUE"""),46.06)</f>
        <v>46.06</v>
      </c>
      <c r="C221" s="1">
        <f>IFERROR(__xludf.DUMMYFUNCTION("""COMPUTED_VALUE"""),46.55)</f>
        <v>46.55</v>
      </c>
      <c r="D221" s="1">
        <f>IFERROR(__xludf.DUMMYFUNCTION("""COMPUTED_VALUE"""),46.0)</f>
        <v>46</v>
      </c>
      <c r="E221" s="1">
        <f>IFERROR(__xludf.DUMMYFUNCTION("""COMPUTED_VALUE"""),46.45)</f>
        <v>46.45</v>
      </c>
      <c r="F221" s="1">
        <f>IFERROR(__xludf.DUMMYFUNCTION("""COMPUTED_VALUE"""),1960715.0)</f>
        <v>1960715</v>
      </c>
      <c r="G221" s="2" t="s">
        <v>13</v>
      </c>
    </row>
    <row r="222">
      <c r="A222" s="3">
        <f>IFERROR(__xludf.DUMMYFUNCTION("""COMPUTED_VALUE"""),44874.73611111111)</f>
        <v>44874.73611</v>
      </c>
      <c r="B222" s="1">
        <f>IFERROR(__xludf.DUMMYFUNCTION("""COMPUTED_VALUE"""),46.23)</f>
        <v>46.23</v>
      </c>
      <c r="C222" s="1">
        <f>IFERROR(__xludf.DUMMYFUNCTION("""COMPUTED_VALUE"""),46.41)</f>
        <v>46.41</v>
      </c>
      <c r="D222" s="1">
        <f>IFERROR(__xludf.DUMMYFUNCTION("""COMPUTED_VALUE"""),45.9)</f>
        <v>45.9</v>
      </c>
      <c r="E222" s="1">
        <f>IFERROR(__xludf.DUMMYFUNCTION("""COMPUTED_VALUE"""),46.23)</f>
        <v>46.23</v>
      </c>
      <c r="F222" s="1">
        <f>IFERROR(__xludf.DUMMYFUNCTION("""COMPUTED_VALUE"""),1764979.0)</f>
        <v>1764979</v>
      </c>
      <c r="G222" s="2" t="s">
        <v>13</v>
      </c>
    </row>
    <row r="223">
      <c r="A223" s="3">
        <f>IFERROR(__xludf.DUMMYFUNCTION("""COMPUTED_VALUE"""),44875.73611111111)</f>
        <v>44875.73611</v>
      </c>
      <c r="B223" s="1">
        <f>IFERROR(__xludf.DUMMYFUNCTION("""COMPUTED_VALUE"""),46.38)</f>
        <v>46.38</v>
      </c>
      <c r="C223" s="1">
        <f>IFERROR(__xludf.DUMMYFUNCTION("""COMPUTED_VALUE"""),46.8)</f>
        <v>46.8</v>
      </c>
      <c r="D223" s="1">
        <f>IFERROR(__xludf.DUMMYFUNCTION("""COMPUTED_VALUE"""),46.33)</f>
        <v>46.33</v>
      </c>
      <c r="E223" s="1">
        <f>IFERROR(__xludf.DUMMYFUNCTION("""COMPUTED_VALUE"""),46.4)</f>
        <v>46.4</v>
      </c>
      <c r="F223" s="1">
        <f>IFERROR(__xludf.DUMMYFUNCTION("""COMPUTED_VALUE"""),3232855.0)</f>
        <v>3232855</v>
      </c>
      <c r="G223" s="2" t="s">
        <v>13</v>
      </c>
    </row>
    <row r="224">
      <c r="A224" s="3">
        <f>IFERROR(__xludf.DUMMYFUNCTION("""COMPUTED_VALUE"""),44876.73611111111)</f>
        <v>44876.73611</v>
      </c>
      <c r="B224" s="1">
        <f>IFERROR(__xludf.DUMMYFUNCTION("""COMPUTED_VALUE"""),46.22)</f>
        <v>46.22</v>
      </c>
      <c r="C224" s="1">
        <f>IFERROR(__xludf.DUMMYFUNCTION("""COMPUTED_VALUE"""),46.3)</f>
        <v>46.3</v>
      </c>
      <c r="D224" s="1">
        <f>IFERROR(__xludf.DUMMYFUNCTION("""COMPUTED_VALUE"""),44.58)</f>
        <v>44.58</v>
      </c>
      <c r="E224" s="1">
        <f>IFERROR(__xludf.DUMMYFUNCTION("""COMPUTED_VALUE"""),44.93)</f>
        <v>44.93</v>
      </c>
      <c r="F224" s="1">
        <f>IFERROR(__xludf.DUMMYFUNCTION("""COMPUTED_VALUE"""),4286844.0)</f>
        <v>4286844</v>
      </c>
      <c r="G224" s="2" t="s">
        <v>13</v>
      </c>
    </row>
    <row r="225">
      <c r="A225" s="3">
        <f>IFERROR(__xludf.DUMMYFUNCTION("""COMPUTED_VALUE"""),44879.73611111111)</f>
        <v>44879.73611</v>
      </c>
      <c r="B225" s="1">
        <f>IFERROR(__xludf.DUMMYFUNCTION("""COMPUTED_VALUE"""),45.46)</f>
        <v>45.46</v>
      </c>
      <c r="C225" s="1">
        <f>IFERROR(__xludf.DUMMYFUNCTION("""COMPUTED_VALUE"""),46.05)</f>
        <v>46.05</v>
      </c>
      <c r="D225" s="1">
        <f>IFERROR(__xludf.DUMMYFUNCTION("""COMPUTED_VALUE"""),45.25)</f>
        <v>45.25</v>
      </c>
      <c r="E225" s="1">
        <f>IFERROR(__xludf.DUMMYFUNCTION("""COMPUTED_VALUE"""),45.79)</f>
        <v>45.79</v>
      </c>
      <c r="F225" s="1">
        <f>IFERROR(__xludf.DUMMYFUNCTION("""COMPUTED_VALUE"""),3079394.0)</f>
        <v>3079394</v>
      </c>
      <c r="G225" s="2" t="s">
        <v>13</v>
      </c>
    </row>
    <row r="226">
      <c r="A226" s="3">
        <f>IFERROR(__xludf.DUMMYFUNCTION("""COMPUTED_VALUE"""),44880.73611111111)</f>
        <v>44880.73611</v>
      </c>
      <c r="B226" s="1">
        <f>IFERROR(__xludf.DUMMYFUNCTION("""COMPUTED_VALUE"""),45.85)</f>
        <v>45.85</v>
      </c>
      <c r="C226" s="1">
        <f>IFERROR(__xludf.DUMMYFUNCTION("""COMPUTED_VALUE"""),46.79)</f>
        <v>46.79</v>
      </c>
      <c r="D226" s="1">
        <f>IFERROR(__xludf.DUMMYFUNCTION("""COMPUTED_VALUE"""),45.85)</f>
        <v>45.85</v>
      </c>
      <c r="E226" s="1">
        <f>IFERROR(__xludf.DUMMYFUNCTION("""COMPUTED_VALUE"""),46.19)</f>
        <v>46.19</v>
      </c>
      <c r="F226" s="1">
        <f>IFERROR(__xludf.DUMMYFUNCTION("""COMPUTED_VALUE"""),2884750.0)</f>
        <v>2884750</v>
      </c>
      <c r="G226" s="2" t="s">
        <v>13</v>
      </c>
    </row>
    <row r="227">
      <c r="A227" s="3">
        <f>IFERROR(__xludf.DUMMYFUNCTION("""COMPUTED_VALUE"""),44881.73611111111)</f>
        <v>44881.73611</v>
      </c>
      <c r="B227" s="1">
        <f>IFERROR(__xludf.DUMMYFUNCTION("""COMPUTED_VALUE"""),46.42)</f>
        <v>46.42</v>
      </c>
      <c r="C227" s="1">
        <f>IFERROR(__xludf.DUMMYFUNCTION("""COMPUTED_VALUE"""),46.6)</f>
        <v>46.6</v>
      </c>
      <c r="D227" s="1">
        <f>IFERROR(__xludf.DUMMYFUNCTION("""COMPUTED_VALUE"""),46.23)</f>
        <v>46.23</v>
      </c>
      <c r="E227" s="1">
        <f>IFERROR(__xludf.DUMMYFUNCTION("""COMPUTED_VALUE"""),46.45)</f>
        <v>46.45</v>
      </c>
      <c r="F227" s="1">
        <f>IFERROR(__xludf.DUMMYFUNCTION("""COMPUTED_VALUE"""),2238381.0)</f>
        <v>2238381</v>
      </c>
      <c r="G227" s="2" t="s">
        <v>13</v>
      </c>
    </row>
    <row r="228">
      <c r="A228" s="3">
        <f>IFERROR(__xludf.DUMMYFUNCTION("""COMPUTED_VALUE"""),44882.73611111111)</f>
        <v>44882.73611</v>
      </c>
      <c r="B228" s="1">
        <f>IFERROR(__xludf.DUMMYFUNCTION("""COMPUTED_VALUE"""),46.4)</f>
        <v>46.4</v>
      </c>
      <c r="C228" s="1">
        <f>IFERROR(__xludf.DUMMYFUNCTION("""COMPUTED_VALUE"""),46.4)</f>
        <v>46.4</v>
      </c>
      <c r="D228" s="1">
        <f>IFERROR(__xludf.DUMMYFUNCTION("""COMPUTED_VALUE"""),45.91)</f>
        <v>45.91</v>
      </c>
      <c r="E228" s="1">
        <f>IFERROR(__xludf.DUMMYFUNCTION("""COMPUTED_VALUE"""),46.28)</f>
        <v>46.28</v>
      </c>
      <c r="F228" s="1">
        <f>IFERROR(__xludf.DUMMYFUNCTION("""COMPUTED_VALUE"""),1569346.0)</f>
        <v>1569346</v>
      </c>
      <c r="G228" s="2" t="s">
        <v>13</v>
      </c>
    </row>
    <row r="229">
      <c r="A229" s="3">
        <f>IFERROR(__xludf.DUMMYFUNCTION("""COMPUTED_VALUE"""),44883.73611111111)</f>
        <v>44883.73611</v>
      </c>
      <c r="B229" s="1">
        <f>IFERROR(__xludf.DUMMYFUNCTION("""COMPUTED_VALUE"""),46.54)</f>
        <v>46.54</v>
      </c>
      <c r="C229" s="1">
        <f>IFERROR(__xludf.DUMMYFUNCTION("""COMPUTED_VALUE"""),46.73)</f>
        <v>46.73</v>
      </c>
      <c r="D229" s="1">
        <f>IFERROR(__xludf.DUMMYFUNCTION("""COMPUTED_VALUE"""),46.39)</f>
        <v>46.39</v>
      </c>
      <c r="E229" s="1">
        <f>IFERROR(__xludf.DUMMYFUNCTION("""COMPUTED_VALUE"""),46.47)</f>
        <v>46.47</v>
      </c>
      <c r="F229" s="1">
        <f>IFERROR(__xludf.DUMMYFUNCTION("""COMPUTED_VALUE"""),2262113.0)</f>
        <v>2262113</v>
      </c>
      <c r="G229" s="2" t="s">
        <v>13</v>
      </c>
    </row>
    <row r="230">
      <c r="A230" s="3">
        <f>IFERROR(__xludf.DUMMYFUNCTION("""COMPUTED_VALUE"""),44886.73611111111)</f>
        <v>44886.73611</v>
      </c>
      <c r="B230" s="1">
        <f>IFERROR(__xludf.DUMMYFUNCTION("""COMPUTED_VALUE"""),46.57)</f>
        <v>46.57</v>
      </c>
      <c r="C230" s="1">
        <f>IFERROR(__xludf.DUMMYFUNCTION("""COMPUTED_VALUE"""),47.37)</f>
        <v>47.37</v>
      </c>
      <c r="D230" s="1">
        <f>IFERROR(__xludf.DUMMYFUNCTION("""COMPUTED_VALUE"""),46.49)</f>
        <v>46.49</v>
      </c>
      <c r="E230" s="1">
        <f>IFERROR(__xludf.DUMMYFUNCTION("""COMPUTED_VALUE"""),47.32)</f>
        <v>47.32</v>
      </c>
      <c r="F230" s="1">
        <f>IFERROR(__xludf.DUMMYFUNCTION("""COMPUTED_VALUE"""),2005109.0)</f>
        <v>2005109</v>
      </c>
      <c r="G230" s="2" t="s">
        <v>13</v>
      </c>
    </row>
    <row r="231">
      <c r="A231" s="3">
        <f>IFERROR(__xludf.DUMMYFUNCTION("""COMPUTED_VALUE"""),44887.73611111111)</f>
        <v>44887.73611</v>
      </c>
      <c r="B231" s="1">
        <f>IFERROR(__xludf.DUMMYFUNCTION("""COMPUTED_VALUE"""),47.4)</f>
        <v>47.4</v>
      </c>
      <c r="C231" s="1">
        <f>IFERROR(__xludf.DUMMYFUNCTION("""COMPUTED_VALUE"""),47.66)</f>
        <v>47.66</v>
      </c>
      <c r="D231" s="1">
        <f>IFERROR(__xludf.DUMMYFUNCTION("""COMPUTED_VALUE"""),47.22)</f>
        <v>47.22</v>
      </c>
      <c r="E231" s="1">
        <f>IFERROR(__xludf.DUMMYFUNCTION("""COMPUTED_VALUE"""),47.56)</f>
        <v>47.56</v>
      </c>
      <c r="F231" s="1">
        <f>IFERROR(__xludf.DUMMYFUNCTION("""COMPUTED_VALUE"""),1659183.0)</f>
        <v>1659183</v>
      </c>
      <c r="G231" s="2" t="s">
        <v>13</v>
      </c>
    </row>
    <row r="232">
      <c r="A232" s="3">
        <f>IFERROR(__xludf.DUMMYFUNCTION("""COMPUTED_VALUE"""),44888.73611111111)</f>
        <v>44888.73611</v>
      </c>
      <c r="B232" s="1">
        <f>IFERROR(__xludf.DUMMYFUNCTION("""COMPUTED_VALUE"""),47.4)</f>
        <v>47.4</v>
      </c>
      <c r="C232" s="1">
        <f>IFERROR(__xludf.DUMMYFUNCTION("""COMPUTED_VALUE"""),48.0)</f>
        <v>48</v>
      </c>
      <c r="D232" s="1">
        <f>IFERROR(__xludf.DUMMYFUNCTION("""COMPUTED_VALUE"""),47.36)</f>
        <v>47.36</v>
      </c>
      <c r="E232" s="1">
        <f>IFERROR(__xludf.DUMMYFUNCTION("""COMPUTED_VALUE"""),47.84)</f>
        <v>47.84</v>
      </c>
      <c r="F232" s="1">
        <f>IFERROR(__xludf.DUMMYFUNCTION("""COMPUTED_VALUE"""),2047693.0)</f>
        <v>2047693</v>
      </c>
      <c r="G232" s="2" t="s">
        <v>13</v>
      </c>
    </row>
    <row r="233">
      <c r="A233" s="3">
        <f>IFERROR(__xludf.DUMMYFUNCTION("""COMPUTED_VALUE"""),44889.73611111111)</f>
        <v>44889.73611</v>
      </c>
      <c r="B233" s="1">
        <f>IFERROR(__xludf.DUMMYFUNCTION("""COMPUTED_VALUE"""),47.56)</f>
        <v>47.56</v>
      </c>
      <c r="C233" s="1">
        <f>IFERROR(__xludf.DUMMYFUNCTION("""COMPUTED_VALUE"""),48.09)</f>
        <v>48.09</v>
      </c>
      <c r="D233" s="1">
        <f>IFERROR(__xludf.DUMMYFUNCTION("""COMPUTED_VALUE"""),47.42)</f>
        <v>47.42</v>
      </c>
      <c r="E233" s="1">
        <f>IFERROR(__xludf.DUMMYFUNCTION("""COMPUTED_VALUE"""),47.96)</f>
        <v>47.96</v>
      </c>
      <c r="F233" s="1">
        <f>IFERROR(__xludf.DUMMYFUNCTION("""COMPUTED_VALUE"""),1199242.0)</f>
        <v>1199242</v>
      </c>
      <c r="G233" s="2" t="s">
        <v>13</v>
      </c>
    </row>
    <row r="234">
      <c r="A234" s="3">
        <f>IFERROR(__xludf.DUMMYFUNCTION("""COMPUTED_VALUE"""),44890.73611111111)</f>
        <v>44890.73611</v>
      </c>
      <c r="B234" s="1">
        <f>IFERROR(__xludf.DUMMYFUNCTION("""COMPUTED_VALUE"""),47.88)</f>
        <v>47.88</v>
      </c>
      <c r="C234" s="1">
        <f>IFERROR(__xludf.DUMMYFUNCTION("""COMPUTED_VALUE"""),48.07)</f>
        <v>48.07</v>
      </c>
      <c r="D234" s="1">
        <f>IFERROR(__xludf.DUMMYFUNCTION("""COMPUTED_VALUE"""),47.67)</f>
        <v>47.67</v>
      </c>
      <c r="E234" s="1">
        <f>IFERROR(__xludf.DUMMYFUNCTION("""COMPUTED_VALUE"""),47.86)</f>
        <v>47.86</v>
      </c>
      <c r="F234" s="1">
        <f>IFERROR(__xludf.DUMMYFUNCTION("""COMPUTED_VALUE"""),1187637.0)</f>
        <v>1187637</v>
      </c>
      <c r="G234" s="2" t="s">
        <v>13</v>
      </c>
    </row>
    <row r="235">
      <c r="A235" s="3">
        <f>IFERROR(__xludf.DUMMYFUNCTION("""COMPUTED_VALUE"""),44893.73611111111)</f>
        <v>44893.73611</v>
      </c>
      <c r="B235" s="1">
        <f>IFERROR(__xludf.DUMMYFUNCTION("""COMPUTED_VALUE"""),47.8)</f>
        <v>47.8</v>
      </c>
      <c r="C235" s="1">
        <f>IFERROR(__xludf.DUMMYFUNCTION("""COMPUTED_VALUE"""),48.19)</f>
        <v>48.19</v>
      </c>
      <c r="D235" s="1">
        <f>IFERROR(__xludf.DUMMYFUNCTION("""COMPUTED_VALUE"""),47.53)</f>
        <v>47.53</v>
      </c>
      <c r="E235" s="1">
        <f>IFERROR(__xludf.DUMMYFUNCTION("""COMPUTED_VALUE"""),48.12)</f>
        <v>48.12</v>
      </c>
      <c r="F235" s="1">
        <f>IFERROR(__xludf.DUMMYFUNCTION("""COMPUTED_VALUE"""),1680487.0)</f>
        <v>1680487</v>
      </c>
      <c r="G235" s="2" t="s">
        <v>13</v>
      </c>
    </row>
    <row r="236">
      <c r="A236" s="3">
        <f>IFERROR(__xludf.DUMMYFUNCTION("""COMPUTED_VALUE"""),44894.73611111111)</f>
        <v>44894.73611</v>
      </c>
      <c r="B236" s="1">
        <f>IFERROR(__xludf.DUMMYFUNCTION("""COMPUTED_VALUE"""),48.0)</f>
        <v>48</v>
      </c>
      <c r="C236" s="1">
        <f>IFERROR(__xludf.DUMMYFUNCTION("""COMPUTED_VALUE"""),48.23)</f>
        <v>48.23</v>
      </c>
      <c r="D236" s="1">
        <f>IFERROR(__xludf.DUMMYFUNCTION("""COMPUTED_VALUE"""),47.77)</f>
        <v>47.77</v>
      </c>
      <c r="E236" s="1">
        <f>IFERROR(__xludf.DUMMYFUNCTION("""COMPUTED_VALUE"""),47.77)</f>
        <v>47.77</v>
      </c>
      <c r="F236" s="1">
        <f>IFERROR(__xludf.DUMMYFUNCTION("""COMPUTED_VALUE"""),2003135.0)</f>
        <v>2003135</v>
      </c>
      <c r="G236" s="2" t="s">
        <v>13</v>
      </c>
    </row>
    <row r="237">
      <c r="A237" s="3">
        <f>IFERROR(__xludf.DUMMYFUNCTION("""COMPUTED_VALUE"""),44895.73611111111)</f>
        <v>44895.73611</v>
      </c>
      <c r="B237" s="1">
        <f>IFERROR(__xludf.DUMMYFUNCTION("""COMPUTED_VALUE"""),47.77)</f>
        <v>47.77</v>
      </c>
      <c r="C237" s="1">
        <f>IFERROR(__xludf.DUMMYFUNCTION("""COMPUTED_VALUE"""),48.3)</f>
        <v>48.3</v>
      </c>
      <c r="D237" s="1">
        <f>IFERROR(__xludf.DUMMYFUNCTION("""COMPUTED_VALUE"""),47.75)</f>
        <v>47.75</v>
      </c>
      <c r="E237" s="1">
        <f>IFERROR(__xludf.DUMMYFUNCTION("""COMPUTED_VALUE"""),48.01)</f>
        <v>48.01</v>
      </c>
      <c r="F237" s="1">
        <f>IFERROR(__xludf.DUMMYFUNCTION("""COMPUTED_VALUE"""),2880993.0)</f>
        <v>2880993</v>
      </c>
      <c r="G237" s="2" t="s">
        <v>13</v>
      </c>
    </row>
    <row r="238">
      <c r="A238" s="3">
        <f>IFERROR(__xludf.DUMMYFUNCTION("""COMPUTED_VALUE"""),44896.73611111111)</f>
        <v>44896.73611</v>
      </c>
      <c r="B238" s="1">
        <f>IFERROR(__xludf.DUMMYFUNCTION("""COMPUTED_VALUE"""),48.28)</f>
        <v>48.28</v>
      </c>
      <c r="C238" s="1">
        <f>IFERROR(__xludf.DUMMYFUNCTION("""COMPUTED_VALUE"""),48.7)</f>
        <v>48.7</v>
      </c>
      <c r="D238" s="1">
        <f>IFERROR(__xludf.DUMMYFUNCTION("""COMPUTED_VALUE"""),48.03)</f>
        <v>48.03</v>
      </c>
      <c r="E238" s="1">
        <f>IFERROR(__xludf.DUMMYFUNCTION("""COMPUTED_VALUE"""),48.69)</f>
        <v>48.69</v>
      </c>
      <c r="F238" s="1">
        <f>IFERROR(__xludf.DUMMYFUNCTION("""COMPUTED_VALUE"""),2646839.0)</f>
        <v>2646839</v>
      </c>
      <c r="G238" s="2" t="s">
        <v>13</v>
      </c>
    </row>
    <row r="239">
      <c r="A239" s="3">
        <f>IFERROR(__xludf.DUMMYFUNCTION("""COMPUTED_VALUE"""),44897.73611111111)</f>
        <v>44897.73611</v>
      </c>
      <c r="B239" s="1">
        <f>IFERROR(__xludf.DUMMYFUNCTION("""COMPUTED_VALUE"""),48.63)</f>
        <v>48.63</v>
      </c>
      <c r="C239" s="1">
        <f>IFERROR(__xludf.DUMMYFUNCTION("""COMPUTED_VALUE"""),48.77)</f>
        <v>48.77</v>
      </c>
      <c r="D239" s="1">
        <f>IFERROR(__xludf.DUMMYFUNCTION("""COMPUTED_VALUE"""),48.21)</f>
        <v>48.21</v>
      </c>
      <c r="E239" s="1">
        <f>IFERROR(__xludf.DUMMYFUNCTION("""COMPUTED_VALUE"""),48.77)</f>
        <v>48.77</v>
      </c>
      <c r="F239" s="1">
        <f>IFERROR(__xludf.DUMMYFUNCTION("""COMPUTED_VALUE"""),1501701.0)</f>
        <v>1501701</v>
      </c>
      <c r="G239" s="2" t="s">
        <v>13</v>
      </c>
    </row>
    <row r="240">
      <c r="A240" s="3">
        <f>IFERROR(__xludf.DUMMYFUNCTION("""COMPUTED_VALUE"""),44900.73611111111)</f>
        <v>44900.73611</v>
      </c>
      <c r="B240" s="1">
        <f>IFERROR(__xludf.DUMMYFUNCTION("""COMPUTED_VALUE"""),48.69)</f>
        <v>48.69</v>
      </c>
      <c r="C240" s="1">
        <f>IFERROR(__xludf.DUMMYFUNCTION("""COMPUTED_VALUE"""),48.71)</f>
        <v>48.71</v>
      </c>
      <c r="D240" s="1">
        <f>IFERROR(__xludf.DUMMYFUNCTION("""COMPUTED_VALUE"""),47.94)</f>
        <v>47.94</v>
      </c>
      <c r="E240" s="1">
        <f>IFERROR(__xludf.DUMMYFUNCTION("""COMPUTED_VALUE"""),48.46)</f>
        <v>48.46</v>
      </c>
      <c r="F240" s="1">
        <f>IFERROR(__xludf.DUMMYFUNCTION("""COMPUTED_VALUE"""),2029297.0)</f>
        <v>2029297</v>
      </c>
      <c r="G240" s="2" t="s">
        <v>13</v>
      </c>
    </row>
    <row r="241">
      <c r="A241" s="3">
        <f>IFERROR(__xludf.DUMMYFUNCTION("""COMPUTED_VALUE"""),44901.73611111111)</f>
        <v>44901.73611</v>
      </c>
      <c r="B241" s="1">
        <f>IFERROR(__xludf.DUMMYFUNCTION("""COMPUTED_VALUE"""),48.75)</f>
        <v>48.75</v>
      </c>
      <c r="C241" s="1">
        <f>IFERROR(__xludf.DUMMYFUNCTION("""COMPUTED_VALUE"""),48.97)</f>
        <v>48.97</v>
      </c>
      <c r="D241" s="1">
        <f>IFERROR(__xludf.DUMMYFUNCTION("""COMPUTED_VALUE"""),48.56)</f>
        <v>48.56</v>
      </c>
      <c r="E241" s="1">
        <f>IFERROR(__xludf.DUMMYFUNCTION("""COMPUTED_VALUE"""),48.6)</f>
        <v>48.6</v>
      </c>
      <c r="F241" s="1">
        <f>IFERROR(__xludf.DUMMYFUNCTION("""COMPUTED_VALUE"""),2044398.0)</f>
        <v>2044398</v>
      </c>
      <c r="G241" s="2" t="s">
        <v>13</v>
      </c>
    </row>
    <row r="242">
      <c r="A242" s="3">
        <f>IFERROR(__xludf.DUMMYFUNCTION("""COMPUTED_VALUE"""),44902.73611111111)</f>
        <v>44902.73611</v>
      </c>
      <c r="B242" s="1">
        <f>IFERROR(__xludf.DUMMYFUNCTION("""COMPUTED_VALUE"""),48.8)</f>
        <v>48.8</v>
      </c>
      <c r="C242" s="1">
        <f>IFERROR(__xludf.DUMMYFUNCTION("""COMPUTED_VALUE"""),49.09)</f>
        <v>49.09</v>
      </c>
      <c r="D242" s="1">
        <f>IFERROR(__xludf.DUMMYFUNCTION("""COMPUTED_VALUE"""),48.29)</f>
        <v>48.29</v>
      </c>
      <c r="E242" s="1">
        <f>IFERROR(__xludf.DUMMYFUNCTION("""COMPUTED_VALUE"""),48.33)</f>
        <v>48.33</v>
      </c>
      <c r="F242" s="1">
        <f>IFERROR(__xludf.DUMMYFUNCTION("""COMPUTED_VALUE"""),2473968.0)</f>
        <v>2473968</v>
      </c>
      <c r="G242" s="2" t="s">
        <v>13</v>
      </c>
    </row>
    <row r="243">
      <c r="A243" s="3">
        <f>IFERROR(__xludf.DUMMYFUNCTION("""COMPUTED_VALUE"""),44903.73611111111)</f>
        <v>44903.73611</v>
      </c>
      <c r="B243" s="1">
        <f>IFERROR(__xludf.DUMMYFUNCTION("""COMPUTED_VALUE"""),48.5)</f>
        <v>48.5</v>
      </c>
      <c r="C243" s="1">
        <f>IFERROR(__xludf.DUMMYFUNCTION("""COMPUTED_VALUE"""),48.96)</f>
        <v>48.96</v>
      </c>
      <c r="D243" s="1">
        <f>IFERROR(__xludf.DUMMYFUNCTION("""COMPUTED_VALUE"""),47.92)</f>
        <v>47.92</v>
      </c>
      <c r="E243" s="1">
        <f>IFERROR(__xludf.DUMMYFUNCTION("""COMPUTED_VALUE"""),48.24)</f>
        <v>48.24</v>
      </c>
      <c r="F243" s="1">
        <f>IFERROR(__xludf.DUMMYFUNCTION("""COMPUTED_VALUE"""),1903357.0)</f>
        <v>1903357</v>
      </c>
      <c r="G243" s="2" t="s">
        <v>13</v>
      </c>
    </row>
    <row r="244">
      <c r="A244" s="3">
        <f>IFERROR(__xludf.DUMMYFUNCTION("""COMPUTED_VALUE"""),44904.73611111111)</f>
        <v>44904.73611</v>
      </c>
      <c r="B244" s="1">
        <f>IFERROR(__xludf.DUMMYFUNCTION("""COMPUTED_VALUE"""),48.06)</f>
        <v>48.06</v>
      </c>
      <c r="C244" s="1">
        <f>IFERROR(__xludf.DUMMYFUNCTION("""COMPUTED_VALUE"""),48.37)</f>
        <v>48.37</v>
      </c>
      <c r="D244" s="1">
        <f>IFERROR(__xludf.DUMMYFUNCTION("""COMPUTED_VALUE"""),47.93)</f>
        <v>47.93</v>
      </c>
      <c r="E244" s="1">
        <f>IFERROR(__xludf.DUMMYFUNCTION("""COMPUTED_VALUE"""),48.12)</f>
        <v>48.12</v>
      </c>
      <c r="F244" s="1">
        <f>IFERROR(__xludf.DUMMYFUNCTION("""COMPUTED_VALUE"""),2111193.0)</f>
        <v>2111193</v>
      </c>
      <c r="G244" s="2" t="s">
        <v>13</v>
      </c>
    </row>
    <row r="245">
      <c r="A245" s="3">
        <f>IFERROR(__xludf.DUMMYFUNCTION("""COMPUTED_VALUE"""),44907.73611111111)</f>
        <v>44907.73611</v>
      </c>
      <c r="B245" s="1">
        <f>IFERROR(__xludf.DUMMYFUNCTION("""COMPUTED_VALUE"""),48.08)</f>
        <v>48.08</v>
      </c>
      <c r="C245" s="1">
        <f>IFERROR(__xludf.DUMMYFUNCTION("""COMPUTED_VALUE"""),48.28)</f>
        <v>48.28</v>
      </c>
      <c r="D245" s="1">
        <f>IFERROR(__xludf.DUMMYFUNCTION("""COMPUTED_VALUE"""),47.87)</f>
        <v>47.87</v>
      </c>
      <c r="E245" s="1">
        <f>IFERROR(__xludf.DUMMYFUNCTION("""COMPUTED_VALUE"""),48.01)</f>
        <v>48.01</v>
      </c>
      <c r="F245" s="1">
        <f>IFERROR(__xludf.DUMMYFUNCTION("""COMPUTED_VALUE"""),1355074.0)</f>
        <v>1355074</v>
      </c>
      <c r="G245" s="2" t="s">
        <v>13</v>
      </c>
    </row>
    <row r="246">
      <c r="A246" s="3">
        <f>IFERROR(__xludf.DUMMYFUNCTION("""COMPUTED_VALUE"""),44908.73611111111)</f>
        <v>44908.73611</v>
      </c>
      <c r="B246" s="1">
        <f>IFERROR(__xludf.DUMMYFUNCTION("""COMPUTED_VALUE"""),48.15)</f>
        <v>48.15</v>
      </c>
      <c r="C246" s="1">
        <f>IFERROR(__xludf.DUMMYFUNCTION("""COMPUTED_VALUE"""),48.21)</f>
        <v>48.21</v>
      </c>
      <c r="D246" s="1">
        <f>IFERROR(__xludf.DUMMYFUNCTION("""COMPUTED_VALUE"""),47.63)</f>
        <v>47.63</v>
      </c>
      <c r="E246" s="1">
        <f>IFERROR(__xludf.DUMMYFUNCTION("""COMPUTED_VALUE"""),47.77)</f>
        <v>47.77</v>
      </c>
      <c r="F246" s="1">
        <f>IFERROR(__xludf.DUMMYFUNCTION("""COMPUTED_VALUE"""),1883194.0)</f>
        <v>1883194</v>
      </c>
      <c r="G246" s="2" t="s">
        <v>13</v>
      </c>
    </row>
    <row r="247">
      <c r="A247" s="3">
        <f>IFERROR(__xludf.DUMMYFUNCTION("""COMPUTED_VALUE"""),44909.73611111111)</f>
        <v>44909.73611</v>
      </c>
      <c r="B247" s="1">
        <f>IFERROR(__xludf.DUMMYFUNCTION("""COMPUTED_VALUE"""),47.67)</f>
        <v>47.67</v>
      </c>
      <c r="C247" s="1">
        <f>IFERROR(__xludf.DUMMYFUNCTION("""COMPUTED_VALUE"""),48.45)</f>
        <v>48.45</v>
      </c>
      <c r="D247" s="1">
        <f>IFERROR(__xludf.DUMMYFUNCTION("""COMPUTED_VALUE"""),47.53)</f>
        <v>47.53</v>
      </c>
      <c r="E247" s="1">
        <f>IFERROR(__xludf.DUMMYFUNCTION("""COMPUTED_VALUE"""),48.32)</f>
        <v>48.32</v>
      </c>
      <c r="F247" s="1">
        <f>IFERROR(__xludf.DUMMYFUNCTION("""COMPUTED_VALUE"""),2265403.0)</f>
        <v>2265403</v>
      </c>
      <c r="G247" s="2" t="s">
        <v>13</v>
      </c>
    </row>
    <row r="248">
      <c r="A248" s="3">
        <f>IFERROR(__xludf.DUMMYFUNCTION("""COMPUTED_VALUE"""),44910.73611111111)</f>
        <v>44910.73611</v>
      </c>
      <c r="B248" s="1">
        <f>IFERROR(__xludf.DUMMYFUNCTION("""COMPUTED_VALUE"""),48.16)</f>
        <v>48.16</v>
      </c>
      <c r="C248" s="1">
        <f>IFERROR(__xludf.DUMMYFUNCTION("""COMPUTED_VALUE"""),48.32)</f>
        <v>48.32</v>
      </c>
      <c r="D248" s="1">
        <f>IFERROR(__xludf.DUMMYFUNCTION("""COMPUTED_VALUE"""),47.35)</f>
        <v>47.35</v>
      </c>
      <c r="E248" s="1">
        <f>IFERROR(__xludf.DUMMYFUNCTION("""COMPUTED_VALUE"""),47.45)</f>
        <v>47.45</v>
      </c>
      <c r="F248" s="1">
        <f>IFERROR(__xludf.DUMMYFUNCTION("""COMPUTED_VALUE"""),2212358.0)</f>
        <v>2212358</v>
      </c>
      <c r="G248" s="2" t="s">
        <v>13</v>
      </c>
    </row>
    <row r="249">
      <c r="A249" s="3">
        <f>IFERROR(__xludf.DUMMYFUNCTION("""COMPUTED_VALUE"""),44911.73611111111)</f>
        <v>44911.73611</v>
      </c>
      <c r="B249" s="1">
        <f>IFERROR(__xludf.DUMMYFUNCTION("""COMPUTED_VALUE"""),47.44)</f>
        <v>47.44</v>
      </c>
      <c r="C249" s="1">
        <f>IFERROR(__xludf.DUMMYFUNCTION("""COMPUTED_VALUE"""),47.64)</f>
        <v>47.64</v>
      </c>
      <c r="D249" s="1">
        <f>IFERROR(__xludf.DUMMYFUNCTION("""COMPUTED_VALUE"""),47.11)</f>
        <v>47.11</v>
      </c>
      <c r="E249" s="1">
        <f>IFERROR(__xludf.DUMMYFUNCTION("""COMPUTED_VALUE"""),47.49)</f>
        <v>47.49</v>
      </c>
      <c r="F249" s="1">
        <f>IFERROR(__xludf.DUMMYFUNCTION("""COMPUTED_VALUE"""),2215975.0)</f>
        <v>2215975</v>
      </c>
      <c r="G249" s="2" t="s">
        <v>13</v>
      </c>
    </row>
    <row r="250">
      <c r="A250" s="3">
        <f>IFERROR(__xludf.DUMMYFUNCTION("""COMPUTED_VALUE"""),44914.73611111111)</f>
        <v>44914.73611</v>
      </c>
      <c r="B250" s="1">
        <f>IFERROR(__xludf.DUMMYFUNCTION("""COMPUTED_VALUE"""),47.59)</f>
        <v>47.59</v>
      </c>
      <c r="C250" s="1">
        <f>IFERROR(__xludf.DUMMYFUNCTION("""COMPUTED_VALUE"""),47.85)</f>
        <v>47.85</v>
      </c>
      <c r="D250" s="1">
        <f>IFERROR(__xludf.DUMMYFUNCTION("""COMPUTED_VALUE"""),47.46)</f>
        <v>47.46</v>
      </c>
      <c r="E250" s="1">
        <f>IFERROR(__xludf.DUMMYFUNCTION("""COMPUTED_VALUE"""),47.82)</f>
        <v>47.82</v>
      </c>
      <c r="F250" s="1">
        <f>IFERROR(__xludf.DUMMYFUNCTION("""COMPUTED_VALUE"""),1766681.0)</f>
        <v>1766681</v>
      </c>
      <c r="G250" s="2" t="s">
        <v>13</v>
      </c>
    </row>
    <row r="251">
      <c r="A251" s="3">
        <f>IFERROR(__xludf.DUMMYFUNCTION("""COMPUTED_VALUE"""),44915.73611111111)</f>
        <v>44915.73611</v>
      </c>
      <c r="B251" s="1">
        <f>IFERROR(__xludf.DUMMYFUNCTION("""COMPUTED_VALUE"""),47.73)</f>
        <v>47.73</v>
      </c>
      <c r="C251" s="1">
        <f>IFERROR(__xludf.DUMMYFUNCTION("""COMPUTED_VALUE"""),47.83)</f>
        <v>47.83</v>
      </c>
      <c r="D251" s="1">
        <f>IFERROR(__xludf.DUMMYFUNCTION("""COMPUTED_VALUE"""),47.38)</f>
        <v>47.38</v>
      </c>
      <c r="E251" s="1">
        <f>IFERROR(__xludf.DUMMYFUNCTION("""COMPUTED_VALUE"""),47.5)</f>
        <v>47.5</v>
      </c>
      <c r="F251" s="1">
        <f>IFERROR(__xludf.DUMMYFUNCTION("""COMPUTED_VALUE"""),1735859.0)</f>
        <v>1735859</v>
      </c>
      <c r="G251" s="2" t="s">
        <v>13</v>
      </c>
    </row>
    <row r="252">
      <c r="A252" s="3">
        <f>IFERROR(__xludf.DUMMYFUNCTION("""COMPUTED_VALUE"""),44916.73611111111)</f>
        <v>44916.73611</v>
      </c>
      <c r="B252" s="1">
        <f>IFERROR(__xludf.DUMMYFUNCTION("""COMPUTED_VALUE"""),47.68)</f>
        <v>47.68</v>
      </c>
      <c r="C252" s="1">
        <f>IFERROR(__xludf.DUMMYFUNCTION("""COMPUTED_VALUE"""),48.15)</f>
        <v>48.15</v>
      </c>
      <c r="D252" s="1">
        <f>IFERROR(__xludf.DUMMYFUNCTION("""COMPUTED_VALUE"""),47.45)</f>
        <v>47.45</v>
      </c>
      <c r="E252" s="1">
        <f>IFERROR(__xludf.DUMMYFUNCTION("""COMPUTED_VALUE"""),48.15)</f>
        <v>48.15</v>
      </c>
      <c r="F252" s="1">
        <f>IFERROR(__xludf.DUMMYFUNCTION("""COMPUTED_VALUE"""),1699242.0)</f>
        <v>1699242</v>
      </c>
      <c r="G252" s="2" t="s">
        <v>13</v>
      </c>
    </row>
    <row r="253">
      <c r="A253" s="3">
        <f>IFERROR(__xludf.DUMMYFUNCTION("""COMPUTED_VALUE"""),44917.73611111111)</f>
        <v>44917.73611</v>
      </c>
      <c r="B253" s="1">
        <f>IFERROR(__xludf.DUMMYFUNCTION("""COMPUTED_VALUE"""),48.15)</f>
        <v>48.15</v>
      </c>
      <c r="C253" s="1">
        <f>IFERROR(__xludf.DUMMYFUNCTION("""COMPUTED_VALUE"""),48.41)</f>
        <v>48.41</v>
      </c>
      <c r="D253" s="1">
        <f>IFERROR(__xludf.DUMMYFUNCTION("""COMPUTED_VALUE"""),47.73)</f>
        <v>47.73</v>
      </c>
      <c r="E253" s="1">
        <f>IFERROR(__xludf.DUMMYFUNCTION("""COMPUTED_VALUE"""),47.87)</f>
        <v>47.87</v>
      </c>
      <c r="F253" s="1">
        <f>IFERROR(__xludf.DUMMYFUNCTION("""COMPUTED_VALUE"""),2156319.0)</f>
        <v>2156319</v>
      </c>
      <c r="G253" s="2" t="s">
        <v>13</v>
      </c>
    </row>
    <row r="254">
      <c r="A254" s="3">
        <f>IFERROR(__xludf.DUMMYFUNCTION("""COMPUTED_VALUE"""),44918.73611111111)</f>
        <v>44918.73611</v>
      </c>
      <c r="B254" s="1">
        <f>IFERROR(__xludf.DUMMYFUNCTION("""COMPUTED_VALUE"""),47.9)</f>
        <v>47.9</v>
      </c>
      <c r="C254" s="1">
        <f>IFERROR(__xludf.DUMMYFUNCTION("""COMPUTED_VALUE"""),48.09)</f>
        <v>48.09</v>
      </c>
      <c r="D254" s="1">
        <f>IFERROR(__xludf.DUMMYFUNCTION("""COMPUTED_VALUE"""),47.75)</f>
        <v>47.75</v>
      </c>
      <c r="E254" s="1">
        <f>IFERROR(__xludf.DUMMYFUNCTION("""COMPUTED_VALUE"""),47.94)</f>
        <v>47.94</v>
      </c>
      <c r="F254" s="1">
        <f>IFERROR(__xludf.DUMMYFUNCTION("""COMPUTED_VALUE"""),1329707.0)</f>
        <v>1329707</v>
      </c>
      <c r="G254" s="2" t="s">
        <v>13</v>
      </c>
    </row>
    <row r="255">
      <c r="A255" s="3">
        <f>IFERROR(__xludf.DUMMYFUNCTION("""COMPUTED_VALUE"""),44922.73611111111)</f>
        <v>44922.73611</v>
      </c>
      <c r="B255" s="1">
        <f>IFERROR(__xludf.DUMMYFUNCTION("""COMPUTED_VALUE"""),48.0)</f>
        <v>48</v>
      </c>
      <c r="C255" s="1">
        <f>IFERROR(__xludf.DUMMYFUNCTION("""COMPUTED_VALUE"""),48.06)</f>
        <v>48.06</v>
      </c>
      <c r="D255" s="1">
        <f>IFERROR(__xludf.DUMMYFUNCTION("""COMPUTED_VALUE"""),47.69)</f>
        <v>47.69</v>
      </c>
      <c r="E255" s="1">
        <f>IFERROR(__xludf.DUMMYFUNCTION("""COMPUTED_VALUE"""),47.91)</f>
        <v>47.91</v>
      </c>
      <c r="F255" s="1">
        <f>IFERROR(__xludf.DUMMYFUNCTION("""COMPUTED_VALUE"""),859528.0)</f>
        <v>859528</v>
      </c>
      <c r="G255" s="2" t="s">
        <v>13</v>
      </c>
    </row>
    <row r="256">
      <c r="A256" s="3">
        <f>IFERROR(__xludf.DUMMYFUNCTION("""COMPUTED_VALUE"""),44923.73611111111)</f>
        <v>44923.73611</v>
      </c>
      <c r="B256" s="1">
        <f>IFERROR(__xludf.DUMMYFUNCTION("""COMPUTED_VALUE"""),47.96)</f>
        <v>47.96</v>
      </c>
      <c r="C256" s="1">
        <f>IFERROR(__xludf.DUMMYFUNCTION("""COMPUTED_VALUE"""),47.96)</f>
        <v>47.96</v>
      </c>
      <c r="D256" s="1">
        <f>IFERROR(__xludf.DUMMYFUNCTION("""COMPUTED_VALUE"""),47.64)</f>
        <v>47.64</v>
      </c>
      <c r="E256" s="1">
        <f>IFERROR(__xludf.DUMMYFUNCTION("""COMPUTED_VALUE"""),47.65)</f>
        <v>47.65</v>
      </c>
      <c r="F256" s="1">
        <f>IFERROR(__xludf.DUMMYFUNCTION("""COMPUTED_VALUE"""),1195478.0)</f>
        <v>1195478</v>
      </c>
      <c r="G256" s="2" t="s">
        <v>13</v>
      </c>
    </row>
    <row r="257">
      <c r="A257" s="3">
        <f>IFERROR(__xludf.DUMMYFUNCTION("""COMPUTED_VALUE"""),44924.73611111111)</f>
        <v>44924.73611</v>
      </c>
      <c r="B257" s="1">
        <f>IFERROR(__xludf.DUMMYFUNCTION("""COMPUTED_VALUE"""),47.55)</f>
        <v>47.55</v>
      </c>
      <c r="C257" s="1">
        <f>IFERROR(__xludf.DUMMYFUNCTION("""COMPUTED_VALUE"""),47.63)</f>
        <v>47.63</v>
      </c>
      <c r="D257" s="1">
        <f>IFERROR(__xludf.DUMMYFUNCTION("""COMPUTED_VALUE"""),47.13)</f>
        <v>47.13</v>
      </c>
      <c r="E257" s="1">
        <f>IFERROR(__xludf.DUMMYFUNCTION("""COMPUTED_VALUE"""),47.51)</f>
        <v>47.51</v>
      </c>
      <c r="F257" s="1">
        <f>IFERROR(__xludf.DUMMYFUNCTION("""COMPUTED_VALUE"""),1165364.0)</f>
        <v>1165364</v>
      </c>
      <c r="G257" s="2" t="s">
        <v>13</v>
      </c>
    </row>
    <row r="258">
      <c r="A258" s="3">
        <f>IFERROR(__xludf.DUMMYFUNCTION("""COMPUTED_VALUE"""),44925.73611111111)</f>
        <v>44925.73611</v>
      </c>
      <c r="B258" s="1">
        <f>IFERROR(__xludf.DUMMYFUNCTION("""COMPUTED_VALUE"""),47.41)</f>
        <v>47.41</v>
      </c>
      <c r="C258" s="1">
        <f>IFERROR(__xludf.DUMMYFUNCTION("""COMPUTED_VALUE"""),47.48)</f>
        <v>47.48</v>
      </c>
      <c r="D258" s="1">
        <f>IFERROR(__xludf.DUMMYFUNCTION("""COMPUTED_VALUE"""),46.76)</f>
        <v>46.76</v>
      </c>
      <c r="E258" s="1">
        <f>IFERROR(__xludf.DUMMYFUNCTION("""COMPUTED_VALUE"""),46.87)</f>
        <v>46.87</v>
      </c>
      <c r="F258" s="1">
        <f>IFERROR(__xludf.DUMMYFUNCTION("""COMPUTED_VALUE"""),1159078.0)</f>
        <v>1159078</v>
      </c>
      <c r="G258" s="2" t="s">
        <v>13</v>
      </c>
    </row>
    <row r="259">
      <c r="A259" s="3">
        <f>IFERROR(__xludf.DUMMYFUNCTION("""COMPUTED_VALUE"""),44928.73611111111)</f>
        <v>44928.73611</v>
      </c>
      <c r="B259" s="1">
        <f>IFERROR(__xludf.DUMMYFUNCTION("""COMPUTED_VALUE"""),47.23)</f>
        <v>47.23</v>
      </c>
      <c r="C259" s="1">
        <f>IFERROR(__xludf.DUMMYFUNCTION("""COMPUTED_VALUE"""),47.4)</f>
        <v>47.4</v>
      </c>
      <c r="D259" s="1">
        <f>IFERROR(__xludf.DUMMYFUNCTION("""COMPUTED_VALUE"""),47.08)</f>
        <v>47.08</v>
      </c>
      <c r="E259" s="1">
        <f>IFERROR(__xludf.DUMMYFUNCTION("""COMPUTED_VALUE"""),47.24)</f>
        <v>47.24</v>
      </c>
      <c r="F259" s="1">
        <f>IFERROR(__xludf.DUMMYFUNCTION("""COMPUTED_VALUE"""),750737.0)</f>
        <v>750737</v>
      </c>
      <c r="G259" s="2" t="s">
        <v>13</v>
      </c>
    </row>
    <row r="260">
      <c r="A260" s="3">
        <f>IFERROR(__xludf.DUMMYFUNCTION("""COMPUTED_VALUE"""),44929.73611111111)</f>
        <v>44929.73611</v>
      </c>
      <c r="B260" s="1">
        <f>IFERROR(__xludf.DUMMYFUNCTION("""COMPUTED_VALUE"""),46.95)</f>
        <v>46.95</v>
      </c>
      <c r="C260" s="1">
        <f>IFERROR(__xludf.DUMMYFUNCTION("""COMPUTED_VALUE"""),47.73)</f>
        <v>47.73</v>
      </c>
      <c r="D260" s="1">
        <f>IFERROR(__xludf.DUMMYFUNCTION("""COMPUTED_VALUE"""),46.85)</f>
        <v>46.85</v>
      </c>
      <c r="E260" s="1">
        <f>IFERROR(__xludf.DUMMYFUNCTION("""COMPUTED_VALUE"""),47.62)</f>
        <v>47.62</v>
      </c>
      <c r="F260" s="1">
        <f>IFERROR(__xludf.DUMMYFUNCTION("""COMPUTED_VALUE"""),1591026.0)</f>
        <v>1591026</v>
      </c>
      <c r="G260" s="2" t="s">
        <v>13</v>
      </c>
    </row>
    <row r="261">
      <c r="A261" s="3">
        <f>IFERROR(__xludf.DUMMYFUNCTION("""COMPUTED_VALUE"""),44930.73611111111)</f>
        <v>44930.73611</v>
      </c>
      <c r="B261" s="1">
        <f>IFERROR(__xludf.DUMMYFUNCTION("""COMPUTED_VALUE"""),47.69)</f>
        <v>47.69</v>
      </c>
      <c r="C261" s="1">
        <f>IFERROR(__xludf.DUMMYFUNCTION("""COMPUTED_VALUE"""),48.23)</f>
        <v>48.23</v>
      </c>
      <c r="D261" s="1">
        <f>IFERROR(__xludf.DUMMYFUNCTION("""COMPUTED_VALUE"""),47.69)</f>
        <v>47.69</v>
      </c>
      <c r="E261" s="1">
        <f>IFERROR(__xludf.DUMMYFUNCTION("""COMPUTED_VALUE"""),47.97)</f>
        <v>47.97</v>
      </c>
      <c r="F261" s="1">
        <f>IFERROR(__xludf.DUMMYFUNCTION("""COMPUTED_VALUE"""),1932573.0)</f>
        <v>1932573</v>
      </c>
      <c r="G261" s="2" t="s">
        <v>13</v>
      </c>
    </row>
    <row r="262">
      <c r="A262" s="3">
        <f>IFERROR(__xludf.DUMMYFUNCTION("""COMPUTED_VALUE"""),44931.73611111111)</f>
        <v>44931.73611</v>
      </c>
      <c r="B262" s="1">
        <f>IFERROR(__xludf.DUMMYFUNCTION("""COMPUTED_VALUE"""),47.71)</f>
        <v>47.71</v>
      </c>
      <c r="C262" s="1">
        <f>IFERROR(__xludf.DUMMYFUNCTION("""COMPUTED_VALUE"""),47.81)</f>
        <v>47.81</v>
      </c>
      <c r="D262" s="1">
        <f>IFERROR(__xludf.DUMMYFUNCTION("""COMPUTED_VALUE"""),47.31)</f>
        <v>47.31</v>
      </c>
      <c r="E262" s="1">
        <f>IFERROR(__xludf.DUMMYFUNCTION("""COMPUTED_VALUE"""),47.5)</f>
        <v>47.5</v>
      </c>
      <c r="F262" s="1">
        <f>IFERROR(__xludf.DUMMYFUNCTION("""COMPUTED_VALUE"""),1392998.0)</f>
        <v>1392998</v>
      </c>
      <c r="G262" s="2" t="s">
        <v>13</v>
      </c>
    </row>
    <row r="263">
      <c r="A263" s="3">
        <f>IFERROR(__xludf.DUMMYFUNCTION("""COMPUTED_VALUE"""),44932.73611111111)</f>
        <v>44932.73611</v>
      </c>
      <c r="B263" s="1">
        <f>IFERROR(__xludf.DUMMYFUNCTION("""COMPUTED_VALUE"""),47.66)</f>
        <v>47.66</v>
      </c>
      <c r="C263" s="1">
        <f>IFERROR(__xludf.DUMMYFUNCTION("""COMPUTED_VALUE"""),47.81)</f>
        <v>47.81</v>
      </c>
      <c r="D263" s="1">
        <f>IFERROR(__xludf.DUMMYFUNCTION("""COMPUTED_VALUE"""),47.47)</f>
        <v>47.47</v>
      </c>
      <c r="E263" s="1">
        <f>IFERROR(__xludf.DUMMYFUNCTION("""COMPUTED_VALUE"""),47.68)</f>
        <v>47.68</v>
      </c>
      <c r="F263" s="1">
        <f>IFERROR(__xludf.DUMMYFUNCTION("""COMPUTED_VALUE"""),1352990.0)</f>
        <v>1352990</v>
      </c>
      <c r="G263" s="2" t="s">
        <v>13</v>
      </c>
    </row>
    <row r="264">
      <c r="A264" s="3">
        <f>IFERROR(__xludf.DUMMYFUNCTION("""COMPUTED_VALUE"""),44935.73611111111)</f>
        <v>44935.73611</v>
      </c>
      <c r="B264" s="1">
        <f>IFERROR(__xludf.DUMMYFUNCTION("""COMPUTED_VALUE"""),47.62)</f>
        <v>47.62</v>
      </c>
      <c r="C264" s="1">
        <f>IFERROR(__xludf.DUMMYFUNCTION("""COMPUTED_VALUE"""),47.78)</f>
        <v>47.78</v>
      </c>
      <c r="D264" s="1">
        <f>IFERROR(__xludf.DUMMYFUNCTION("""COMPUTED_VALUE"""),47.26)</f>
        <v>47.26</v>
      </c>
      <c r="E264" s="1">
        <f>IFERROR(__xludf.DUMMYFUNCTION("""COMPUTED_VALUE"""),47.58)</f>
        <v>47.58</v>
      </c>
      <c r="F264" s="1">
        <f>IFERROR(__xludf.DUMMYFUNCTION("""COMPUTED_VALUE"""),1604842.0)</f>
        <v>1604842</v>
      </c>
      <c r="G264" s="2" t="s">
        <v>13</v>
      </c>
    </row>
    <row r="265">
      <c r="A265" s="3">
        <f>IFERROR(__xludf.DUMMYFUNCTION("""COMPUTED_VALUE"""),44936.73611111111)</f>
        <v>44936.73611</v>
      </c>
      <c r="B265" s="1">
        <f>IFERROR(__xludf.DUMMYFUNCTION("""COMPUTED_VALUE"""),47.5)</f>
        <v>47.5</v>
      </c>
      <c r="C265" s="1">
        <f>IFERROR(__xludf.DUMMYFUNCTION("""COMPUTED_VALUE"""),47.67)</f>
        <v>47.67</v>
      </c>
      <c r="D265" s="1">
        <f>IFERROR(__xludf.DUMMYFUNCTION("""COMPUTED_VALUE"""),47.31)</f>
        <v>47.31</v>
      </c>
      <c r="E265" s="1">
        <f>IFERROR(__xludf.DUMMYFUNCTION("""COMPUTED_VALUE"""),47.46)</f>
        <v>47.46</v>
      </c>
      <c r="F265" s="1">
        <f>IFERROR(__xludf.DUMMYFUNCTION("""COMPUTED_VALUE"""),1230229.0)</f>
        <v>1230229</v>
      </c>
      <c r="G265" s="2" t="s">
        <v>13</v>
      </c>
    </row>
    <row r="266">
      <c r="A266" s="3">
        <f>IFERROR(__xludf.DUMMYFUNCTION("""COMPUTED_VALUE"""),44937.73611111111)</f>
        <v>44937.73611</v>
      </c>
      <c r="B266" s="1">
        <f>IFERROR(__xludf.DUMMYFUNCTION("""COMPUTED_VALUE"""),47.5)</f>
        <v>47.5</v>
      </c>
      <c r="C266" s="1">
        <f>IFERROR(__xludf.DUMMYFUNCTION("""COMPUTED_VALUE"""),47.66)</f>
        <v>47.66</v>
      </c>
      <c r="D266" s="1">
        <f>IFERROR(__xludf.DUMMYFUNCTION("""COMPUTED_VALUE"""),47.17)</f>
        <v>47.17</v>
      </c>
      <c r="E266" s="1">
        <f>IFERROR(__xludf.DUMMYFUNCTION("""COMPUTED_VALUE"""),47.25)</f>
        <v>47.25</v>
      </c>
      <c r="F266" s="1">
        <f>IFERROR(__xludf.DUMMYFUNCTION("""COMPUTED_VALUE"""),1654259.0)</f>
        <v>1654259</v>
      </c>
      <c r="G266" s="2" t="s">
        <v>13</v>
      </c>
    </row>
    <row r="267">
      <c r="A267" s="3">
        <f>IFERROR(__xludf.DUMMYFUNCTION("""COMPUTED_VALUE"""),44938.73611111111)</f>
        <v>44938.73611</v>
      </c>
      <c r="B267" s="1">
        <f>IFERROR(__xludf.DUMMYFUNCTION("""COMPUTED_VALUE"""),47.41)</f>
        <v>47.41</v>
      </c>
      <c r="C267" s="1">
        <f>IFERROR(__xludf.DUMMYFUNCTION("""COMPUTED_VALUE"""),47.64)</f>
        <v>47.64</v>
      </c>
      <c r="D267" s="1">
        <f>IFERROR(__xludf.DUMMYFUNCTION("""COMPUTED_VALUE"""),46.88)</f>
        <v>46.88</v>
      </c>
      <c r="E267" s="1">
        <f>IFERROR(__xludf.DUMMYFUNCTION("""COMPUTED_VALUE"""),47.12)</f>
        <v>47.12</v>
      </c>
      <c r="F267" s="1">
        <f>IFERROR(__xludf.DUMMYFUNCTION("""COMPUTED_VALUE"""),2192066.0)</f>
        <v>2192066</v>
      </c>
      <c r="G267" s="2" t="s">
        <v>13</v>
      </c>
    </row>
    <row r="268">
      <c r="A268" s="3">
        <f>IFERROR(__xludf.DUMMYFUNCTION("""COMPUTED_VALUE"""),44939.73611111111)</f>
        <v>44939.73611</v>
      </c>
      <c r="B268" s="1">
        <f>IFERROR(__xludf.DUMMYFUNCTION("""COMPUTED_VALUE"""),47.25)</f>
        <v>47.25</v>
      </c>
      <c r="C268" s="1">
        <f>IFERROR(__xludf.DUMMYFUNCTION("""COMPUTED_VALUE"""),47.72)</f>
        <v>47.72</v>
      </c>
      <c r="D268" s="1">
        <f>IFERROR(__xludf.DUMMYFUNCTION("""COMPUTED_VALUE"""),47.16)</f>
        <v>47.16</v>
      </c>
      <c r="E268" s="1">
        <f>IFERROR(__xludf.DUMMYFUNCTION("""COMPUTED_VALUE"""),47.55)</f>
        <v>47.55</v>
      </c>
      <c r="F268" s="1">
        <f>IFERROR(__xludf.DUMMYFUNCTION("""COMPUTED_VALUE"""),1620464.0)</f>
        <v>1620464</v>
      </c>
      <c r="G268" s="2" t="s">
        <v>13</v>
      </c>
    </row>
    <row r="269">
      <c r="A269" s="3">
        <f>IFERROR(__xludf.DUMMYFUNCTION("""COMPUTED_VALUE"""),44942.73611111111)</f>
        <v>44942.73611</v>
      </c>
      <c r="B269" s="1">
        <f>IFERROR(__xludf.DUMMYFUNCTION("""COMPUTED_VALUE"""),47.63)</f>
        <v>47.63</v>
      </c>
      <c r="C269" s="1">
        <f>IFERROR(__xludf.DUMMYFUNCTION("""COMPUTED_VALUE"""),47.79)</f>
        <v>47.79</v>
      </c>
      <c r="D269" s="1">
        <f>IFERROR(__xludf.DUMMYFUNCTION("""COMPUTED_VALUE"""),47.45)</f>
        <v>47.45</v>
      </c>
      <c r="E269" s="1">
        <f>IFERROR(__xludf.DUMMYFUNCTION("""COMPUTED_VALUE"""),47.68)</f>
        <v>47.68</v>
      </c>
      <c r="F269" s="1">
        <f>IFERROR(__xludf.DUMMYFUNCTION("""COMPUTED_VALUE"""),1110407.0)</f>
        <v>1110407</v>
      </c>
      <c r="G269" s="2" t="s">
        <v>13</v>
      </c>
    </row>
    <row r="270">
      <c r="A270" s="3">
        <f>IFERROR(__xludf.DUMMYFUNCTION("""COMPUTED_VALUE"""),44943.73611111111)</f>
        <v>44943.73611</v>
      </c>
      <c r="B270" s="1">
        <f>IFERROR(__xludf.DUMMYFUNCTION("""COMPUTED_VALUE"""),47.2)</f>
        <v>47.2</v>
      </c>
      <c r="C270" s="1">
        <f>IFERROR(__xludf.DUMMYFUNCTION("""COMPUTED_VALUE"""),47.41)</f>
        <v>47.41</v>
      </c>
      <c r="D270" s="1">
        <f>IFERROR(__xludf.DUMMYFUNCTION("""COMPUTED_VALUE"""),46.94)</f>
        <v>46.94</v>
      </c>
      <c r="E270" s="1">
        <f>IFERROR(__xludf.DUMMYFUNCTION("""COMPUTED_VALUE"""),47.3)</f>
        <v>47.3</v>
      </c>
      <c r="F270" s="1">
        <f>IFERROR(__xludf.DUMMYFUNCTION("""COMPUTED_VALUE"""),2519601.0)</f>
        <v>2519601</v>
      </c>
      <c r="G270" s="2" t="s">
        <v>13</v>
      </c>
    </row>
    <row r="271">
      <c r="A271" s="3">
        <f>IFERROR(__xludf.DUMMYFUNCTION("""COMPUTED_VALUE"""),44944.73611111111)</f>
        <v>44944.73611</v>
      </c>
      <c r="B271" s="1">
        <f>IFERROR(__xludf.DUMMYFUNCTION("""COMPUTED_VALUE"""),47.36)</f>
        <v>47.36</v>
      </c>
      <c r="C271" s="1">
        <f>IFERROR(__xludf.DUMMYFUNCTION("""COMPUTED_VALUE"""),47.37)</f>
        <v>47.37</v>
      </c>
      <c r="D271" s="1">
        <f>IFERROR(__xludf.DUMMYFUNCTION("""COMPUTED_VALUE"""),46.72)</f>
        <v>46.72</v>
      </c>
      <c r="E271" s="1">
        <f>IFERROR(__xludf.DUMMYFUNCTION("""COMPUTED_VALUE"""),46.75)</f>
        <v>46.75</v>
      </c>
      <c r="F271" s="1">
        <f>IFERROR(__xludf.DUMMYFUNCTION("""COMPUTED_VALUE"""),1560697.0)</f>
        <v>1560697</v>
      </c>
      <c r="G271" s="2" t="s">
        <v>13</v>
      </c>
    </row>
    <row r="272">
      <c r="A272" s="3">
        <f>IFERROR(__xludf.DUMMYFUNCTION("""COMPUTED_VALUE"""),44945.73611111111)</f>
        <v>44945.73611</v>
      </c>
      <c r="B272" s="1">
        <f>IFERROR(__xludf.DUMMYFUNCTION("""COMPUTED_VALUE"""),46.75)</f>
        <v>46.75</v>
      </c>
      <c r="C272" s="1">
        <f>IFERROR(__xludf.DUMMYFUNCTION("""COMPUTED_VALUE"""),47.13)</f>
        <v>47.13</v>
      </c>
      <c r="D272" s="1">
        <f>IFERROR(__xludf.DUMMYFUNCTION("""COMPUTED_VALUE"""),46.32)</f>
        <v>46.32</v>
      </c>
      <c r="E272" s="1">
        <f>IFERROR(__xludf.DUMMYFUNCTION("""COMPUTED_VALUE"""),46.8)</f>
        <v>46.8</v>
      </c>
      <c r="F272" s="1">
        <f>IFERROR(__xludf.DUMMYFUNCTION("""COMPUTED_VALUE"""),2740316.0)</f>
        <v>2740316</v>
      </c>
      <c r="G272" s="2" t="s">
        <v>13</v>
      </c>
    </row>
    <row r="273">
      <c r="A273" s="3">
        <f>IFERROR(__xludf.DUMMYFUNCTION("""COMPUTED_VALUE"""),44946.73611111111)</f>
        <v>44946.73611</v>
      </c>
      <c r="B273" s="1">
        <f>IFERROR(__xludf.DUMMYFUNCTION("""COMPUTED_VALUE"""),46.56)</f>
        <v>46.56</v>
      </c>
      <c r="C273" s="1">
        <f>IFERROR(__xludf.DUMMYFUNCTION("""COMPUTED_VALUE"""),46.78)</f>
        <v>46.78</v>
      </c>
      <c r="D273" s="1">
        <f>IFERROR(__xludf.DUMMYFUNCTION("""COMPUTED_VALUE"""),46.19)</f>
        <v>46.19</v>
      </c>
      <c r="E273" s="1">
        <f>IFERROR(__xludf.DUMMYFUNCTION("""COMPUTED_VALUE"""),46.68)</f>
        <v>46.68</v>
      </c>
      <c r="F273" s="1">
        <f>IFERROR(__xludf.DUMMYFUNCTION("""COMPUTED_VALUE"""),1983449.0)</f>
        <v>1983449</v>
      </c>
      <c r="G273" s="2" t="s">
        <v>13</v>
      </c>
    </row>
    <row r="274">
      <c r="A274" s="3">
        <f>IFERROR(__xludf.DUMMYFUNCTION("""COMPUTED_VALUE"""),44949.73611111111)</f>
        <v>44949.73611</v>
      </c>
      <c r="B274" s="1">
        <f>IFERROR(__xludf.DUMMYFUNCTION("""COMPUTED_VALUE"""),46.76)</f>
        <v>46.76</v>
      </c>
      <c r="C274" s="1">
        <f>IFERROR(__xludf.DUMMYFUNCTION("""COMPUTED_VALUE"""),46.89)</f>
        <v>46.89</v>
      </c>
      <c r="D274" s="1">
        <f>IFERROR(__xludf.DUMMYFUNCTION("""COMPUTED_VALUE"""),46.6)</f>
        <v>46.6</v>
      </c>
      <c r="E274" s="1">
        <f>IFERROR(__xludf.DUMMYFUNCTION("""COMPUTED_VALUE"""),46.74)</f>
        <v>46.74</v>
      </c>
      <c r="F274" s="1">
        <f>IFERROR(__xludf.DUMMYFUNCTION("""COMPUTED_VALUE"""),1520109.0)</f>
        <v>1520109</v>
      </c>
      <c r="G274" s="2" t="s">
        <v>13</v>
      </c>
    </row>
    <row r="275">
      <c r="A275" s="3">
        <f>IFERROR(__xludf.DUMMYFUNCTION("""COMPUTED_VALUE"""),44950.73611111111)</f>
        <v>44950.73611</v>
      </c>
      <c r="B275" s="1">
        <f>IFERROR(__xludf.DUMMYFUNCTION("""COMPUTED_VALUE"""),46.75)</f>
        <v>46.75</v>
      </c>
      <c r="C275" s="1">
        <f>IFERROR(__xludf.DUMMYFUNCTION("""COMPUTED_VALUE"""),46.88)</f>
        <v>46.88</v>
      </c>
      <c r="D275" s="1">
        <f>IFERROR(__xludf.DUMMYFUNCTION("""COMPUTED_VALUE"""),46.31)</f>
        <v>46.31</v>
      </c>
      <c r="E275" s="1">
        <f>IFERROR(__xludf.DUMMYFUNCTION("""COMPUTED_VALUE"""),46.48)</f>
        <v>46.48</v>
      </c>
      <c r="F275" s="1">
        <f>IFERROR(__xludf.DUMMYFUNCTION("""COMPUTED_VALUE"""),1497201.0)</f>
        <v>1497201</v>
      </c>
      <c r="G275" s="2" t="s">
        <v>13</v>
      </c>
    </row>
    <row r="276">
      <c r="A276" s="3">
        <f>IFERROR(__xludf.DUMMYFUNCTION("""COMPUTED_VALUE"""),44951.73611111111)</f>
        <v>44951.73611</v>
      </c>
      <c r="B276" s="1">
        <f>IFERROR(__xludf.DUMMYFUNCTION("""COMPUTED_VALUE"""),46.61)</f>
        <v>46.61</v>
      </c>
      <c r="C276" s="1">
        <f>IFERROR(__xludf.DUMMYFUNCTION("""COMPUTED_VALUE"""),46.65)</f>
        <v>46.65</v>
      </c>
      <c r="D276" s="1">
        <f>IFERROR(__xludf.DUMMYFUNCTION("""COMPUTED_VALUE"""),45.91)</f>
        <v>45.91</v>
      </c>
      <c r="E276" s="1">
        <f>IFERROR(__xludf.DUMMYFUNCTION("""COMPUTED_VALUE"""),46.12)</f>
        <v>46.12</v>
      </c>
      <c r="F276" s="1">
        <f>IFERROR(__xludf.DUMMYFUNCTION("""COMPUTED_VALUE"""),1615388.0)</f>
        <v>1615388</v>
      </c>
      <c r="G276" s="2" t="s">
        <v>13</v>
      </c>
    </row>
    <row r="277">
      <c r="A277" s="3">
        <f>IFERROR(__xludf.DUMMYFUNCTION("""COMPUTED_VALUE"""),44952.73611111111)</f>
        <v>44952.73611</v>
      </c>
      <c r="B277" s="1">
        <f>IFERROR(__xludf.DUMMYFUNCTION("""COMPUTED_VALUE"""),46.31)</f>
        <v>46.31</v>
      </c>
      <c r="C277" s="1">
        <f>IFERROR(__xludf.DUMMYFUNCTION("""COMPUTED_VALUE"""),46.5)</f>
        <v>46.5</v>
      </c>
      <c r="D277" s="1">
        <f>IFERROR(__xludf.DUMMYFUNCTION("""COMPUTED_VALUE"""),45.74)</f>
        <v>45.74</v>
      </c>
      <c r="E277" s="1">
        <f>IFERROR(__xludf.DUMMYFUNCTION("""COMPUTED_VALUE"""),46.02)</f>
        <v>46.02</v>
      </c>
      <c r="F277" s="1">
        <f>IFERROR(__xludf.DUMMYFUNCTION("""COMPUTED_VALUE"""),1919017.0)</f>
        <v>1919017</v>
      </c>
      <c r="G277" s="2" t="s">
        <v>13</v>
      </c>
    </row>
    <row r="278">
      <c r="A278" s="3">
        <f>IFERROR(__xludf.DUMMYFUNCTION("""COMPUTED_VALUE"""),44953.73611111111)</f>
        <v>44953.73611</v>
      </c>
      <c r="B278" s="1">
        <f>IFERROR(__xludf.DUMMYFUNCTION("""COMPUTED_VALUE"""),46.19)</f>
        <v>46.19</v>
      </c>
      <c r="C278" s="1">
        <f>IFERROR(__xludf.DUMMYFUNCTION("""COMPUTED_VALUE"""),46.24)</f>
        <v>46.24</v>
      </c>
      <c r="D278" s="1">
        <f>IFERROR(__xludf.DUMMYFUNCTION("""COMPUTED_VALUE"""),45.72)</f>
        <v>45.72</v>
      </c>
      <c r="E278" s="1">
        <f>IFERROR(__xludf.DUMMYFUNCTION("""COMPUTED_VALUE"""),45.87)</f>
        <v>45.87</v>
      </c>
      <c r="F278" s="1">
        <f>IFERROR(__xludf.DUMMYFUNCTION("""COMPUTED_VALUE"""),1340694.0)</f>
        <v>1340694</v>
      </c>
      <c r="G278" s="2" t="s">
        <v>13</v>
      </c>
    </row>
    <row r="279">
      <c r="A279" s="3">
        <f>IFERROR(__xludf.DUMMYFUNCTION("""COMPUTED_VALUE"""),44956.73611111111)</f>
        <v>44956.73611</v>
      </c>
      <c r="B279" s="1">
        <f>IFERROR(__xludf.DUMMYFUNCTION("""COMPUTED_VALUE"""),45.89)</f>
        <v>45.89</v>
      </c>
      <c r="C279" s="1">
        <f>IFERROR(__xludf.DUMMYFUNCTION("""COMPUTED_VALUE"""),46.4)</f>
        <v>46.4</v>
      </c>
      <c r="D279" s="1">
        <f>IFERROR(__xludf.DUMMYFUNCTION("""COMPUTED_VALUE"""),45.84)</f>
        <v>45.84</v>
      </c>
      <c r="E279" s="1">
        <f>IFERROR(__xludf.DUMMYFUNCTION("""COMPUTED_VALUE"""),46.34)</f>
        <v>46.34</v>
      </c>
      <c r="F279" s="1">
        <f>IFERROR(__xludf.DUMMYFUNCTION("""COMPUTED_VALUE"""),2195572.0)</f>
        <v>2195572</v>
      </c>
      <c r="G279" s="2" t="s">
        <v>13</v>
      </c>
    </row>
    <row r="280">
      <c r="A280" s="3">
        <f>IFERROR(__xludf.DUMMYFUNCTION("""COMPUTED_VALUE"""),44957.73611111111)</f>
        <v>44957.73611</v>
      </c>
      <c r="B280" s="1">
        <f>IFERROR(__xludf.DUMMYFUNCTION("""COMPUTED_VALUE"""),46.18)</f>
        <v>46.18</v>
      </c>
      <c r="C280" s="1">
        <f>IFERROR(__xludf.DUMMYFUNCTION("""COMPUTED_VALUE"""),46.76)</f>
        <v>46.76</v>
      </c>
      <c r="D280" s="1">
        <f>IFERROR(__xludf.DUMMYFUNCTION("""COMPUTED_VALUE"""),46.14)</f>
        <v>46.14</v>
      </c>
      <c r="E280" s="1">
        <f>IFERROR(__xludf.DUMMYFUNCTION("""COMPUTED_VALUE"""),46.59)</f>
        <v>46.59</v>
      </c>
      <c r="F280" s="1">
        <f>IFERROR(__xludf.DUMMYFUNCTION("""COMPUTED_VALUE"""),2065105.0)</f>
        <v>2065105</v>
      </c>
      <c r="G280" s="2" t="s">
        <v>13</v>
      </c>
    </row>
    <row r="281">
      <c r="A281" s="3">
        <f>IFERROR(__xludf.DUMMYFUNCTION("""COMPUTED_VALUE"""),44958.73611111111)</f>
        <v>44958.73611</v>
      </c>
      <c r="B281" s="1">
        <f>IFERROR(__xludf.DUMMYFUNCTION("""COMPUTED_VALUE"""),46.78)</f>
        <v>46.78</v>
      </c>
      <c r="C281" s="1">
        <f>IFERROR(__xludf.DUMMYFUNCTION("""COMPUTED_VALUE"""),46.8)</f>
        <v>46.8</v>
      </c>
      <c r="D281" s="1">
        <f>IFERROR(__xludf.DUMMYFUNCTION("""COMPUTED_VALUE"""),46.36)</f>
        <v>46.36</v>
      </c>
      <c r="E281" s="1">
        <f>IFERROR(__xludf.DUMMYFUNCTION("""COMPUTED_VALUE"""),46.59)</f>
        <v>46.59</v>
      </c>
      <c r="F281" s="1">
        <f>IFERROR(__xludf.DUMMYFUNCTION("""COMPUTED_VALUE"""),1669435.0)</f>
        <v>1669435</v>
      </c>
      <c r="G281" s="2" t="s">
        <v>13</v>
      </c>
    </row>
    <row r="282">
      <c r="A282" s="3">
        <f>IFERROR(__xludf.DUMMYFUNCTION("""COMPUTED_VALUE"""),44959.73611111111)</f>
        <v>44959.73611</v>
      </c>
      <c r="B282" s="1">
        <f>IFERROR(__xludf.DUMMYFUNCTION("""COMPUTED_VALUE"""),46.51)</f>
        <v>46.51</v>
      </c>
      <c r="C282" s="1">
        <f>IFERROR(__xludf.DUMMYFUNCTION("""COMPUTED_VALUE"""),46.68)</f>
        <v>46.68</v>
      </c>
      <c r="D282" s="1">
        <f>IFERROR(__xludf.DUMMYFUNCTION("""COMPUTED_VALUE"""),45.72)</f>
        <v>45.72</v>
      </c>
      <c r="E282" s="1">
        <f>IFERROR(__xludf.DUMMYFUNCTION("""COMPUTED_VALUE"""),46.01)</f>
        <v>46.01</v>
      </c>
      <c r="F282" s="1">
        <f>IFERROR(__xludf.DUMMYFUNCTION("""COMPUTED_VALUE"""),2500859.0)</f>
        <v>2500859</v>
      </c>
      <c r="G282" s="2" t="s">
        <v>13</v>
      </c>
    </row>
    <row r="283">
      <c r="A283" s="3">
        <f>IFERROR(__xludf.DUMMYFUNCTION("""COMPUTED_VALUE"""),44960.73611111111)</f>
        <v>44960.73611</v>
      </c>
      <c r="B283" s="1">
        <f>IFERROR(__xludf.DUMMYFUNCTION("""COMPUTED_VALUE"""),45.95)</f>
        <v>45.95</v>
      </c>
      <c r="C283" s="1">
        <f>IFERROR(__xludf.DUMMYFUNCTION("""COMPUTED_VALUE"""),46.58)</f>
        <v>46.58</v>
      </c>
      <c r="D283" s="1">
        <f>IFERROR(__xludf.DUMMYFUNCTION("""COMPUTED_VALUE"""),45.88)</f>
        <v>45.88</v>
      </c>
      <c r="E283" s="1">
        <f>IFERROR(__xludf.DUMMYFUNCTION("""COMPUTED_VALUE"""),46.52)</f>
        <v>46.52</v>
      </c>
      <c r="F283" s="1">
        <f>IFERROR(__xludf.DUMMYFUNCTION("""COMPUTED_VALUE"""),1666765.0)</f>
        <v>1666765</v>
      </c>
      <c r="G283" s="2" t="s">
        <v>13</v>
      </c>
    </row>
    <row r="284">
      <c r="A284" s="3">
        <f>IFERROR(__xludf.DUMMYFUNCTION("""COMPUTED_VALUE"""),44963.73611111111)</f>
        <v>44963.73611</v>
      </c>
      <c r="B284" s="1">
        <f>IFERROR(__xludf.DUMMYFUNCTION("""COMPUTED_VALUE"""),46.51)</f>
        <v>46.51</v>
      </c>
      <c r="C284" s="1">
        <f>IFERROR(__xludf.DUMMYFUNCTION("""COMPUTED_VALUE"""),46.78)</f>
        <v>46.78</v>
      </c>
      <c r="D284" s="1">
        <f>IFERROR(__xludf.DUMMYFUNCTION("""COMPUTED_VALUE"""),46.36)</f>
        <v>46.36</v>
      </c>
      <c r="E284" s="1">
        <f>IFERROR(__xludf.DUMMYFUNCTION("""COMPUTED_VALUE"""),46.61)</f>
        <v>46.61</v>
      </c>
      <c r="F284" s="1">
        <f>IFERROR(__xludf.DUMMYFUNCTION("""COMPUTED_VALUE"""),1432601.0)</f>
        <v>1432601</v>
      </c>
      <c r="G284" s="2" t="s">
        <v>13</v>
      </c>
    </row>
    <row r="285">
      <c r="A285" s="3">
        <f>IFERROR(__xludf.DUMMYFUNCTION("""COMPUTED_VALUE"""),44964.73611111111)</f>
        <v>44964.73611</v>
      </c>
      <c r="B285" s="1">
        <f>IFERROR(__xludf.DUMMYFUNCTION("""COMPUTED_VALUE"""),46.43)</f>
        <v>46.43</v>
      </c>
      <c r="C285" s="1">
        <f>IFERROR(__xludf.DUMMYFUNCTION("""COMPUTED_VALUE"""),46.52)</f>
        <v>46.52</v>
      </c>
      <c r="D285" s="1">
        <f>IFERROR(__xludf.DUMMYFUNCTION("""COMPUTED_VALUE"""),45.98)</f>
        <v>45.98</v>
      </c>
      <c r="E285" s="1">
        <f>IFERROR(__xludf.DUMMYFUNCTION("""COMPUTED_VALUE"""),46.06)</f>
        <v>46.06</v>
      </c>
      <c r="F285" s="1">
        <f>IFERROR(__xludf.DUMMYFUNCTION("""COMPUTED_VALUE"""),2054966.0)</f>
        <v>2054966</v>
      </c>
      <c r="G285" s="2" t="s">
        <v>13</v>
      </c>
    </row>
    <row r="286">
      <c r="A286" s="3">
        <f>IFERROR(__xludf.DUMMYFUNCTION("""COMPUTED_VALUE"""),44965.73611111111)</f>
        <v>44965.73611</v>
      </c>
      <c r="B286" s="1">
        <f>IFERROR(__xludf.DUMMYFUNCTION("""COMPUTED_VALUE"""),46.16)</f>
        <v>46.16</v>
      </c>
      <c r="C286" s="1">
        <f>IFERROR(__xludf.DUMMYFUNCTION("""COMPUTED_VALUE"""),46.37)</f>
        <v>46.37</v>
      </c>
      <c r="D286" s="1">
        <f>IFERROR(__xludf.DUMMYFUNCTION("""COMPUTED_VALUE"""),46.03)</f>
        <v>46.03</v>
      </c>
      <c r="E286" s="1">
        <f>IFERROR(__xludf.DUMMYFUNCTION("""COMPUTED_VALUE"""),46.12)</f>
        <v>46.12</v>
      </c>
      <c r="F286" s="1">
        <f>IFERROR(__xludf.DUMMYFUNCTION("""COMPUTED_VALUE"""),1614511.0)</f>
        <v>1614511</v>
      </c>
      <c r="G286" s="2" t="s">
        <v>13</v>
      </c>
    </row>
    <row r="287">
      <c r="A287" s="3">
        <f>IFERROR(__xludf.DUMMYFUNCTION("""COMPUTED_VALUE"""),44966.73611111111)</f>
        <v>44966.73611</v>
      </c>
      <c r="B287" s="1">
        <f>IFERROR(__xludf.DUMMYFUNCTION("""COMPUTED_VALUE"""),46.5)</f>
        <v>46.5</v>
      </c>
      <c r="C287" s="1">
        <f>IFERROR(__xludf.DUMMYFUNCTION("""COMPUTED_VALUE"""),46.83)</f>
        <v>46.83</v>
      </c>
      <c r="D287" s="1">
        <f>IFERROR(__xludf.DUMMYFUNCTION("""COMPUTED_VALUE"""),46.22)</f>
        <v>46.22</v>
      </c>
      <c r="E287" s="1">
        <f>IFERROR(__xludf.DUMMYFUNCTION("""COMPUTED_VALUE"""),46.47)</f>
        <v>46.47</v>
      </c>
      <c r="F287" s="1">
        <f>IFERROR(__xludf.DUMMYFUNCTION("""COMPUTED_VALUE"""),2245279.0)</f>
        <v>2245279</v>
      </c>
      <c r="G287" s="2" t="s">
        <v>13</v>
      </c>
    </row>
    <row r="288">
      <c r="A288" s="3">
        <f>IFERROR(__xludf.DUMMYFUNCTION("""COMPUTED_VALUE"""),44967.73611111111)</f>
        <v>44967.73611</v>
      </c>
      <c r="B288" s="1">
        <f>IFERROR(__xludf.DUMMYFUNCTION("""COMPUTED_VALUE"""),46.43)</f>
        <v>46.43</v>
      </c>
      <c r="C288" s="1">
        <f>IFERROR(__xludf.DUMMYFUNCTION("""COMPUTED_VALUE"""),46.75)</f>
        <v>46.75</v>
      </c>
      <c r="D288" s="1">
        <f>IFERROR(__xludf.DUMMYFUNCTION("""COMPUTED_VALUE"""),46.39)</f>
        <v>46.39</v>
      </c>
      <c r="E288" s="1">
        <f>IFERROR(__xludf.DUMMYFUNCTION("""COMPUTED_VALUE"""),46.73)</f>
        <v>46.73</v>
      </c>
      <c r="F288" s="1">
        <f>IFERROR(__xludf.DUMMYFUNCTION("""COMPUTED_VALUE"""),1557987.0)</f>
        <v>1557987</v>
      </c>
      <c r="G288" s="2" t="s">
        <v>13</v>
      </c>
    </row>
    <row r="289">
      <c r="A289" s="3">
        <f>IFERROR(__xludf.DUMMYFUNCTION("""COMPUTED_VALUE"""),44970.73611111111)</f>
        <v>44970.73611</v>
      </c>
      <c r="B289" s="1">
        <f>IFERROR(__xludf.DUMMYFUNCTION("""COMPUTED_VALUE"""),46.7)</f>
        <v>46.7</v>
      </c>
      <c r="C289" s="1">
        <f>IFERROR(__xludf.DUMMYFUNCTION("""COMPUTED_VALUE"""),48.3)</f>
        <v>48.3</v>
      </c>
      <c r="D289" s="1">
        <f>IFERROR(__xludf.DUMMYFUNCTION("""COMPUTED_VALUE"""),46.67)</f>
        <v>46.67</v>
      </c>
      <c r="E289" s="1">
        <f>IFERROR(__xludf.DUMMYFUNCTION("""COMPUTED_VALUE"""),48.2)</f>
        <v>48.2</v>
      </c>
      <c r="F289" s="1">
        <f>IFERROR(__xludf.DUMMYFUNCTION("""COMPUTED_VALUE"""),3268803.0)</f>
        <v>3268803</v>
      </c>
      <c r="G289" s="2" t="s">
        <v>13</v>
      </c>
    </row>
    <row r="290">
      <c r="A290" s="3">
        <f>IFERROR(__xludf.DUMMYFUNCTION("""COMPUTED_VALUE"""),44971.73611111111)</f>
        <v>44971.73611</v>
      </c>
      <c r="B290" s="1">
        <f>IFERROR(__xludf.DUMMYFUNCTION("""COMPUTED_VALUE"""),48.45)</f>
        <v>48.45</v>
      </c>
      <c r="C290" s="1">
        <f>IFERROR(__xludf.DUMMYFUNCTION("""COMPUTED_VALUE"""),48.79)</f>
        <v>48.79</v>
      </c>
      <c r="D290" s="1">
        <f>IFERROR(__xludf.DUMMYFUNCTION("""COMPUTED_VALUE"""),48.34)</f>
        <v>48.34</v>
      </c>
      <c r="E290" s="1">
        <f>IFERROR(__xludf.DUMMYFUNCTION("""COMPUTED_VALUE"""),48.39)</f>
        <v>48.39</v>
      </c>
      <c r="F290" s="1">
        <f>IFERROR(__xludf.DUMMYFUNCTION("""COMPUTED_VALUE"""),2487160.0)</f>
        <v>2487160</v>
      </c>
      <c r="G290" s="2" t="s">
        <v>13</v>
      </c>
    </row>
    <row r="291">
      <c r="A291" s="3">
        <f>IFERROR(__xludf.DUMMYFUNCTION("""COMPUTED_VALUE"""),44972.73611111111)</f>
        <v>44972.73611</v>
      </c>
      <c r="B291" s="1">
        <f>IFERROR(__xludf.DUMMYFUNCTION("""COMPUTED_VALUE"""),47.98)</f>
        <v>47.98</v>
      </c>
      <c r="C291" s="1">
        <f>IFERROR(__xludf.DUMMYFUNCTION("""COMPUTED_VALUE"""),48.2)</f>
        <v>48.2</v>
      </c>
      <c r="D291" s="1">
        <f>IFERROR(__xludf.DUMMYFUNCTION("""COMPUTED_VALUE"""),47.51)</f>
        <v>47.51</v>
      </c>
      <c r="E291" s="1">
        <f>IFERROR(__xludf.DUMMYFUNCTION("""COMPUTED_VALUE"""),48.03)</f>
        <v>48.03</v>
      </c>
      <c r="F291" s="1">
        <f>IFERROR(__xludf.DUMMYFUNCTION("""COMPUTED_VALUE"""),2293630.0)</f>
        <v>2293630</v>
      </c>
      <c r="G291" s="2" t="s">
        <v>13</v>
      </c>
    </row>
    <row r="292">
      <c r="A292" s="3">
        <f>IFERROR(__xludf.DUMMYFUNCTION("""COMPUTED_VALUE"""),44973.73611111111)</f>
        <v>44973.73611</v>
      </c>
      <c r="B292" s="1">
        <f>IFERROR(__xludf.DUMMYFUNCTION("""COMPUTED_VALUE"""),48.17)</f>
        <v>48.17</v>
      </c>
      <c r="C292" s="1">
        <f>IFERROR(__xludf.DUMMYFUNCTION("""COMPUTED_VALUE"""),48.2)</f>
        <v>48.2</v>
      </c>
      <c r="D292" s="1">
        <f>IFERROR(__xludf.DUMMYFUNCTION("""COMPUTED_VALUE"""),47.4)</f>
        <v>47.4</v>
      </c>
      <c r="E292" s="1">
        <f>IFERROR(__xludf.DUMMYFUNCTION("""COMPUTED_VALUE"""),47.56)</f>
        <v>47.56</v>
      </c>
      <c r="F292" s="1">
        <f>IFERROR(__xludf.DUMMYFUNCTION("""COMPUTED_VALUE"""),2288783.0)</f>
        <v>2288783</v>
      </c>
      <c r="G292" s="2" t="s">
        <v>13</v>
      </c>
    </row>
    <row r="293">
      <c r="A293" s="3">
        <f>IFERROR(__xludf.DUMMYFUNCTION("""COMPUTED_VALUE"""),44974.73611111111)</f>
        <v>44974.73611</v>
      </c>
      <c r="B293" s="1">
        <f>IFERROR(__xludf.DUMMYFUNCTION("""COMPUTED_VALUE"""),47.39)</f>
        <v>47.39</v>
      </c>
      <c r="C293" s="1">
        <f>IFERROR(__xludf.DUMMYFUNCTION("""COMPUTED_VALUE"""),47.9)</f>
        <v>47.9</v>
      </c>
      <c r="D293" s="1">
        <f>IFERROR(__xludf.DUMMYFUNCTION("""COMPUTED_VALUE"""),47.27)</f>
        <v>47.27</v>
      </c>
      <c r="E293" s="1">
        <f>IFERROR(__xludf.DUMMYFUNCTION("""COMPUTED_VALUE"""),47.66)</f>
        <v>47.66</v>
      </c>
      <c r="F293" s="1">
        <f>IFERROR(__xludf.DUMMYFUNCTION("""COMPUTED_VALUE"""),2319812.0)</f>
        <v>2319812</v>
      </c>
      <c r="G293" s="2" t="s">
        <v>13</v>
      </c>
    </row>
    <row r="294">
      <c r="A294" s="3">
        <f>IFERROR(__xludf.DUMMYFUNCTION("""COMPUTED_VALUE"""),44977.73611111111)</f>
        <v>44977.73611</v>
      </c>
      <c r="B294" s="1">
        <f>IFERROR(__xludf.DUMMYFUNCTION("""COMPUTED_VALUE"""),47.75)</f>
        <v>47.75</v>
      </c>
      <c r="C294" s="1">
        <f>IFERROR(__xludf.DUMMYFUNCTION("""COMPUTED_VALUE"""),47.76)</f>
        <v>47.76</v>
      </c>
      <c r="D294" s="1">
        <f>IFERROR(__xludf.DUMMYFUNCTION("""COMPUTED_VALUE"""),47.34)</f>
        <v>47.34</v>
      </c>
      <c r="E294" s="1">
        <f>IFERROR(__xludf.DUMMYFUNCTION("""COMPUTED_VALUE"""),47.44)</f>
        <v>47.44</v>
      </c>
      <c r="F294" s="1">
        <f>IFERROR(__xludf.DUMMYFUNCTION("""COMPUTED_VALUE"""),1076332.0)</f>
        <v>1076332</v>
      </c>
      <c r="G294" s="2" t="s">
        <v>13</v>
      </c>
    </row>
    <row r="295">
      <c r="A295" s="3">
        <f>IFERROR(__xludf.DUMMYFUNCTION("""COMPUTED_VALUE"""),44978.73611111111)</f>
        <v>44978.73611</v>
      </c>
      <c r="B295" s="1">
        <f>IFERROR(__xludf.DUMMYFUNCTION("""COMPUTED_VALUE"""),47.37)</f>
        <v>47.37</v>
      </c>
      <c r="C295" s="1">
        <f>IFERROR(__xludf.DUMMYFUNCTION("""COMPUTED_VALUE"""),48.23)</f>
        <v>48.23</v>
      </c>
      <c r="D295" s="1">
        <f>IFERROR(__xludf.DUMMYFUNCTION("""COMPUTED_VALUE"""),47.37)</f>
        <v>47.37</v>
      </c>
      <c r="E295" s="1">
        <f>IFERROR(__xludf.DUMMYFUNCTION("""COMPUTED_VALUE"""),48.14)</f>
        <v>48.14</v>
      </c>
      <c r="F295" s="1">
        <f>IFERROR(__xludf.DUMMYFUNCTION("""COMPUTED_VALUE"""),1922669.0)</f>
        <v>1922669</v>
      </c>
      <c r="G295" s="2" t="s">
        <v>13</v>
      </c>
    </row>
    <row r="296">
      <c r="A296" s="3">
        <f>IFERROR(__xludf.DUMMYFUNCTION("""COMPUTED_VALUE"""),44979.73611111111)</f>
        <v>44979.73611</v>
      </c>
      <c r="B296" s="1">
        <f>IFERROR(__xludf.DUMMYFUNCTION("""COMPUTED_VALUE"""),48.22)</f>
        <v>48.22</v>
      </c>
      <c r="C296" s="1">
        <f>IFERROR(__xludf.DUMMYFUNCTION("""COMPUTED_VALUE"""),48.53)</f>
        <v>48.53</v>
      </c>
      <c r="D296" s="1">
        <f>IFERROR(__xludf.DUMMYFUNCTION("""COMPUTED_VALUE"""),47.97)</f>
        <v>47.97</v>
      </c>
      <c r="E296" s="1">
        <f>IFERROR(__xludf.DUMMYFUNCTION("""COMPUTED_VALUE"""),48.43)</f>
        <v>48.43</v>
      </c>
      <c r="F296" s="1">
        <f>IFERROR(__xludf.DUMMYFUNCTION("""COMPUTED_VALUE"""),1422064.0)</f>
        <v>1422064</v>
      </c>
      <c r="G296" s="2" t="s">
        <v>13</v>
      </c>
    </row>
    <row r="297">
      <c r="A297" s="3">
        <f>IFERROR(__xludf.DUMMYFUNCTION("""COMPUTED_VALUE"""),44980.73611111111)</f>
        <v>44980.73611</v>
      </c>
      <c r="B297" s="1">
        <f>IFERROR(__xludf.DUMMYFUNCTION("""COMPUTED_VALUE"""),47.98)</f>
        <v>47.98</v>
      </c>
      <c r="C297" s="1">
        <f>IFERROR(__xludf.DUMMYFUNCTION("""COMPUTED_VALUE"""),48.07)</f>
        <v>48.07</v>
      </c>
      <c r="D297" s="1">
        <f>IFERROR(__xludf.DUMMYFUNCTION("""COMPUTED_VALUE"""),47.57)</f>
        <v>47.57</v>
      </c>
      <c r="E297" s="1">
        <f>IFERROR(__xludf.DUMMYFUNCTION("""COMPUTED_VALUE"""),47.62)</f>
        <v>47.62</v>
      </c>
      <c r="F297" s="1">
        <f>IFERROR(__xludf.DUMMYFUNCTION("""COMPUTED_VALUE"""),1483755.0)</f>
        <v>1483755</v>
      </c>
      <c r="G297" s="2" t="s">
        <v>13</v>
      </c>
    </row>
    <row r="298">
      <c r="A298" s="3">
        <f>IFERROR(__xludf.DUMMYFUNCTION("""COMPUTED_VALUE"""),44981.73611111111)</f>
        <v>44981.73611</v>
      </c>
      <c r="B298" s="1">
        <f>IFERROR(__xludf.DUMMYFUNCTION("""COMPUTED_VALUE"""),47.83)</f>
        <v>47.83</v>
      </c>
      <c r="C298" s="1">
        <f>IFERROR(__xludf.DUMMYFUNCTION("""COMPUTED_VALUE"""),47.83)</f>
        <v>47.83</v>
      </c>
      <c r="D298" s="1">
        <f>IFERROR(__xludf.DUMMYFUNCTION("""COMPUTED_VALUE"""),47.31)</f>
        <v>47.31</v>
      </c>
      <c r="E298" s="1">
        <f>IFERROR(__xludf.DUMMYFUNCTION("""COMPUTED_VALUE"""),47.44)</f>
        <v>47.44</v>
      </c>
      <c r="F298" s="1">
        <f>IFERROR(__xludf.DUMMYFUNCTION("""COMPUTED_VALUE"""),1274771.0)</f>
        <v>1274771</v>
      </c>
      <c r="G298" s="2" t="s">
        <v>13</v>
      </c>
    </row>
    <row r="299">
      <c r="A299" s="3">
        <f>IFERROR(__xludf.DUMMYFUNCTION("""COMPUTED_VALUE"""),44984.73611111111)</f>
        <v>44984.73611</v>
      </c>
      <c r="B299" s="1">
        <f>IFERROR(__xludf.DUMMYFUNCTION("""COMPUTED_VALUE"""),47.56)</f>
        <v>47.56</v>
      </c>
      <c r="C299" s="1">
        <f>IFERROR(__xludf.DUMMYFUNCTION("""COMPUTED_VALUE"""),47.87)</f>
        <v>47.87</v>
      </c>
      <c r="D299" s="1">
        <f>IFERROR(__xludf.DUMMYFUNCTION("""COMPUTED_VALUE"""),47.53)</f>
        <v>47.53</v>
      </c>
      <c r="E299" s="1">
        <f>IFERROR(__xludf.DUMMYFUNCTION("""COMPUTED_VALUE"""),47.61)</f>
        <v>47.61</v>
      </c>
      <c r="F299" s="1">
        <f>IFERROR(__xludf.DUMMYFUNCTION("""COMPUTED_VALUE"""),1670465.0)</f>
        <v>1670465</v>
      </c>
      <c r="G299" s="2" t="s">
        <v>13</v>
      </c>
    </row>
    <row r="300">
      <c r="A300" s="3">
        <f>IFERROR(__xludf.DUMMYFUNCTION("""COMPUTED_VALUE"""),44985.73611111111)</f>
        <v>44985.73611</v>
      </c>
      <c r="B300" s="1">
        <f>IFERROR(__xludf.DUMMYFUNCTION("""COMPUTED_VALUE"""),47.55)</f>
        <v>47.55</v>
      </c>
      <c r="C300" s="1">
        <f>IFERROR(__xludf.DUMMYFUNCTION("""COMPUTED_VALUE"""),47.7)</f>
        <v>47.7</v>
      </c>
      <c r="D300" s="1">
        <f>IFERROR(__xludf.DUMMYFUNCTION("""COMPUTED_VALUE"""),46.94)</f>
        <v>46.94</v>
      </c>
      <c r="E300" s="1">
        <f>IFERROR(__xludf.DUMMYFUNCTION("""COMPUTED_VALUE"""),47.2)</f>
        <v>47.2</v>
      </c>
      <c r="F300" s="1">
        <f>IFERROR(__xludf.DUMMYFUNCTION("""COMPUTED_VALUE"""),1974973.0)</f>
        <v>1974973</v>
      </c>
      <c r="G300" s="2" t="s">
        <v>13</v>
      </c>
    </row>
    <row r="301">
      <c r="A301" s="3">
        <f>IFERROR(__xludf.DUMMYFUNCTION("""COMPUTED_VALUE"""),44986.73611111111)</f>
        <v>44986.73611</v>
      </c>
      <c r="B301" s="1">
        <f>IFERROR(__xludf.DUMMYFUNCTION("""COMPUTED_VALUE"""),46.8)</f>
        <v>46.8</v>
      </c>
      <c r="C301" s="1">
        <f>IFERROR(__xludf.DUMMYFUNCTION("""COMPUTED_VALUE"""),47.01)</f>
        <v>47.01</v>
      </c>
      <c r="D301" s="1">
        <f>IFERROR(__xludf.DUMMYFUNCTION("""COMPUTED_VALUE"""),46.49)</f>
        <v>46.49</v>
      </c>
      <c r="E301" s="1">
        <f>IFERROR(__xludf.DUMMYFUNCTION("""COMPUTED_VALUE"""),46.59)</f>
        <v>46.59</v>
      </c>
      <c r="F301" s="1">
        <f>IFERROR(__xludf.DUMMYFUNCTION("""COMPUTED_VALUE"""),1862157.0)</f>
        <v>1862157</v>
      </c>
      <c r="G301" s="2" t="s">
        <v>13</v>
      </c>
    </row>
    <row r="302">
      <c r="A302" s="3">
        <f>IFERROR(__xludf.DUMMYFUNCTION("""COMPUTED_VALUE"""),44987.73611111111)</f>
        <v>44987.73611</v>
      </c>
      <c r="B302" s="1">
        <f>IFERROR(__xludf.DUMMYFUNCTION("""COMPUTED_VALUE"""),46.48)</f>
        <v>46.48</v>
      </c>
      <c r="C302" s="1">
        <f>IFERROR(__xludf.DUMMYFUNCTION("""COMPUTED_VALUE"""),47.26)</f>
        <v>47.26</v>
      </c>
      <c r="D302" s="1">
        <f>IFERROR(__xludf.DUMMYFUNCTION("""COMPUTED_VALUE"""),46.4)</f>
        <v>46.4</v>
      </c>
      <c r="E302" s="1">
        <f>IFERROR(__xludf.DUMMYFUNCTION("""COMPUTED_VALUE"""),47.22)</f>
        <v>47.22</v>
      </c>
      <c r="F302" s="1">
        <f>IFERROR(__xludf.DUMMYFUNCTION("""COMPUTED_VALUE"""),1367438.0)</f>
        <v>1367438</v>
      </c>
      <c r="G302" s="2" t="s">
        <v>13</v>
      </c>
    </row>
    <row r="303">
      <c r="A303" s="3">
        <f>IFERROR(__xludf.DUMMYFUNCTION("""COMPUTED_VALUE"""),44988.73611111111)</f>
        <v>44988.73611</v>
      </c>
      <c r="B303" s="1">
        <f>IFERROR(__xludf.DUMMYFUNCTION("""COMPUTED_VALUE"""),47.38)</f>
        <v>47.38</v>
      </c>
      <c r="C303" s="1">
        <f>IFERROR(__xludf.DUMMYFUNCTION("""COMPUTED_VALUE"""),47.38)</f>
        <v>47.38</v>
      </c>
      <c r="D303" s="1">
        <f>IFERROR(__xludf.DUMMYFUNCTION("""COMPUTED_VALUE"""),46.77)</f>
        <v>46.77</v>
      </c>
      <c r="E303" s="1">
        <f>IFERROR(__xludf.DUMMYFUNCTION("""COMPUTED_VALUE"""),46.83)</f>
        <v>46.83</v>
      </c>
      <c r="F303" s="1">
        <f>IFERROR(__xludf.DUMMYFUNCTION("""COMPUTED_VALUE"""),1538210.0)</f>
        <v>1538210</v>
      </c>
      <c r="G303" s="2" t="s">
        <v>13</v>
      </c>
    </row>
    <row r="304">
      <c r="A304" s="3">
        <f>IFERROR(__xludf.DUMMYFUNCTION("""COMPUTED_VALUE"""),44991.73611111111)</f>
        <v>44991.73611</v>
      </c>
      <c r="B304" s="1">
        <f>IFERROR(__xludf.DUMMYFUNCTION("""COMPUTED_VALUE"""),46.84)</f>
        <v>46.84</v>
      </c>
      <c r="C304" s="1">
        <f>IFERROR(__xludf.DUMMYFUNCTION("""COMPUTED_VALUE"""),46.89)</f>
        <v>46.89</v>
      </c>
      <c r="D304" s="1">
        <f>IFERROR(__xludf.DUMMYFUNCTION("""COMPUTED_VALUE"""),46.26)</f>
        <v>46.26</v>
      </c>
      <c r="E304" s="1">
        <f>IFERROR(__xludf.DUMMYFUNCTION("""COMPUTED_VALUE"""),46.31)</f>
        <v>46.31</v>
      </c>
      <c r="F304" s="1">
        <f>IFERROR(__xludf.DUMMYFUNCTION("""COMPUTED_VALUE"""),1581235.0)</f>
        <v>1581235</v>
      </c>
      <c r="G304" s="2" t="s">
        <v>13</v>
      </c>
    </row>
    <row r="305">
      <c r="A305" s="3">
        <f>IFERROR(__xludf.DUMMYFUNCTION("""COMPUTED_VALUE"""),44992.73611111111)</f>
        <v>44992.73611</v>
      </c>
      <c r="B305" s="1">
        <f>IFERROR(__xludf.DUMMYFUNCTION("""COMPUTED_VALUE"""),46.25)</f>
        <v>46.25</v>
      </c>
      <c r="C305" s="1">
        <f>IFERROR(__xludf.DUMMYFUNCTION("""COMPUTED_VALUE"""),46.45)</f>
        <v>46.45</v>
      </c>
      <c r="D305" s="1">
        <f>IFERROR(__xludf.DUMMYFUNCTION("""COMPUTED_VALUE"""),46.1)</f>
        <v>46.1</v>
      </c>
      <c r="E305" s="1">
        <f>IFERROR(__xludf.DUMMYFUNCTION("""COMPUTED_VALUE"""),46.22)</f>
        <v>46.22</v>
      </c>
      <c r="F305" s="1">
        <f>IFERROR(__xludf.DUMMYFUNCTION("""COMPUTED_VALUE"""),1345781.0)</f>
        <v>1345781</v>
      </c>
      <c r="G305" s="2" t="s">
        <v>13</v>
      </c>
    </row>
    <row r="306">
      <c r="A306" s="3">
        <f>IFERROR(__xludf.DUMMYFUNCTION("""COMPUTED_VALUE"""),44993.73611111111)</f>
        <v>44993.73611</v>
      </c>
      <c r="B306" s="1">
        <f>IFERROR(__xludf.DUMMYFUNCTION("""COMPUTED_VALUE"""),46.18)</f>
        <v>46.18</v>
      </c>
      <c r="C306" s="1">
        <f>IFERROR(__xludf.DUMMYFUNCTION("""COMPUTED_VALUE"""),46.35)</f>
        <v>46.35</v>
      </c>
      <c r="D306" s="1">
        <f>IFERROR(__xludf.DUMMYFUNCTION("""COMPUTED_VALUE"""),45.92)</f>
        <v>45.92</v>
      </c>
      <c r="E306" s="1">
        <f>IFERROR(__xludf.DUMMYFUNCTION("""COMPUTED_VALUE"""),46.25)</f>
        <v>46.25</v>
      </c>
      <c r="F306" s="1">
        <f>IFERROR(__xludf.DUMMYFUNCTION("""COMPUTED_VALUE"""),1339689.0)</f>
        <v>1339689</v>
      </c>
      <c r="G306" s="2" t="s">
        <v>13</v>
      </c>
    </row>
    <row r="307">
      <c r="A307" s="3">
        <f>IFERROR(__xludf.DUMMYFUNCTION("""COMPUTED_VALUE"""),44994.73611111111)</f>
        <v>44994.73611</v>
      </c>
      <c r="B307" s="1">
        <f>IFERROR(__xludf.DUMMYFUNCTION("""COMPUTED_VALUE"""),46.19)</f>
        <v>46.19</v>
      </c>
      <c r="C307" s="1">
        <f>IFERROR(__xludf.DUMMYFUNCTION("""COMPUTED_VALUE"""),46.52)</f>
        <v>46.52</v>
      </c>
      <c r="D307" s="1">
        <f>IFERROR(__xludf.DUMMYFUNCTION("""COMPUTED_VALUE"""),46.08)</f>
        <v>46.08</v>
      </c>
      <c r="E307" s="1">
        <f>IFERROR(__xludf.DUMMYFUNCTION("""COMPUTED_VALUE"""),46.34)</f>
        <v>46.34</v>
      </c>
      <c r="F307" s="1">
        <f>IFERROR(__xludf.DUMMYFUNCTION("""COMPUTED_VALUE"""),1002224.0)</f>
        <v>1002224</v>
      </c>
      <c r="G307" s="2" t="s">
        <v>13</v>
      </c>
    </row>
    <row r="308">
      <c r="A308" s="3">
        <f>IFERROR(__xludf.DUMMYFUNCTION("""COMPUTED_VALUE"""),44995.73611111111)</f>
        <v>44995.73611</v>
      </c>
      <c r="B308" s="1">
        <f>IFERROR(__xludf.DUMMYFUNCTION("""COMPUTED_VALUE"""),46.14)</f>
        <v>46.14</v>
      </c>
      <c r="C308" s="1">
        <f>IFERROR(__xludf.DUMMYFUNCTION("""COMPUTED_VALUE"""),46.64)</f>
        <v>46.64</v>
      </c>
      <c r="D308" s="1">
        <f>IFERROR(__xludf.DUMMYFUNCTION("""COMPUTED_VALUE"""),45.87)</f>
        <v>45.87</v>
      </c>
      <c r="E308" s="1">
        <f>IFERROR(__xludf.DUMMYFUNCTION("""COMPUTED_VALUE"""),46.05)</f>
        <v>46.05</v>
      </c>
      <c r="F308" s="1">
        <f>IFERROR(__xludf.DUMMYFUNCTION("""COMPUTED_VALUE"""),1667116.0)</f>
        <v>1667116</v>
      </c>
      <c r="G308" s="2" t="s">
        <v>13</v>
      </c>
    </row>
    <row r="309">
      <c r="A309" s="3">
        <f>IFERROR(__xludf.DUMMYFUNCTION("""COMPUTED_VALUE"""),44998.73611111111)</f>
        <v>44998.73611</v>
      </c>
      <c r="B309" s="1">
        <f>IFERROR(__xludf.DUMMYFUNCTION("""COMPUTED_VALUE"""),45.87)</f>
        <v>45.87</v>
      </c>
      <c r="C309" s="1">
        <f>IFERROR(__xludf.DUMMYFUNCTION("""COMPUTED_VALUE"""),46.53)</f>
        <v>46.53</v>
      </c>
      <c r="D309" s="1">
        <f>IFERROR(__xludf.DUMMYFUNCTION("""COMPUTED_VALUE"""),45.56)</f>
        <v>45.56</v>
      </c>
      <c r="E309" s="1">
        <f>IFERROR(__xludf.DUMMYFUNCTION("""COMPUTED_VALUE"""),45.9)</f>
        <v>45.9</v>
      </c>
      <c r="F309" s="1">
        <f>IFERROR(__xludf.DUMMYFUNCTION("""COMPUTED_VALUE"""),2562084.0)</f>
        <v>2562084</v>
      </c>
      <c r="G309" s="2" t="s">
        <v>13</v>
      </c>
    </row>
    <row r="310">
      <c r="A310" s="3">
        <f>IFERROR(__xludf.DUMMYFUNCTION("""COMPUTED_VALUE"""),44999.73611111111)</f>
        <v>44999.73611</v>
      </c>
      <c r="B310" s="1">
        <f>IFERROR(__xludf.DUMMYFUNCTION("""COMPUTED_VALUE"""),45.98)</f>
        <v>45.98</v>
      </c>
      <c r="C310" s="1">
        <f>IFERROR(__xludf.DUMMYFUNCTION("""COMPUTED_VALUE"""),46.2)</f>
        <v>46.2</v>
      </c>
      <c r="D310" s="1">
        <f>IFERROR(__xludf.DUMMYFUNCTION("""COMPUTED_VALUE"""),45.72)</f>
        <v>45.72</v>
      </c>
      <c r="E310" s="1">
        <f>IFERROR(__xludf.DUMMYFUNCTION("""COMPUTED_VALUE"""),46.17)</f>
        <v>46.17</v>
      </c>
      <c r="F310" s="1">
        <f>IFERROR(__xludf.DUMMYFUNCTION("""COMPUTED_VALUE"""),2038398.0)</f>
        <v>2038398</v>
      </c>
      <c r="G310" s="2" t="s">
        <v>13</v>
      </c>
    </row>
    <row r="311">
      <c r="A311" s="3">
        <f>IFERROR(__xludf.DUMMYFUNCTION("""COMPUTED_VALUE"""),45000.73611111111)</f>
        <v>45000.73611</v>
      </c>
      <c r="B311" s="1">
        <f>IFERROR(__xludf.DUMMYFUNCTION("""COMPUTED_VALUE"""),46.07)</f>
        <v>46.07</v>
      </c>
      <c r="C311" s="1">
        <f>IFERROR(__xludf.DUMMYFUNCTION("""COMPUTED_VALUE"""),46.37)</f>
        <v>46.37</v>
      </c>
      <c r="D311" s="1">
        <f>IFERROR(__xludf.DUMMYFUNCTION("""COMPUTED_VALUE"""),45.68)</f>
        <v>45.68</v>
      </c>
      <c r="E311" s="1">
        <f>IFERROR(__xludf.DUMMYFUNCTION("""COMPUTED_VALUE"""),46.16)</f>
        <v>46.16</v>
      </c>
      <c r="F311" s="1">
        <f>IFERROR(__xludf.DUMMYFUNCTION("""COMPUTED_VALUE"""),2891230.0)</f>
        <v>2891230</v>
      </c>
      <c r="G311" s="2" t="s">
        <v>13</v>
      </c>
    </row>
    <row r="312">
      <c r="A312" s="3">
        <f>IFERROR(__xludf.DUMMYFUNCTION("""COMPUTED_VALUE"""),45001.73611111111)</f>
        <v>45001.73611</v>
      </c>
      <c r="B312" s="1">
        <f>IFERROR(__xludf.DUMMYFUNCTION("""COMPUTED_VALUE"""),46.55)</f>
        <v>46.55</v>
      </c>
      <c r="C312" s="1">
        <f>IFERROR(__xludf.DUMMYFUNCTION("""COMPUTED_VALUE"""),47.1)</f>
        <v>47.1</v>
      </c>
      <c r="D312" s="1">
        <f>IFERROR(__xludf.DUMMYFUNCTION("""COMPUTED_VALUE"""),46.27)</f>
        <v>46.27</v>
      </c>
      <c r="E312" s="1">
        <f>IFERROR(__xludf.DUMMYFUNCTION("""COMPUTED_VALUE"""),46.62)</f>
        <v>46.62</v>
      </c>
      <c r="F312" s="1">
        <f>IFERROR(__xludf.DUMMYFUNCTION("""COMPUTED_VALUE"""),2435210.0)</f>
        <v>2435210</v>
      </c>
      <c r="G312" s="2" t="s">
        <v>13</v>
      </c>
    </row>
    <row r="313">
      <c r="A313" s="3">
        <f>IFERROR(__xludf.DUMMYFUNCTION("""COMPUTED_VALUE"""),45002.73611111111)</f>
        <v>45002.73611</v>
      </c>
      <c r="B313" s="1">
        <f>IFERROR(__xludf.DUMMYFUNCTION("""COMPUTED_VALUE"""),46.64)</f>
        <v>46.64</v>
      </c>
      <c r="C313" s="1">
        <f>IFERROR(__xludf.DUMMYFUNCTION("""COMPUTED_VALUE"""),46.75)</f>
        <v>46.75</v>
      </c>
      <c r="D313" s="1">
        <f>IFERROR(__xludf.DUMMYFUNCTION("""COMPUTED_VALUE"""),46.01)</f>
        <v>46.01</v>
      </c>
      <c r="E313" s="1">
        <f>IFERROR(__xludf.DUMMYFUNCTION("""COMPUTED_VALUE"""),46.15)</f>
        <v>46.15</v>
      </c>
      <c r="F313" s="1">
        <f>IFERROR(__xludf.DUMMYFUNCTION("""COMPUTED_VALUE"""),3334068.0)</f>
        <v>3334068</v>
      </c>
      <c r="G313" s="2" t="s">
        <v>13</v>
      </c>
    </row>
    <row r="314">
      <c r="A314" s="3">
        <f>IFERROR(__xludf.DUMMYFUNCTION("""COMPUTED_VALUE"""),45005.73611111111)</f>
        <v>45005.73611</v>
      </c>
      <c r="B314" s="1">
        <f>IFERROR(__xludf.DUMMYFUNCTION("""COMPUTED_VALUE"""),46.16)</f>
        <v>46.16</v>
      </c>
      <c r="C314" s="1">
        <f>IFERROR(__xludf.DUMMYFUNCTION("""COMPUTED_VALUE"""),46.78)</f>
        <v>46.78</v>
      </c>
      <c r="D314" s="1">
        <f>IFERROR(__xludf.DUMMYFUNCTION("""COMPUTED_VALUE"""),46.14)</f>
        <v>46.14</v>
      </c>
      <c r="E314" s="1">
        <f>IFERROR(__xludf.DUMMYFUNCTION("""COMPUTED_VALUE"""),46.7)</f>
        <v>46.7</v>
      </c>
      <c r="F314" s="1">
        <f>IFERROR(__xludf.DUMMYFUNCTION("""COMPUTED_VALUE"""),1870465.0)</f>
        <v>1870465</v>
      </c>
      <c r="G314" s="2" t="s">
        <v>13</v>
      </c>
    </row>
    <row r="315">
      <c r="A315" s="3">
        <f>IFERROR(__xludf.DUMMYFUNCTION("""COMPUTED_VALUE"""),45006.73611111111)</f>
        <v>45006.73611</v>
      </c>
      <c r="B315" s="1">
        <f>IFERROR(__xludf.DUMMYFUNCTION("""COMPUTED_VALUE"""),46.83)</f>
        <v>46.83</v>
      </c>
      <c r="C315" s="1">
        <f>IFERROR(__xludf.DUMMYFUNCTION("""COMPUTED_VALUE"""),47.24)</f>
        <v>47.24</v>
      </c>
      <c r="D315" s="1">
        <f>IFERROR(__xludf.DUMMYFUNCTION("""COMPUTED_VALUE"""),46.7)</f>
        <v>46.7</v>
      </c>
      <c r="E315" s="1">
        <f>IFERROR(__xludf.DUMMYFUNCTION("""COMPUTED_VALUE"""),46.74)</f>
        <v>46.74</v>
      </c>
      <c r="F315" s="1">
        <f>IFERROR(__xludf.DUMMYFUNCTION("""COMPUTED_VALUE"""),1830391.0)</f>
        <v>1830391</v>
      </c>
      <c r="G315" s="2" t="s">
        <v>13</v>
      </c>
    </row>
    <row r="316">
      <c r="A316" s="3">
        <f>IFERROR(__xludf.DUMMYFUNCTION("""COMPUTED_VALUE"""),45007.73611111111)</f>
        <v>45007.73611</v>
      </c>
      <c r="B316" s="1">
        <f>IFERROR(__xludf.DUMMYFUNCTION("""COMPUTED_VALUE"""),46.8)</f>
        <v>46.8</v>
      </c>
      <c r="C316" s="1">
        <f>IFERROR(__xludf.DUMMYFUNCTION("""COMPUTED_VALUE"""),47.77)</f>
        <v>47.77</v>
      </c>
      <c r="D316" s="1">
        <f>IFERROR(__xludf.DUMMYFUNCTION("""COMPUTED_VALUE"""),46.79)</f>
        <v>46.79</v>
      </c>
      <c r="E316" s="1">
        <f>IFERROR(__xludf.DUMMYFUNCTION("""COMPUTED_VALUE"""),47.63)</f>
        <v>47.63</v>
      </c>
      <c r="F316" s="1">
        <f>IFERROR(__xludf.DUMMYFUNCTION("""COMPUTED_VALUE"""),1670310.0)</f>
        <v>1670310</v>
      </c>
      <c r="G316" s="2" t="s">
        <v>13</v>
      </c>
    </row>
    <row r="317">
      <c r="A317" s="3">
        <f>IFERROR(__xludf.DUMMYFUNCTION("""COMPUTED_VALUE"""),45008.73611111111)</f>
        <v>45008.73611</v>
      </c>
      <c r="B317" s="1">
        <f>IFERROR(__xludf.DUMMYFUNCTION("""COMPUTED_VALUE"""),47.52)</f>
        <v>47.52</v>
      </c>
      <c r="C317" s="1">
        <f>IFERROR(__xludf.DUMMYFUNCTION("""COMPUTED_VALUE"""),47.55)</f>
        <v>47.55</v>
      </c>
      <c r="D317" s="1">
        <f>IFERROR(__xludf.DUMMYFUNCTION("""COMPUTED_VALUE"""),46.98)</f>
        <v>46.98</v>
      </c>
      <c r="E317" s="1">
        <f>IFERROR(__xludf.DUMMYFUNCTION("""COMPUTED_VALUE"""),47.19)</f>
        <v>47.19</v>
      </c>
      <c r="F317" s="1">
        <f>IFERROR(__xludf.DUMMYFUNCTION("""COMPUTED_VALUE"""),1387109.0)</f>
        <v>1387109</v>
      </c>
      <c r="G317" s="2" t="s">
        <v>13</v>
      </c>
    </row>
    <row r="318">
      <c r="A318" s="3">
        <f>IFERROR(__xludf.DUMMYFUNCTION("""COMPUTED_VALUE"""),45009.73611111111)</f>
        <v>45009.73611</v>
      </c>
      <c r="B318" s="1">
        <f>IFERROR(__xludf.DUMMYFUNCTION("""COMPUTED_VALUE"""),47.05)</f>
        <v>47.05</v>
      </c>
      <c r="C318" s="1">
        <f>IFERROR(__xludf.DUMMYFUNCTION("""COMPUTED_VALUE"""),47.92)</f>
        <v>47.92</v>
      </c>
      <c r="D318" s="1">
        <f>IFERROR(__xludf.DUMMYFUNCTION("""COMPUTED_VALUE"""),46.99)</f>
        <v>46.99</v>
      </c>
      <c r="E318" s="1">
        <f>IFERROR(__xludf.DUMMYFUNCTION("""COMPUTED_VALUE"""),47.68)</f>
        <v>47.68</v>
      </c>
      <c r="F318" s="1">
        <f>IFERROR(__xludf.DUMMYFUNCTION("""COMPUTED_VALUE"""),2030661.0)</f>
        <v>2030661</v>
      </c>
      <c r="G318" s="2" t="s">
        <v>13</v>
      </c>
    </row>
    <row r="319">
      <c r="A319" s="3">
        <f>IFERROR(__xludf.DUMMYFUNCTION("""COMPUTED_VALUE"""),45012.73611111111)</f>
        <v>45012.73611</v>
      </c>
      <c r="B319" s="1">
        <f>IFERROR(__xludf.DUMMYFUNCTION("""COMPUTED_VALUE"""),47.93)</f>
        <v>47.93</v>
      </c>
      <c r="C319" s="1">
        <f>IFERROR(__xludf.DUMMYFUNCTION("""COMPUTED_VALUE"""),48.32)</f>
        <v>48.32</v>
      </c>
      <c r="D319" s="1">
        <f>IFERROR(__xludf.DUMMYFUNCTION("""COMPUTED_VALUE"""),47.84)</f>
        <v>47.84</v>
      </c>
      <c r="E319" s="1">
        <f>IFERROR(__xludf.DUMMYFUNCTION("""COMPUTED_VALUE"""),48.0)</f>
        <v>48</v>
      </c>
      <c r="F319" s="1">
        <f>IFERROR(__xludf.DUMMYFUNCTION("""COMPUTED_VALUE"""),1377432.0)</f>
        <v>1377432</v>
      </c>
      <c r="G319" s="2" t="s">
        <v>13</v>
      </c>
    </row>
    <row r="320">
      <c r="A320" s="3">
        <f>IFERROR(__xludf.DUMMYFUNCTION("""COMPUTED_VALUE"""),45013.73611111111)</f>
        <v>45013.73611</v>
      </c>
      <c r="B320" s="1">
        <f>IFERROR(__xludf.DUMMYFUNCTION("""COMPUTED_VALUE"""),47.97)</f>
        <v>47.97</v>
      </c>
      <c r="C320" s="1">
        <f>IFERROR(__xludf.DUMMYFUNCTION("""COMPUTED_VALUE"""),48.35)</f>
        <v>48.35</v>
      </c>
      <c r="D320" s="1">
        <f>IFERROR(__xludf.DUMMYFUNCTION("""COMPUTED_VALUE"""),47.79)</f>
        <v>47.79</v>
      </c>
      <c r="E320" s="1">
        <f>IFERROR(__xludf.DUMMYFUNCTION("""COMPUTED_VALUE"""),47.93)</f>
        <v>47.93</v>
      </c>
      <c r="F320" s="1">
        <f>IFERROR(__xludf.DUMMYFUNCTION("""COMPUTED_VALUE"""),1237023.0)</f>
        <v>1237023</v>
      </c>
      <c r="G320" s="2" t="s">
        <v>13</v>
      </c>
    </row>
    <row r="321">
      <c r="A321" s="3">
        <f>IFERROR(__xludf.DUMMYFUNCTION("""COMPUTED_VALUE"""),45014.73611111111)</f>
        <v>45014.73611</v>
      </c>
      <c r="B321" s="1">
        <f>IFERROR(__xludf.DUMMYFUNCTION("""COMPUTED_VALUE"""),47.9)</f>
        <v>47.9</v>
      </c>
      <c r="C321" s="1">
        <f>IFERROR(__xludf.DUMMYFUNCTION("""COMPUTED_VALUE"""),48.14)</f>
        <v>48.14</v>
      </c>
      <c r="D321" s="1">
        <f>IFERROR(__xludf.DUMMYFUNCTION("""COMPUTED_VALUE"""),47.78)</f>
        <v>47.78</v>
      </c>
      <c r="E321" s="1">
        <f>IFERROR(__xludf.DUMMYFUNCTION("""COMPUTED_VALUE"""),47.82)</f>
        <v>47.82</v>
      </c>
      <c r="F321" s="1">
        <f>IFERROR(__xludf.DUMMYFUNCTION("""COMPUTED_VALUE"""),1236573.0)</f>
        <v>1236573</v>
      </c>
      <c r="G321" s="2" t="s">
        <v>13</v>
      </c>
    </row>
    <row r="322">
      <c r="A322" s="3">
        <f>IFERROR(__xludf.DUMMYFUNCTION("""COMPUTED_VALUE"""),45015.73611111111)</f>
        <v>45015.73611</v>
      </c>
      <c r="B322" s="1">
        <f>IFERROR(__xludf.DUMMYFUNCTION("""COMPUTED_VALUE"""),47.86)</f>
        <v>47.86</v>
      </c>
      <c r="C322" s="1">
        <f>IFERROR(__xludf.DUMMYFUNCTION("""COMPUTED_VALUE"""),47.94)</f>
        <v>47.94</v>
      </c>
      <c r="D322" s="1">
        <f>IFERROR(__xludf.DUMMYFUNCTION("""COMPUTED_VALUE"""),47.32)</f>
        <v>47.32</v>
      </c>
      <c r="E322" s="1">
        <f>IFERROR(__xludf.DUMMYFUNCTION("""COMPUTED_VALUE"""),47.55)</f>
        <v>47.55</v>
      </c>
      <c r="F322" s="1">
        <f>IFERROR(__xludf.DUMMYFUNCTION("""COMPUTED_VALUE"""),1534048.0)</f>
        <v>1534048</v>
      </c>
      <c r="G322" s="2" t="s">
        <v>13</v>
      </c>
    </row>
    <row r="323">
      <c r="A323" s="3">
        <f>IFERROR(__xludf.DUMMYFUNCTION("""COMPUTED_VALUE"""),45016.73611111111)</f>
        <v>45016.73611</v>
      </c>
      <c r="B323" s="1">
        <f>IFERROR(__xludf.DUMMYFUNCTION("""COMPUTED_VALUE"""),47.64)</f>
        <v>47.64</v>
      </c>
      <c r="C323" s="1">
        <f>IFERROR(__xludf.DUMMYFUNCTION("""COMPUTED_VALUE"""),48.22)</f>
        <v>48.22</v>
      </c>
      <c r="D323" s="1">
        <f>IFERROR(__xludf.DUMMYFUNCTION("""COMPUTED_VALUE"""),47.48)</f>
        <v>47.48</v>
      </c>
      <c r="E323" s="1">
        <f>IFERROR(__xludf.DUMMYFUNCTION("""COMPUTED_VALUE"""),47.69)</f>
        <v>47.69</v>
      </c>
      <c r="F323" s="1">
        <f>IFERROR(__xludf.DUMMYFUNCTION("""COMPUTED_VALUE"""),2238201.0)</f>
        <v>2238201</v>
      </c>
      <c r="G323" s="2" t="s">
        <v>13</v>
      </c>
    </row>
    <row r="324">
      <c r="A324" s="3">
        <f>IFERROR(__xludf.DUMMYFUNCTION("""COMPUTED_VALUE"""),45019.73611111111)</f>
        <v>45019.73611</v>
      </c>
      <c r="B324" s="1">
        <f>IFERROR(__xludf.DUMMYFUNCTION("""COMPUTED_VALUE"""),47.77)</f>
        <v>47.77</v>
      </c>
      <c r="C324" s="1">
        <f>IFERROR(__xludf.DUMMYFUNCTION("""COMPUTED_VALUE"""),48.15)</f>
        <v>48.15</v>
      </c>
      <c r="D324" s="1">
        <f>IFERROR(__xludf.DUMMYFUNCTION("""COMPUTED_VALUE"""),47.48)</f>
        <v>47.48</v>
      </c>
      <c r="E324" s="1">
        <f>IFERROR(__xludf.DUMMYFUNCTION("""COMPUTED_VALUE"""),48.15)</f>
        <v>48.15</v>
      </c>
      <c r="F324" s="1">
        <f>IFERROR(__xludf.DUMMYFUNCTION("""COMPUTED_VALUE"""),1820185.0)</f>
        <v>1820185</v>
      </c>
      <c r="G324" s="2" t="s">
        <v>13</v>
      </c>
    </row>
    <row r="325">
      <c r="A325" s="3">
        <f>IFERROR(__xludf.DUMMYFUNCTION("""COMPUTED_VALUE"""),45020.73611111111)</f>
        <v>45020.73611</v>
      </c>
      <c r="B325" s="1">
        <f>IFERROR(__xludf.DUMMYFUNCTION("""COMPUTED_VALUE"""),48.39)</f>
        <v>48.39</v>
      </c>
      <c r="C325" s="1">
        <f>IFERROR(__xludf.DUMMYFUNCTION("""COMPUTED_VALUE"""),48.61)</f>
        <v>48.61</v>
      </c>
      <c r="D325" s="1">
        <f>IFERROR(__xludf.DUMMYFUNCTION("""COMPUTED_VALUE"""),48.16)</f>
        <v>48.16</v>
      </c>
      <c r="E325" s="1">
        <f>IFERROR(__xludf.DUMMYFUNCTION("""COMPUTED_VALUE"""),48.16)</f>
        <v>48.16</v>
      </c>
      <c r="F325" s="1">
        <f>IFERROR(__xludf.DUMMYFUNCTION("""COMPUTED_VALUE"""),2173479.0)</f>
        <v>2173479</v>
      </c>
      <c r="G325" s="2" t="s">
        <v>13</v>
      </c>
    </row>
    <row r="326">
      <c r="A326" s="3">
        <f>IFERROR(__xludf.DUMMYFUNCTION("""COMPUTED_VALUE"""),45021.73611111111)</f>
        <v>45021.73611</v>
      </c>
      <c r="B326" s="1">
        <f>IFERROR(__xludf.DUMMYFUNCTION("""COMPUTED_VALUE"""),48.3)</f>
        <v>48.3</v>
      </c>
      <c r="C326" s="1">
        <f>IFERROR(__xludf.DUMMYFUNCTION("""COMPUTED_VALUE"""),48.96)</f>
        <v>48.96</v>
      </c>
      <c r="D326" s="1">
        <f>IFERROR(__xludf.DUMMYFUNCTION("""COMPUTED_VALUE"""),48.12)</f>
        <v>48.12</v>
      </c>
      <c r="E326" s="1">
        <f>IFERROR(__xludf.DUMMYFUNCTION("""COMPUTED_VALUE"""),48.96)</f>
        <v>48.96</v>
      </c>
      <c r="F326" s="1">
        <f>IFERROR(__xludf.DUMMYFUNCTION("""COMPUTED_VALUE"""),2090787.0)</f>
        <v>2090787</v>
      </c>
      <c r="G326" s="2" t="s">
        <v>13</v>
      </c>
    </row>
    <row r="327">
      <c r="A327" s="3">
        <f>IFERROR(__xludf.DUMMYFUNCTION("""COMPUTED_VALUE"""),45022.73611111111)</f>
        <v>45022.73611</v>
      </c>
      <c r="B327" s="1">
        <f>IFERROR(__xludf.DUMMYFUNCTION("""COMPUTED_VALUE"""),48.85)</f>
        <v>48.85</v>
      </c>
      <c r="C327" s="1">
        <f>IFERROR(__xludf.DUMMYFUNCTION("""COMPUTED_VALUE"""),49.37)</f>
        <v>49.37</v>
      </c>
      <c r="D327" s="1">
        <f>IFERROR(__xludf.DUMMYFUNCTION("""COMPUTED_VALUE"""),48.77)</f>
        <v>48.77</v>
      </c>
      <c r="E327" s="1">
        <f>IFERROR(__xludf.DUMMYFUNCTION("""COMPUTED_VALUE"""),49.07)</f>
        <v>49.07</v>
      </c>
      <c r="F327" s="1">
        <f>IFERROR(__xludf.DUMMYFUNCTION("""COMPUTED_VALUE"""),1662969.0)</f>
        <v>1662969</v>
      </c>
      <c r="G327" s="2" t="s">
        <v>13</v>
      </c>
    </row>
    <row r="328">
      <c r="A328" s="3">
        <f>IFERROR(__xludf.DUMMYFUNCTION("""COMPUTED_VALUE"""),45027.73611111111)</f>
        <v>45027.73611</v>
      </c>
      <c r="B328" s="1">
        <f>IFERROR(__xludf.DUMMYFUNCTION("""COMPUTED_VALUE"""),49.12)</f>
        <v>49.12</v>
      </c>
      <c r="C328" s="1">
        <f>IFERROR(__xludf.DUMMYFUNCTION("""COMPUTED_VALUE"""),49.18)</f>
        <v>49.18</v>
      </c>
      <c r="D328" s="1">
        <f>IFERROR(__xludf.DUMMYFUNCTION("""COMPUTED_VALUE"""),48.76)</f>
        <v>48.76</v>
      </c>
      <c r="E328" s="1">
        <f>IFERROR(__xludf.DUMMYFUNCTION("""COMPUTED_VALUE"""),48.94)</f>
        <v>48.94</v>
      </c>
      <c r="F328" s="1">
        <f>IFERROR(__xludf.DUMMYFUNCTION("""COMPUTED_VALUE"""),1228664.0)</f>
        <v>1228664</v>
      </c>
      <c r="G328" s="2" t="s">
        <v>13</v>
      </c>
    </row>
    <row r="329">
      <c r="A329" s="3">
        <f>IFERROR(__xludf.DUMMYFUNCTION("""COMPUTED_VALUE"""),45028.73611111111)</f>
        <v>45028.73611</v>
      </c>
      <c r="B329" s="1">
        <f>IFERROR(__xludf.DUMMYFUNCTION("""COMPUTED_VALUE"""),48.9)</f>
        <v>48.9</v>
      </c>
      <c r="C329" s="1">
        <f>IFERROR(__xludf.DUMMYFUNCTION("""COMPUTED_VALUE"""),49.05)</f>
        <v>49.05</v>
      </c>
      <c r="D329" s="1">
        <f>IFERROR(__xludf.DUMMYFUNCTION("""COMPUTED_VALUE"""),48.67)</f>
        <v>48.67</v>
      </c>
      <c r="E329" s="1">
        <f>IFERROR(__xludf.DUMMYFUNCTION("""COMPUTED_VALUE"""),48.72)</f>
        <v>48.72</v>
      </c>
      <c r="F329" s="1">
        <f>IFERROR(__xludf.DUMMYFUNCTION("""COMPUTED_VALUE"""),1323760.0)</f>
        <v>1323760</v>
      </c>
      <c r="G329" s="2" t="s">
        <v>13</v>
      </c>
    </row>
    <row r="330">
      <c r="A330" s="3">
        <f>IFERROR(__xludf.DUMMYFUNCTION("""COMPUTED_VALUE"""),45029.73611111111)</f>
        <v>45029.73611</v>
      </c>
      <c r="B330" s="1">
        <f>IFERROR(__xludf.DUMMYFUNCTION("""COMPUTED_VALUE"""),48.85)</f>
        <v>48.85</v>
      </c>
      <c r="C330" s="1">
        <f>IFERROR(__xludf.DUMMYFUNCTION("""COMPUTED_VALUE"""),48.92)</f>
        <v>48.92</v>
      </c>
      <c r="D330" s="1">
        <f>IFERROR(__xludf.DUMMYFUNCTION("""COMPUTED_VALUE"""),48.63)</f>
        <v>48.63</v>
      </c>
      <c r="E330" s="1">
        <f>IFERROR(__xludf.DUMMYFUNCTION("""COMPUTED_VALUE"""),48.89)</f>
        <v>48.89</v>
      </c>
      <c r="F330" s="1">
        <f>IFERROR(__xludf.DUMMYFUNCTION("""COMPUTED_VALUE"""),1180260.0)</f>
        <v>1180260</v>
      </c>
      <c r="G330" s="2" t="s">
        <v>13</v>
      </c>
    </row>
    <row r="331">
      <c r="A331" s="3">
        <f>IFERROR(__xludf.DUMMYFUNCTION("""COMPUTED_VALUE"""),45030.73611111111)</f>
        <v>45030.73611</v>
      </c>
      <c r="B331" s="1">
        <f>IFERROR(__xludf.DUMMYFUNCTION("""COMPUTED_VALUE"""),48.8)</f>
        <v>48.8</v>
      </c>
      <c r="C331" s="1">
        <f>IFERROR(__xludf.DUMMYFUNCTION("""COMPUTED_VALUE"""),49.01)</f>
        <v>49.01</v>
      </c>
      <c r="D331" s="1">
        <f>IFERROR(__xludf.DUMMYFUNCTION("""COMPUTED_VALUE"""),48.58)</f>
        <v>48.58</v>
      </c>
      <c r="E331" s="1">
        <f>IFERROR(__xludf.DUMMYFUNCTION("""COMPUTED_VALUE"""),48.7)</f>
        <v>48.7</v>
      </c>
      <c r="F331" s="1">
        <f>IFERROR(__xludf.DUMMYFUNCTION("""COMPUTED_VALUE"""),1028598.0)</f>
        <v>1028598</v>
      </c>
      <c r="G331" s="2" t="s">
        <v>13</v>
      </c>
    </row>
    <row r="332">
      <c r="A332" s="3">
        <f>IFERROR(__xludf.DUMMYFUNCTION("""COMPUTED_VALUE"""),45033.73611111111)</f>
        <v>45033.73611</v>
      </c>
      <c r="B332" s="1">
        <f>IFERROR(__xludf.DUMMYFUNCTION("""COMPUTED_VALUE"""),48.75)</f>
        <v>48.75</v>
      </c>
      <c r="C332" s="1">
        <f>IFERROR(__xludf.DUMMYFUNCTION("""COMPUTED_VALUE"""),49.4)</f>
        <v>49.4</v>
      </c>
      <c r="D332" s="1">
        <f>IFERROR(__xludf.DUMMYFUNCTION("""COMPUTED_VALUE"""),48.68)</f>
        <v>48.68</v>
      </c>
      <c r="E332" s="1">
        <f>IFERROR(__xludf.DUMMYFUNCTION("""COMPUTED_VALUE"""),49.3)</f>
        <v>49.3</v>
      </c>
      <c r="F332" s="1">
        <f>IFERROR(__xludf.DUMMYFUNCTION("""COMPUTED_VALUE"""),1854819.0)</f>
        <v>1854819</v>
      </c>
      <c r="G332" s="2" t="s">
        <v>13</v>
      </c>
    </row>
    <row r="333">
      <c r="A333" s="3">
        <f>IFERROR(__xludf.DUMMYFUNCTION("""COMPUTED_VALUE"""),45034.73611111111)</f>
        <v>45034.73611</v>
      </c>
      <c r="B333" s="1">
        <f>IFERROR(__xludf.DUMMYFUNCTION("""COMPUTED_VALUE"""),49.1)</f>
        <v>49.1</v>
      </c>
      <c r="C333" s="1">
        <f>IFERROR(__xludf.DUMMYFUNCTION("""COMPUTED_VALUE"""),49.16)</f>
        <v>49.16</v>
      </c>
      <c r="D333" s="1">
        <f>IFERROR(__xludf.DUMMYFUNCTION("""COMPUTED_VALUE"""),48.87)</f>
        <v>48.87</v>
      </c>
      <c r="E333" s="1">
        <f>IFERROR(__xludf.DUMMYFUNCTION("""COMPUTED_VALUE"""),49.09)</f>
        <v>49.09</v>
      </c>
      <c r="F333" s="1">
        <f>IFERROR(__xludf.DUMMYFUNCTION("""COMPUTED_VALUE"""),1308989.0)</f>
        <v>1308989</v>
      </c>
      <c r="G333" s="2" t="s">
        <v>13</v>
      </c>
    </row>
    <row r="334">
      <c r="A334" s="3">
        <f>IFERROR(__xludf.DUMMYFUNCTION("""COMPUTED_VALUE"""),45035.73611111111)</f>
        <v>45035.73611</v>
      </c>
      <c r="B334" s="1">
        <f>IFERROR(__xludf.DUMMYFUNCTION("""COMPUTED_VALUE"""),49.25)</f>
        <v>49.25</v>
      </c>
      <c r="C334" s="1">
        <f>IFERROR(__xludf.DUMMYFUNCTION("""COMPUTED_VALUE"""),49.51)</f>
        <v>49.51</v>
      </c>
      <c r="D334" s="1">
        <f>IFERROR(__xludf.DUMMYFUNCTION("""COMPUTED_VALUE"""),49.16)</f>
        <v>49.16</v>
      </c>
      <c r="E334" s="1">
        <f>IFERROR(__xludf.DUMMYFUNCTION("""COMPUTED_VALUE"""),49.3)</f>
        <v>49.3</v>
      </c>
      <c r="F334" s="1">
        <f>IFERROR(__xludf.DUMMYFUNCTION("""COMPUTED_VALUE"""),1273274.0)</f>
        <v>1273274</v>
      </c>
      <c r="G334" s="2" t="s">
        <v>13</v>
      </c>
    </row>
    <row r="335">
      <c r="A335" s="3">
        <f>IFERROR(__xludf.DUMMYFUNCTION("""COMPUTED_VALUE"""),45036.73611111111)</f>
        <v>45036.73611</v>
      </c>
      <c r="B335" s="1">
        <f>IFERROR(__xludf.DUMMYFUNCTION("""COMPUTED_VALUE"""),49.27)</f>
        <v>49.27</v>
      </c>
      <c r="C335" s="1">
        <f>IFERROR(__xludf.DUMMYFUNCTION("""COMPUTED_VALUE"""),49.52)</f>
        <v>49.52</v>
      </c>
      <c r="D335" s="1">
        <f>IFERROR(__xludf.DUMMYFUNCTION("""COMPUTED_VALUE"""),49.06)</f>
        <v>49.06</v>
      </c>
      <c r="E335" s="1">
        <f>IFERROR(__xludf.DUMMYFUNCTION("""COMPUTED_VALUE"""),49.48)</f>
        <v>49.48</v>
      </c>
      <c r="F335" s="1">
        <f>IFERROR(__xludf.DUMMYFUNCTION("""COMPUTED_VALUE"""),1138938.0)</f>
        <v>1138938</v>
      </c>
      <c r="G335" s="2" t="s">
        <v>13</v>
      </c>
    </row>
    <row r="336">
      <c r="A336" s="3">
        <f>IFERROR(__xludf.DUMMYFUNCTION("""COMPUTED_VALUE"""),45037.73611111111)</f>
        <v>45037.73611</v>
      </c>
      <c r="B336" s="1">
        <f>IFERROR(__xludf.DUMMYFUNCTION("""COMPUTED_VALUE"""),49.51)</f>
        <v>49.51</v>
      </c>
      <c r="C336" s="1">
        <f>IFERROR(__xludf.DUMMYFUNCTION("""COMPUTED_VALUE"""),49.91)</f>
        <v>49.91</v>
      </c>
      <c r="D336" s="1">
        <f>IFERROR(__xludf.DUMMYFUNCTION("""COMPUTED_VALUE"""),49.47)</f>
        <v>49.47</v>
      </c>
      <c r="E336" s="1">
        <f>IFERROR(__xludf.DUMMYFUNCTION("""COMPUTED_VALUE"""),49.67)</f>
        <v>49.67</v>
      </c>
      <c r="F336" s="1">
        <f>IFERROR(__xludf.DUMMYFUNCTION("""COMPUTED_VALUE"""),2376045.0)</f>
        <v>2376045</v>
      </c>
      <c r="G336" s="2" t="s">
        <v>13</v>
      </c>
    </row>
    <row r="337">
      <c r="A337" s="3">
        <f>IFERROR(__xludf.DUMMYFUNCTION("""COMPUTED_VALUE"""),45040.73611111111)</f>
        <v>45040.73611</v>
      </c>
      <c r="B337" s="1">
        <f>IFERROR(__xludf.DUMMYFUNCTION("""COMPUTED_VALUE"""),49.75)</f>
        <v>49.75</v>
      </c>
      <c r="C337" s="1">
        <f>IFERROR(__xludf.DUMMYFUNCTION("""COMPUTED_VALUE"""),49.77)</f>
        <v>49.77</v>
      </c>
      <c r="D337" s="1">
        <f>IFERROR(__xludf.DUMMYFUNCTION("""COMPUTED_VALUE"""),49.42)</f>
        <v>49.42</v>
      </c>
      <c r="E337" s="1">
        <f>IFERROR(__xludf.DUMMYFUNCTION("""COMPUTED_VALUE"""),49.56)</f>
        <v>49.56</v>
      </c>
      <c r="F337" s="1">
        <f>IFERROR(__xludf.DUMMYFUNCTION("""COMPUTED_VALUE"""),1154107.0)</f>
        <v>1154107</v>
      </c>
      <c r="G337" s="2" t="s">
        <v>13</v>
      </c>
    </row>
    <row r="338">
      <c r="A338" s="3">
        <f>IFERROR(__xludf.DUMMYFUNCTION("""COMPUTED_VALUE"""),45041.73611111111)</f>
        <v>45041.73611</v>
      </c>
      <c r="B338" s="1">
        <f>IFERROR(__xludf.DUMMYFUNCTION("""COMPUTED_VALUE"""),49.41)</f>
        <v>49.41</v>
      </c>
      <c r="C338" s="1">
        <f>IFERROR(__xludf.DUMMYFUNCTION("""COMPUTED_VALUE"""),49.9)</f>
        <v>49.9</v>
      </c>
      <c r="D338" s="1">
        <f>IFERROR(__xludf.DUMMYFUNCTION("""COMPUTED_VALUE"""),49.32)</f>
        <v>49.32</v>
      </c>
      <c r="E338" s="1">
        <f>IFERROR(__xludf.DUMMYFUNCTION("""COMPUTED_VALUE"""),49.87)</f>
        <v>49.87</v>
      </c>
      <c r="F338" s="1">
        <f>IFERROR(__xludf.DUMMYFUNCTION("""COMPUTED_VALUE"""),1528715.0)</f>
        <v>1528715</v>
      </c>
      <c r="G338" s="2" t="s">
        <v>13</v>
      </c>
    </row>
    <row r="339">
      <c r="A339" s="3">
        <f>IFERROR(__xludf.DUMMYFUNCTION("""COMPUTED_VALUE"""),45042.73611111111)</f>
        <v>45042.73611</v>
      </c>
      <c r="B339" s="1">
        <f>IFERROR(__xludf.DUMMYFUNCTION("""COMPUTED_VALUE"""),49.86)</f>
        <v>49.86</v>
      </c>
      <c r="C339" s="1">
        <f>IFERROR(__xludf.DUMMYFUNCTION("""COMPUTED_VALUE"""),49.91)</f>
        <v>49.91</v>
      </c>
      <c r="D339" s="1">
        <f>IFERROR(__xludf.DUMMYFUNCTION("""COMPUTED_VALUE"""),49.38)</f>
        <v>49.38</v>
      </c>
      <c r="E339" s="1">
        <f>IFERROR(__xludf.DUMMYFUNCTION("""COMPUTED_VALUE"""),49.38)</f>
        <v>49.38</v>
      </c>
      <c r="F339" s="1">
        <f>IFERROR(__xludf.DUMMYFUNCTION("""COMPUTED_VALUE"""),2102479.0)</f>
        <v>2102479</v>
      </c>
      <c r="G339" s="2" t="s">
        <v>13</v>
      </c>
    </row>
    <row r="340">
      <c r="A340" s="3">
        <f>IFERROR(__xludf.DUMMYFUNCTION("""COMPUTED_VALUE"""),45043.73611111111)</f>
        <v>45043.73611</v>
      </c>
      <c r="B340" s="1">
        <f>IFERROR(__xludf.DUMMYFUNCTION("""COMPUTED_VALUE"""),49.93)</f>
        <v>49.93</v>
      </c>
      <c r="C340" s="1">
        <f>IFERROR(__xludf.DUMMYFUNCTION("""COMPUTED_VALUE"""),50.48)</f>
        <v>50.48</v>
      </c>
      <c r="D340" s="1">
        <f>IFERROR(__xludf.DUMMYFUNCTION("""COMPUTED_VALUE"""),49.87)</f>
        <v>49.87</v>
      </c>
      <c r="E340" s="1">
        <f>IFERROR(__xludf.DUMMYFUNCTION("""COMPUTED_VALUE"""),50.19)</f>
        <v>50.19</v>
      </c>
      <c r="F340" s="1">
        <f>IFERROR(__xludf.DUMMYFUNCTION("""COMPUTED_VALUE"""),2842946.0)</f>
        <v>2842946</v>
      </c>
      <c r="G340" s="2" t="s">
        <v>13</v>
      </c>
    </row>
    <row r="341">
      <c r="A341" s="3">
        <f>IFERROR(__xludf.DUMMYFUNCTION("""COMPUTED_VALUE"""),45044.73611111111)</f>
        <v>45044.73611</v>
      </c>
      <c r="B341" s="1">
        <f>IFERROR(__xludf.DUMMYFUNCTION("""COMPUTED_VALUE"""),50.38)</f>
        <v>50.38</v>
      </c>
      <c r="C341" s="1">
        <f>IFERROR(__xludf.DUMMYFUNCTION("""COMPUTED_VALUE"""),50.93)</f>
        <v>50.93</v>
      </c>
      <c r="D341" s="1">
        <f>IFERROR(__xludf.DUMMYFUNCTION("""COMPUTED_VALUE"""),50.21)</f>
        <v>50.21</v>
      </c>
      <c r="E341" s="1">
        <f>IFERROR(__xludf.DUMMYFUNCTION("""COMPUTED_VALUE"""),50.51)</f>
        <v>50.51</v>
      </c>
      <c r="F341" s="1">
        <f>IFERROR(__xludf.DUMMYFUNCTION("""COMPUTED_VALUE"""),3089397.0)</f>
        <v>3089397</v>
      </c>
      <c r="G341" s="2" t="s">
        <v>13</v>
      </c>
    </row>
    <row r="342">
      <c r="A342" s="3">
        <f>IFERROR(__xludf.DUMMYFUNCTION("""COMPUTED_VALUE"""),45048.73611111111)</f>
        <v>45048.73611</v>
      </c>
      <c r="B342" s="1">
        <f>IFERROR(__xludf.DUMMYFUNCTION("""COMPUTED_VALUE"""),50.5)</f>
        <v>50.5</v>
      </c>
      <c r="C342" s="1">
        <f>IFERROR(__xludf.DUMMYFUNCTION("""COMPUTED_VALUE"""),50.6)</f>
        <v>50.6</v>
      </c>
      <c r="D342" s="1">
        <f>IFERROR(__xludf.DUMMYFUNCTION("""COMPUTED_VALUE"""),50.17)</f>
        <v>50.17</v>
      </c>
      <c r="E342" s="1">
        <f>IFERROR(__xludf.DUMMYFUNCTION("""COMPUTED_VALUE"""),50.38)</f>
        <v>50.38</v>
      </c>
      <c r="F342" s="1">
        <f>IFERROR(__xludf.DUMMYFUNCTION("""COMPUTED_VALUE"""),1879014.0)</f>
        <v>1879014</v>
      </c>
      <c r="G342" s="2" t="s">
        <v>13</v>
      </c>
    </row>
    <row r="343">
      <c r="A343" s="3">
        <f>IFERROR(__xludf.DUMMYFUNCTION("""COMPUTED_VALUE"""),45049.73611111111)</f>
        <v>45049.73611</v>
      </c>
      <c r="B343" s="1">
        <f>IFERROR(__xludf.DUMMYFUNCTION("""COMPUTED_VALUE"""),50.67)</f>
        <v>50.67</v>
      </c>
      <c r="C343" s="1">
        <f>IFERROR(__xludf.DUMMYFUNCTION("""COMPUTED_VALUE"""),50.77)</f>
        <v>50.77</v>
      </c>
      <c r="D343" s="1">
        <f>IFERROR(__xludf.DUMMYFUNCTION("""COMPUTED_VALUE"""),50.27)</f>
        <v>50.27</v>
      </c>
      <c r="E343" s="1">
        <f>IFERROR(__xludf.DUMMYFUNCTION("""COMPUTED_VALUE"""),50.37)</f>
        <v>50.37</v>
      </c>
      <c r="F343" s="1">
        <f>IFERROR(__xludf.DUMMYFUNCTION("""COMPUTED_VALUE"""),1451423.0)</f>
        <v>1451423</v>
      </c>
      <c r="G343" s="2" t="s">
        <v>13</v>
      </c>
    </row>
    <row r="344">
      <c r="A344" s="3">
        <f>IFERROR(__xludf.DUMMYFUNCTION("""COMPUTED_VALUE"""),45050.73611111111)</f>
        <v>45050.73611</v>
      </c>
      <c r="B344" s="1">
        <f>IFERROR(__xludf.DUMMYFUNCTION("""COMPUTED_VALUE"""),50.3)</f>
        <v>50.3</v>
      </c>
      <c r="C344" s="1">
        <f>IFERROR(__xludf.DUMMYFUNCTION("""COMPUTED_VALUE"""),50.47)</f>
        <v>50.47</v>
      </c>
      <c r="D344" s="1">
        <f>IFERROR(__xludf.DUMMYFUNCTION("""COMPUTED_VALUE"""),49.98)</f>
        <v>49.98</v>
      </c>
      <c r="E344" s="1">
        <f>IFERROR(__xludf.DUMMYFUNCTION("""COMPUTED_VALUE"""),50.35)</f>
        <v>50.35</v>
      </c>
      <c r="F344" s="1">
        <f>IFERROR(__xludf.DUMMYFUNCTION("""COMPUTED_VALUE"""),1500374.0)</f>
        <v>1500374</v>
      </c>
      <c r="G344" s="2" t="s">
        <v>13</v>
      </c>
    </row>
    <row r="345">
      <c r="A345" s="3">
        <f>IFERROR(__xludf.DUMMYFUNCTION("""COMPUTED_VALUE"""),45051.73611111111)</f>
        <v>45051.73611</v>
      </c>
      <c r="B345" s="1">
        <f>IFERROR(__xludf.DUMMYFUNCTION("""COMPUTED_VALUE"""),50.52)</f>
        <v>50.52</v>
      </c>
      <c r="C345" s="1">
        <f>IFERROR(__xludf.DUMMYFUNCTION("""COMPUTED_VALUE"""),50.76)</f>
        <v>50.76</v>
      </c>
      <c r="D345" s="1">
        <f>IFERROR(__xludf.DUMMYFUNCTION("""COMPUTED_VALUE"""),50.07)</f>
        <v>50.07</v>
      </c>
      <c r="E345" s="1">
        <f>IFERROR(__xludf.DUMMYFUNCTION("""COMPUTED_VALUE"""),50.43)</f>
        <v>50.43</v>
      </c>
      <c r="F345" s="1">
        <f>IFERROR(__xludf.DUMMYFUNCTION("""COMPUTED_VALUE"""),1862852.0)</f>
        <v>1862852</v>
      </c>
      <c r="G345" s="2" t="s">
        <v>13</v>
      </c>
    </row>
    <row r="346">
      <c r="A346" s="3">
        <f>IFERROR(__xludf.DUMMYFUNCTION("""COMPUTED_VALUE"""),45054.73611111111)</f>
        <v>45054.73611</v>
      </c>
      <c r="B346" s="1">
        <f>IFERROR(__xludf.DUMMYFUNCTION("""COMPUTED_VALUE"""),50.21)</f>
        <v>50.21</v>
      </c>
      <c r="C346" s="1">
        <f>IFERROR(__xludf.DUMMYFUNCTION("""COMPUTED_VALUE"""),50.44)</f>
        <v>50.44</v>
      </c>
      <c r="D346" s="1">
        <f>IFERROR(__xludf.DUMMYFUNCTION("""COMPUTED_VALUE"""),50.14)</f>
        <v>50.14</v>
      </c>
      <c r="E346" s="1">
        <f>IFERROR(__xludf.DUMMYFUNCTION("""COMPUTED_VALUE"""),50.37)</f>
        <v>50.37</v>
      </c>
      <c r="F346" s="1">
        <f>IFERROR(__xludf.DUMMYFUNCTION("""COMPUTED_VALUE"""),666510.0)</f>
        <v>666510</v>
      </c>
      <c r="G346" s="2" t="s">
        <v>13</v>
      </c>
    </row>
    <row r="347">
      <c r="A347" s="3">
        <f>IFERROR(__xludf.DUMMYFUNCTION("""COMPUTED_VALUE"""),45055.73611111111)</f>
        <v>45055.73611</v>
      </c>
      <c r="B347" s="1">
        <f>IFERROR(__xludf.DUMMYFUNCTION("""COMPUTED_VALUE"""),50.58)</f>
        <v>50.58</v>
      </c>
      <c r="C347" s="1">
        <f>IFERROR(__xludf.DUMMYFUNCTION("""COMPUTED_VALUE"""),50.61)</f>
        <v>50.61</v>
      </c>
      <c r="D347" s="1">
        <f>IFERROR(__xludf.DUMMYFUNCTION("""COMPUTED_VALUE"""),50.05)</f>
        <v>50.05</v>
      </c>
      <c r="E347" s="1">
        <f>IFERROR(__xludf.DUMMYFUNCTION("""COMPUTED_VALUE"""),50.32)</f>
        <v>50.32</v>
      </c>
      <c r="F347" s="1">
        <f>IFERROR(__xludf.DUMMYFUNCTION("""COMPUTED_VALUE"""),1250729.0)</f>
        <v>1250729</v>
      </c>
      <c r="G347" s="2" t="s">
        <v>13</v>
      </c>
    </row>
    <row r="348">
      <c r="A348" s="3">
        <f>IFERROR(__xludf.DUMMYFUNCTION("""COMPUTED_VALUE"""),45056.73611111111)</f>
        <v>45056.73611</v>
      </c>
      <c r="B348" s="1">
        <f>IFERROR(__xludf.DUMMYFUNCTION("""COMPUTED_VALUE"""),50.06)</f>
        <v>50.06</v>
      </c>
      <c r="C348" s="1">
        <f>IFERROR(__xludf.DUMMYFUNCTION("""COMPUTED_VALUE"""),50.06)</f>
        <v>50.06</v>
      </c>
      <c r="D348" s="1">
        <f>IFERROR(__xludf.DUMMYFUNCTION("""COMPUTED_VALUE"""),49.09)</f>
        <v>49.09</v>
      </c>
      <c r="E348" s="1">
        <f>IFERROR(__xludf.DUMMYFUNCTION("""COMPUTED_VALUE"""),49.38)</f>
        <v>49.38</v>
      </c>
      <c r="F348" s="1">
        <f>IFERROR(__xludf.DUMMYFUNCTION("""COMPUTED_VALUE"""),1739433.0)</f>
        <v>1739433</v>
      </c>
      <c r="G348" s="2" t="s">
        <v>13</v>
      </c>
    </row>
    <row r="349">
      <c r="A349" s="3">
        <f>IFERROR(__xludf.DUMMYFUNCTION("""COMPUTED_VALUE"""),45057.73611111111)</f>
        <v>45057.73611</v>
      </c>
      <c r="B349" s="1">
        <f>IFERROR(__xludf.DUMMYFUNCTION("""COMPUTED_VALUE"""),49.46)</f>
        <v>49.46</v>
      </c>
      <c r="C349" s="1">
        <f>IFERROR(__xludf.DUMMYFUNCTION("""COMPUTED_VALUE"""),50.03)</f>
        <v>50.03</v>
      </c>
      <c r="D349" s="1">
        <f>IFERROR(__xludf.DUMMYFUNCTION("""COMPUTED_VALUE"""),49.46)</f>
        <v>49.46</v>
      </c>
      <c r="E349" s="1">
        <f>IFERROR(__xludf.DUMMYFUNCTION("""COMPUTED_VALUE"""),49.77)</f>
        <v>49.77</v>
      </c>
      <c r="F349" s="1">
        <f>IFERROR(__xludf.DUMMYFUNCTION("""COMPUTED_VALUE"""),1071384.0)</f>
        <v>1071384</v>
      </c>
      <c r="G349" s="2" t="s">
        <v>13</v>
      </c>
    </row>
    <row r="350">
      <c r="A350" s="3">
        <f>IFERROR(__xludf.DUMMYFUNCTION("""COMPUTED_VALUE"""),45058.73611111111)</f>
        <v>45058.73611</v>
      </c>
      <c r="B350" s="1">
        <f>IFERROR(__xludf.DUMMYFUNCTION("""COMPUTED_VALUE"""),49.95)</f>
        <v>49.95</v>
      </c>
      <c r="C350" s="1">
        <f>IFERROR(__xludf.DUMMYFUNCTION("""COMPUTED_VALUE"""),50.11)</f>
        <v>50.11</v>
      </c>
      <c r="D350" s="1">
        <f>IFERROR(__xludf.DUMMYFUNCTION("""COMPUTED_VALUE"""),49.58)</f>
        <v>49.58</v>
      </c>
      <c r="E350" s="1">
        <f>IFERROR(__xludf.DUMMYFUNCTION("""COMPUTED_VALUE"""),49.95)</f>
        <v>49.95</v>
      </c>
      <c r="F350" s="1">
        <f>IFERROR(__xludf.DUMMYFUNCTION("""COMPUTED_VALUE"""),883356.0)</f>
        <v>883356</v>
      </c>
      <c r="G350" s="2" t="s">
        <v>13</v>
      </c>
    </row>
    <row r="351">
      <c r="A351" s="3">
        <f>IFERROR(__xludf.DUMMYFUNCTION("""COMPUTED_VALUE"""),45061.73611111111)</f>
        <v>45061.73611</v>
      </c>
      <c r="B351" s="1">
        <f>IFERROR(__xludf.DUMMYFUNCTION("""COMPUTED_VALUE"""),49.98)</f>
        <v>49.98</v>
      </c>
      <c r="C351" s="1">
        <f>IFERROR(__xludf.DUMMYFUNCTION("""COMPUTED_VALUE"""),50.24)</f>
        <v>50.24</v>
      </c>
      <c r="D351" s="1">
        <f>IFERROR(__xludf.DUMMYFUNCTION("""COMPUTED_VALUE"""),49.77)</f>
        <v>49.77</v>
      </c>
      <c r="E351" s="1">
        <f>IFERROR(__xludf.DUMMYFUNCTION("""COMPUTED_VALUE"""),49.9)</f>
        <v>49.9</v>
      </c>
      <c r="F351" s="1">
        <f>IFERROR(__xludf.DUMMYFUNCTION("""COMPUTED_VALUE"""),993664.0)</f>
        <v>993664</v>
      </c>
      <c r="G351" s="2" t="s">
        <v>13</v>
      </c>
    </row>
    <row r="352">
      <c r="A352" s="3">
        <f>IFERROR(__xludf.DUMMYFUNCTION("""COMPUTED_VALUE"""),45062.73611111111)</f>
        <v>45062.73611</v>
      </c>
      <c r="B352" s="1">
        <f>IFERROR(__xludf.DUMMYFUNCTION("""COMPUTED_VALUE"""),49.84)</f>
        <v>49.84</v>
      </c>
      <c r="C352" s="1">
        <f>IFERROR(__xludf.DUMMYFUNCTION("""COMPUTED_VALUE"""),50.2)</f>
        <v>50.2</v>
      </c>
      <c r="D352" s="1">
        <f>IFERROR(__xludf.DUMMYFUNCTION("""COMPUTED_VALUE"""),49.77)</f>
        <v>49.77</v>
      </c>
      <c r="E352" s="1">
        <f>IFERROR(__xludf.DUMMYFUNCTION("""COMPUTED_VALUE"""),49.92)</f>
        <v>49.92</v>
      </c>
      <c r="F352" s="1">
        <f>IFERROR(__xludf.DUMMYFUNCTION("""COMPUTED_VALUE"""),812648.0)</f>
        <v>812648</v>
      </c>
      <c r="G352" s="2" t="s">
        <v>13</v>
      </c>
    </row>
    <row r="353">
      <c r="A353" s="3">
        <f>IFERROR(__xludf.DUMMYFUNCTION("""COMPUTED_VALUE"""),45063.73611111111)</f>
        <v>45063.73611</v>
      </c>
      <c r="B353" s="1">
        <f>IFERROR(__xludf.DUMMYFUNCTION("""COMPUTED_VALUE"""),49.68)</f>
        <v>49.68</v>
      </c>
      <c r="C353" s="1">
        <f>IFERROR(__xludf.DUMMYFUNCTION("""COMPUTED_VALUE"""),50.13)</f>
        <v>50.13</v>
      </c>
      <c r="D353" s="1">
        <f>IFERROR(__xludf.DUMMYFUNCTION("""COMPUTED_VALUE"""),49.55)</f>
        <v>49.55</v>
      </c>
      <c r="E353" s="1">
        <f>IFERROR(__xludf.DUMMYFUNCTION("""COMPUTED_VALUE"""),49.74)</f>
        <v>49.74</v>
      </c>
      <c r="F353" s="1">
        <f>IFERROR(__xludf.DUMMYFUNCTION("""COMPUTED_VALUE"""),1123332.0)</f>
        <v>1123332</v>
      </c>
      <c r="G353" s="2" t="s">
        <v>13</v>
      </c>
    </row>
    <row r="354">
      <c r="A354" s="3">
        <f>IFERROR(__xludf.DUMMYFUNCTION("""COMPUTED_VALUE"""),45064.73611111111)</f>
        <v>45064.73611</v>
      </c>
      <c r="B354" s="1">
        <f>IFERROR(__xludf.DUMMYFUNCTION("""COMPUTED_VALUE"""),49.34)</f>
        <v>49.34</v>
      </c>
      <c r="C354" s="1">
        <f>IFERROR(__xludf.DUMMYFUNCTION("""COMPUTED_VALUE"""),49.51)</f>
        <v>49.51</v>
      </c>
      <c r="D354" s="1">
        <f>IFERROR(__xludf.DUMMYFUNCTION("""COMPUTED_VALUE"""),49.1)</f>
        <v>49.1</v>
      </c>
      <c r="E354" s="1">
        <f>IFERROR(__xludf.DUMMYFUNCTION("""COMPUTED_VALUE"""),49.16)</f>
        <v>49.16</v>
      </c>
      <c r="F354" s="1">
        <f>IFERROR(__xludf.DUMMYFUNCTION("""COMPUTED_VALUE"""),1005744.0)</f>
        <v>1005744</v>
      </c>
      <c r="G354" s="2" t="s">
        <v>13</v>
      </c>
    </row>
    <row r="355">
      <c r="A355" s="3">
        <f>IFERROR(__xludf.DUMMYFUNCTION("""COMPUTED_VALUE"""),45065.73611111111)</f>
        <v>45065.73611</v>
      </c>
      <c r="B355" s="1">
        <f>IFERROR(__xludf.DUMMYFUNCTION("""COMPUTED_VALUE"""),49.1)</f>
        <v>49.1</v>
      </c>
      <c r="C355" s="1">
        <f>IFERROR(__xludf.DUMMYFUNCTION("""COMPUTED_VALUE"""),49.45)</f>
        <v>49.45</v>
      </c>
      <c r="D355" s="1">
        <f>IFERROR(__xludf.DUMMYFUNCTION("""COMPUTED_VALUE"""),49.08)</f>
        <v>49.08</v>
      </c>
      <c r="E355" s="1">
        <f>IFERROR(__xludf.DUMMYFUNCTION("""COMPUTED_VALUE"""),49.23)</f>
        <v>49.23</v>
      </c>
      <c r="F355" s="1">
        <f>IFERROR(__xludf.DUMMYFUNCTION("""COMPUTED_VALUE"""),1430052.0)</f>
        <v>1430052</v>
      </c>
      <c r="G355" s="2" t="s">
        <v>13</v>
      </c>
    </row>
    <row r="356">
      <c r="A356" s="3">
        <f>IFERROR(__xludf.DUMMYFUNCTION("""COMPUTED_VALUE"""),45068.73611111111)</f>
        <v>45068.73611</v>
      </c>
      <c r="B356" s="1">
        <f>IFERROR(__xludf.DUMMYFUNCTION("""COMPUTED_VALUE"""),49.22)</f>
        <v>49.22</v>
      </c>
      <c r="C356" s="1">
        <f>IFERROR(__xludf.DUMMYFUNCTION("""COMPUTED_VALUE"""),49.37)</f>
        <v>49.37</v>
      </c>
      <c r="D356" s="1">
        <f>IFERROR(__xludf.DUMMYFUNCTION("""COMPUTED_VALUE"""),48.58)</f>
        <v>48.58</v>
      </c>
      <c r="E356" s="1">
        <f>IFERROR(__xludf.DUMMYFUNCTION("""COMPUTED_VALUE"""),48.64)</f>
        <v>48.64</v>
      </c>
      <c r="F356" s="1">
        <f>IFERROR(__xludf.DUMMYFUNCTION("""COMPUTED_VALUE"""),1382126.0)</f>
        <v>1382126</v>
      </c>
      <c r="G356" s="2" t="s">
        <v>13</v>
      </c>
    </row>
    <row r="357">
      <c r="A357" s="3">
        <f>IFERROR(__xludf.DUMMYFUNCTION("""COMPUTED_VALUE"""),45069.73611111111)</f>
        <v>45069.73611</v>
      </c>
      <c r="B357" s="1">
        <f>IFERROR(__xludf.DUMMYFUNCTION("""COMPUTED_VALUE"""),48.5)</f>
        <v>48.5</v>
      </c>
      <c r="C357" s="1">
        <f>IFERROR(__xludf.DUMMYFUNCTION("""COMPUTED_VALUE"""),48.74)</f>
        <v>48.74</v>
      </c>
      <c r="D357" s="1">
        <f>IFERROR(__xludf.DUMMYFUNCTION("""COMPUTED_VALUE"""),48.34)</f>
        <v>48.34</v>
      </c>
      <c r="E357" s="1">
        <f>IFERROR(__xludf.DUMMYFUNCTION("""COMPUTED_VALUE"""),48.61)</f>
        <v>48.61</v>
      </c>
      <c r="F357" s="1">
        <f>IFERROR(__xludf.DUMMYFUNCTION("""COMPUTED_VALUE"""),1138811.0)</f>
        <v>1138811</v>
      </c>
      <c r="G357" s="2" t="s">
        <v>13</v>
      </c>
    </row>
    <row r="358">
      <c r="A358" s="3">
        <f>IFERROR(__xludf.DUMMYFUNCTION("""COMPUTED_VALUE"""),45070.73611111111)</f>
        <v>45070.73611</v>
      </c>
      <c r="B358" s="1">
        <f>IFERROR(__xludf.DUMMYFUNCTION("""COMPUTED_VALUE"""),48.39)</f>
        <v>48.39</v>
      </c>
      <c r="C358" s="1">
        <f>IFERROR(__xludf.DUMMYFUNCTION("""COMPUTED_VALUE"""),48.44)</f>
        <v>48.44</v>
      </c>
      <c r="D358" s="1">
        <f>IFERROR(__xludf.DUMMYFUNCTION("""COMPUTED_VALUE"""),47.56)</f>
        <v>47.56</v>
      </c>
      <c r="E358" s="1">
        <f>IFERROR(__xludf.DUMMYFUNCTION("""COMPUTED_VALUE"""),47.98)</f>
        <v>47.98</v>
      </c>
      <c r="F358" s="1">
        <f>IFERROR(__xludf.DUMMYFUNCTION("""COMPUTED_VALUE"""),1781908.0)</f>
        <v>1781908</v>
      </c>
      <c r="G358" s="2" t="s">
        <v>13</v>
      </c>
    </row>
    <row r="359">
      <c r="A359" s="3">
        <f>IFERROR(__xludf.DUMMYFUNCTION("""COMPUTED_VALUE"""),45071.73611111111)</f>
        <v>45071.73611</v>
      </c>
      <c r="B359" s="1">
        <f>IFERROR(__xludf.DUMMYFUNCTION("""COMPUTED_VALUE"""),47.92)</f>
        <v>47.92</v>
      </c>
      <c r="C359" s="1">
        <f>IFERROR(__xludf.DUMMYFUNCTION("""COMPUTED_VALUE"""),48.02)</f>
        <v>48.02</v>
      </c>
      <c r="D359" s="1">
        <f>IFERROR(__xludf.DUMMYFUNCTION("""COMPUTED_VALUE"""),47.56)</f>
        <v>47.56</v>
      </c>
      <c r="E359" s="1">
        <f>IFERROR(__xludf.DUMMYFUNCTION("""COMPUTED_VALUE"""),47.9)</f>
        <v>47.9</v>
      </c>
      <c r="F359" s="1">
        <f>IFERROR(__xludf.DUMMYFUNCTION("""COMPUTED_VALUE"""),1154411.0)</f>
        <v>1154411</v>
      </c>
      <c r="G359" s="2" t="s">
        <v>13</v>
      </c>
    </row>
    <row r="360">
      <c r="A360" s="3">
        <f>IFERROR(__xludf.DUMMYFUNCTION("""COMPUTED_VALUE"""),45072.73611111111)</f>
        <v>45072.73611</v>
      </c>
      <c r="B360" s="1">
        <f>IFERROR(__xludf.DUMMYFUNCTION("""COMPUTED_VALUE"""),47.77)</f>
        <v>47.77</v>
      </c>
      <c r="C360" s="1">
        <f>IFERROR(__xludf.DUMMYFUNCTION("""COMPUTED_VALUE"""),48.12)</f>
        <v>48.12</v>
      </c>
      <c r="D360" s="1">
        <f>IFERROR(__xludf.DUMMYFUNCTION("""COMPUTED_VALUE"""),47.63)</f>
        <v>47.63</v>
      </c>
      <c r="E360" s="1">
        <f>IFERROR(__xludf.DUMMYFUNCTION("""COMPUTED_VALUE"""),48.01)</f>
        <v>48.01</v>
      </c>
      <c r="F360" s="1">
        <f>IFERROR(__xludf.DUMMYFUNCTION("""COMPUTED_VALUE"""),1078903.0)</f>
        <v>1078903</v>
      </c>
      <c r="G360" s="2" t="s">
        <v>13</v>
      </c>
    </row>
    <row r="361">
      <c r="A361" s="3">
        <f>IFERROR(__xludf.DUMMYFUNCTION("""COMPUTED_VALUE"""),45075.73611111111)</f>
        <v>45075.73611</v>
      </c>
      <c r="B361" s="1">
        <f>IFERROR(__xludf.DUMMYFUNCTION("""COMPUTED_VALUE"""),47.97)</f>
        <v>47.97</v>
      </c>
      <c r="C361" s="1">
        <f>IFERROR(__xludf.DUMMYFUNCTION("""COMPUTED_VALUE"""),47.99)</f>
        <v>47.99</v>
      </c>
      <c r="D361" s="1">
        <f>IFERROR(__xludf.DUMMYFUNCTION("""COMPUTED_VALUE"""),47.69)</f>
        <v>47.69</v>
      </c>
      <c r="E361" s="1">
        <f>IFERROR(__xludf.DUMMYFUNCTION("""COMPUTED_VALUE"""),47.92)</f>
        <v>47.92</v>
      </c>
      <c r="F361" s="1">
        <f>IFERROR(__xludf.DUMMYFUNCTION("""COMPUTED_VALUE"""),416133.0)</f>
        <v>416133</v>
      </c>
      <c r="G361" s="2" t="s">
        <v>13</v>
      </c>
    </row>
    <row r="362">
      <c r="A362" s="3">
        <f>IFERROR(__xludf.DUMMYFUNCTION("""COMPUTED_VALUE"""),45076.73611111111)</f>
        <v>45076.73611</v>
      </c>
      <c r="B362" s="1">
        <f>IFERROR(__xludf.DUMMYFUNCTION("""COMPUTED_VALUE"""),48.11)</f>
        <v>48.11</v>
      </c>
      <c r="C362" s="1">
        <f>IFERROR(__xludf.DUMMYFUNCTION("""COMPUTED_VALUE"""),48.16)</f>
        <v>48.16</v>
      </c>
      <c r="D362" s="1">
        <f>IFERROR(__xludf.DUMMYFUNCTION("""COMPUTED_VALUE"""),46.64)</f>
        <v>46.64</v>
      </c>
      <c r="E362" s="1">
        <f>IFERROR(__xludf.DUMMYFUNCTION("""COMPUTED_VALUE"""),46.8)</f>
        <v>46.8</v>
      </c>
      <c r="F362" s="1">
        <f>IFERROR(__xludf.DUMMYFUNCTION("""COMPUTED_VALUE"""),1400618.0)</f>
        <v>1400618</v>
      </c>
      <c r="G362" s="2" t="s">
        <v>13</v>
      </c>
    </row>
    <row r="363">
      <c r="A363" s="3">
        <f>IFERROR(__xludf.DUMMYFUNCTION("""COMPUTED_VALUE"""),45077.73611111111)</f>
        <v>45077.73611</v>
      </c>
      <c r="B363" s="1">
        <f>IFERROR(__xludf.DUMMYFUNCTION("""COMPUTED_VALUE"""),46.56)</f>
        <v>46.56</v>
      </c>
      <c r="C363" s="1">
        <f>IFERROR(__xludf.DUMMYFUNCTION("""COMPUTED_VALUE"""),47.26)</f>
        <v>47.26</v>
      </c>
      <c r="D363" s="1">
        <f>IFERROR(__xludf.DUMMYFUNCTION("""COMPUTED_VALUE"""),46.42)</f>
        <v>46.42</v>
      </c>
      <c r="E363" s="1">
        <f>IFERROR(__xludf.DUMMYFUNCTION("""COMPUTED_VALUE"""),46.8)</f>
        <v>46.8</v>
      </c>
      <c r="F363" s="1">
        <f>IFERROR(__xludf.DUMMYFUNCTION("""COMPUTED_VALUE"""),2001395.0)</f>
        <v>2001395</v>
      </c>
      <c r="G363" s="2" t="s">
        <v>13</v>
      </c>
    </row>
    <row r="364">
      <c r="A364" s="3">
        <f>IFERROR(__xludf.DUMMYFUNCTION("""COMPUTED_VALUE"""),45078.73611111111)</f>
        <v>45078.73611</v>
      </c>
      <c r="B364" s="1">
        <f>IFERROR(__xludf.DUMMYFUNCTION("""COMPUTED_VALUE"""),46.99)</f>
        <v>46.99</v>
      </c>
      <c r="C364" s="1">
        <f>IFERROR(__xludf.DUMMYFUNCTION("""COMPUTED_VALUE"""),47.26)</f>
        <v>47.26</v>
      </c>
      <c r="D364" s="1">
        <f>IFERROR(__xludf.DUMMYFUNCTION("""COMPUTED_VALUE"""),46.81)</f>
        <v>46.81</v>
      </c>
      <c r="E364" s="1">
        <f>IFERROR(__xludf.DUMMYFUNCTION("""COMPUTED_VALUE"""),46.87)</f>
        <v>46.87</v>
      </c>
      <c r="F364" s="1">
        <f>IFERROR(__xludf.DUMMYFUNCTION("""COMPUTED_VALUE"""),1414551.0)</f>
        <v>1414551</v>
      </c>
      <c r="G364" s="2" t="s">
        <v>13</v>
      </c>
    </row>
    <row r="365">
      <c r="A365" s="3">
        <f>IFERROR(__xludf.DUMMYFUNCTION("""COMPUTED_VALUE"""),45079.73611111111)</f>
        <v>45079.73611</v>
      </c>
      <c r="B365" s="1">
        <f>IFERROR(__xludf.DUMMYFUNCTION("""COMPUTED_VALUE"""),46.9)</f>
        <v>46.9</v>
      </c>
      <c r="C365" s="1">
        <f>IFERROR(__xludf.DUMMYFUNCTION("""COMPUTED_VALUE"""),47.21)</f>
        <v>47.21</v>
      </c>
      <c r="D365" s="1">
        <f>IFERROR(__xludf.DUMMYFUNCTION("""COMPUTED_VALUE"""),46.79)</f>
        <v>46.79</v>
      </c>
      <c r="E365" s="1">
        <f>IFERROR(__xludf.DUMMYFUNCTION("""COMPUTED_VALUE"""),47.2)</f>
        <v>47.2</v>
      </c>
      <c r="F365" s="1">
        <f>IFERROR(__xludf.DUMMYFUNCTION("""COMPUTED_VALUE"""),1213128.0)</f>
        <v>1213128</v>
      </c>
      <c r="G365" s="2" t="s">
        <v>13</v>
      </c>
    </row>
    <row r="366">
      <c r="A366" s="3">
        <f>IFERROR(__xludf.DUMMYFUNCTION("""COMPUTED_VALUE"""),45082.73611111111)</f>
        <v>45082.73611</v>
      </c>
      <c r="B366" s="1">
        <f>IFERROR(__xludf.DUMMYFUNCTION("""COMPUTED_VALUE"""),47.43)</f>
        <v>47.43</v>
      </c>
      <c r="C366" s="1">
        <f>IFERROR(__xludf.DUMMYFUNCTION("""COMPUTED_VALUE"""),47.58)</f>
        <v>47.58</v>
      </c>
      <c r="D366" s="1">
        <f>IFERROR(__xludf.DUMMYFUNCTION("""COMPUTED_VALUE"""),47.04)</f>
        <v>47.04</v>
      </c>
      <c r="E366" s="1">
        <f>IFERROR(__xludf.DUMMYFUNCTION("""COMPUTED_VALUE"""),47.21)</f>
        <v>47.21</v>
      </c>
      <c r="F366" s="1">
        <f>IFERROR(__xludf.DUMMYFUNCTION("""COMPUTED_VALUE"""),987815.0)</f>
        <v>987815</v>
      </c>
      <c r="G366" s="2" t="s">
        <v>13</v>
      </c>
    </row>
    <row r="367">
      <c r="A367" s="3">
        <f>IFERROR(__xludf.DUMMYFUNCTION("""COMPUTED_VALUE"""),45083.73611111111)</f>
        <v>45083.73611</v>
      </c>
      <c r="B367" s="1">
        <f>IFERROR(__xludf.DUMMYFUNCTION("""COMPUTED_VALUE"""),47.0)</f>
        <v>47</v>
      </c>
      <c r="C367" s="1">
        <f>IFERROR(__xludf.DUMMYFUNCTION("""COMPUTED_VALUE"""),47.19)</f>
        <v>47.19</v>
      </c>
      <c r="D367" s="1">
        <f>IFERROR(__xludf.DUMMYFUNCTION("""COMPUTED_VALUE"""),46.9)</f>
        <v>46.9</v>
      </c>
      <c r="E367" s="1">
        <f>IFERROR(__xludf.DUMMYFUNCTION("""COMPUTED_VALUE"""),46.96)</f>
        <v>46.96</v>
      </c>
      <c r="F367" s="1">
        <f>IFERROR(__xludf.DUMMYFUNCTION("""COMPUTED_VALUE"""),965599.0)</f>
        <v>965599</v>
      </c>
      <c r="G367" s="2" t="s">
        <v>13</v>
      </c>
    </row>
    <row r="368">
      <c r="A368" s="3">
        <f>IFERROR(__xludf.DUMMYFUNCTION("""COMPUTED_VALUE"""),45084.73611111111)</f>
        <v>45084.73611</v>
      </c>
      <c r="B368" s="1">
        <f>IFERROR(__xludf.DUMMYFUNCTION("""COMPUTED_VALUE"""),46.91)</f>
        <v>46.91</v>
      </c>
      <c r="C368" s="1">
        <f>IFERROR(__xludf.DUMMYFUNCTION("""COMPUTED_VALUE"""),47.26)</f>
        <v>47.26</v>
      </c>
      <c r="D368" s="1">
        <f>IFERROR(__xludf.DUMMYFUNCTION("""COMPUTED_VALUE"""),46.77)</f>
        <v>46.77</v>
      </c>
      <c r="E368" s="1">
        <f>IFERROR(__xludf.DUMMYFUNCTION("""COMPUTED_VALUE"""),46.85)</f>
        <v>46.85</v>
      </c>
      <c r="F368" s="1">
        <f>IFERROR(__xludf.DUMMYFUNCTION("""COMPUTED_VALUE"""),1133725.0)</f>
        <v>1133725</v>
      </c>
      <c r="G368" s="2" t="s">
        <v>13</v>
      </c>
    </row>
    <row r="369">
      <c r="A369" s="3">
        <f>IFERROR(__xludf.DUMMYFUNCTION("""COMPUTED_VALUE"""),45085.73611111111)</f>
        <v>45085.73611</v>
      </c>
      <c r="B369" s="1">
        <f>IFERROR(__xludf.DUMMYFUNCTION("""COMPUTED_VALUE"""),46.62)</f>
        <v>46.62</v>
      </c>
      <c r="C369" s="1">
        <f>IFERROR(__xludf.DUMMYFUNCTION("""COMPUTED_VALUE"""),46.81)</f>
        <v>46.81</v>
      </c>
      <c r="D369" s="1">
        <f>IFERROR(__xludf.DUMMYFUNCTION("""COMPUTED_VALUE"""),46.45)</f>
        <v>46.45</v>
      </c>
      <c r="E369" s="1">
        <f>IFERROR(__xludf.DUMMYFUNCTION("""COMPUTED_VALUE"""),46.57)</f>
        <v>46.57</v>
      </c>
      <c r="F369" s="1">
        <f>IFERROR(__xludf.DUMMYFUNCTION("""COMPUTED_VALUE"""),970879.0)</f>
        <v>970879</v>
      </c>
      <c r="G369" s="2" t="s">
        <v>13</v>
      </c>
    </row>
    <row r="370">
      <c r="A370" s="3">
        <f>IFERROR(__xludf.DUMMYFUNCTION("""COMPUTED_VALUE"""),45086.73611111111)</f>
        <v>45086.73611</v>
      </c>
      <c r="B370" s="1">
        <f>IFERROR(__xludf.DUMMYFUNCTION("""COMPUTED_VALUE"""),46.82)</f>
        <v>46.82</v>
      </c>
      <c r="C370" s="1">
        <f>IFERROR(__xludf.DUMMYFUNCTION("""COMPUTED_VALUE"""),46.84)</f>
        <v>46.84</v>
      </c>
      <c r="D370" s="1">
        <f>IFERROR(__xludf.DUMMYFUNCTION("""COMPUTED_VALUE"""),45.99)</f>
        <v>45.99</v>
      </c>
      <c r="E370" s="1">
        <f>IFERROR(__xludf.DUMMYFUNCTION("""COMPUTED_VALUE"""),46.38)</f>
        <v>46.38</v>
      </c>
      <c r="F370" s="1">
        <f>IFERROR(__xludf.DUMMYFUNCTION("""COMPUTED_VALUE"""),1124052.0)</f>
        <v>1124052</v>
      </c>
      <c r="G370" s="2" t="s">
        <v>13</v>
      </c>
    </row>
    <row r="371">
      <c r="A371" s="3">
        <f>IFERROR(__xludf.DUMMYFUNCTION("""COMPUTED_VALUE"""),45089.73611111111)</f>
        <v>45089.73611</v>
      </c>
      <c r="B371" s="1">
        <f>IFERROR(__xludf.DUMMYFUNCTION("""COMPUTED_VALUE"""),46.66)</f>
        <v>46.66</v>
      </c>
      <c r="C371" s="1">
        <f>IFERROR(__xludf.DUMMYFUNCTION("""COMPUTED_VALUE"""),46.84)</f>
        <v>46.84</v>
      </c>
      <c r="D371" s="1">
        <f>IFERROR(__xludf.DUMMYFUNCTION("""COMPUTED_VALUE"""),46.45)</f>
        <v>46.45</v>
      </c>
      <c r="E371" s="1">
        <f>IFERROR(__xludf.DUMMYFUNCTION("""COMPUTED_VALUE"""),46.51)</f>
        <v>46.51</v>
      </c>
      <c r="F371" s="1">
        <f>IFERROR(__xludf.DUMMYFUNCTION("""COMPUTED_VALUE"""),1907813.0)</f>
        <v>1907813</v>
      </c>
      <c r="G371" s="2" t="s">
        <v>13</v>
      </c>
    </row>
    <row r="372">
      <c r="A372" s="3">
        <f>IFERROR(__xludf.DUMMYFUNCTION("""COMPUTED_VALUE"""),45090.73611111111)</f>
        <v>45090.73611</v>
      </c>
      <c r="B372" s="1">
        <f>IFERROR(__xludf.DUMMYFUNCTION("""COMPUTED_VALUE"""),46.51)</f>
        <v>46.51</v>
      </c>
      <c r="C372" s="1">
        <f>IFERROR(__xludf.DUMMYFUNCTION("""COMPUTED_VALUE"""),46.57)</f>
        <v>46.57</v>
      </c>
      <c r="D372" s="1">
        <f>IFERROR(__xludf.DUMMYFUNCTION("""COMPUTED_VALUE"""),45.83)</f>
        <v>45.83</v>
      </c>
      <c r="E372" s="1">
        <f>IFERROR(__xludf.DUMMYFUNCTION("""COMPUTED_VALUE"""),46.36)</f>
        <v>46.36</v>
      </c>
      <c r="F372" s="1">
        <f>IFERROR(__xludf.DUMMYFUNCTION("""COMPUTED_VALUE"""),1325464.0)</f>
        <v>1325464</v>
      </c>
      <c r="G372" s="2" t="s">
        <v>13</v>
      </c>
    </row>
    <row r="373">
      <c r="A373" s="3">
        <f>IFERROR(__xludf.DUMMYFUNCTION("""COMPUTED_VALUE"""),45091.73611111111)</f>
        <v>45091.73611</v>
      </c>
      <c r="B373" s="1">
        <f>IFERROR(__xludf.DUMMYFUNCTION("""COMPUTED_VALUE"""),46.42)</f>
        <v>46.42</v>
      </c>
      <c r="C373" s="1">
        <f>IFERROR(__xludf.DUMMYFUNCTION("""COMPUTED_VALUE"""),46.64)</f>
        <v>46.64</v>
      </c>
      <c r="D373" s="1">
        <f>IFERROR(__xludf.DUMMYFUNCTION("""COMPUTED_VALUE"""),46.25)</f>
        <v>46.25</v>
      </c>
      <c r="E373" s="1">
        <f>IFERROR(__xludf.DUMMYFUNCTION("""COMPUTED_VALUE"""),46.47)</f>
        <v>46.47</v>
      </c>
      <c r="F373" s="1">
        <f>IFERROR(__xludf.DUMMYFUNCTION("""COMPUTED_VALUE"""),1321778.0)</f>
        <v>1321778</v>
      </c>
      <c r="G373" s="2" t="s">
        <v>13</v>
      </c>
    </row>
    <row r="374">
      <c r="A374" s="3">
        <f>IFERROR(__xludf.DUMMYFUNCTION("""COMPUTED_VALUE"""),45092.73611111111)</f>
        <v>45092.73611</v>
      </c>
      <c r="B374" s="1">
        <f>IFERROR(__xludf.DUMMYFUNCTION("""COMPUTED_VALUE"""),46.5)</f>
        <v>46.5</v>
      </c>
      <c r="C374" s="1">
        <f>IFERROR(__xludf.DUMMYFUNCTION("""COMPUTED_VALUE"""),47.08)</f>
        <v>47.08</v>
      </c>
      <c r="D374" s="1">
        <f>IFERROR(__xludf.DUMMYFUNCTION("""COMPUTED_VALUE"""),46.5)</f>
        <v>46.5</v>
      </c>
      <c r="E374" s="1">
        <f>IFERROR(__xludf.DUMMYFUNCTION("""COMPUTED_VALUE"""),46.94)</f>
        <v>46.94</v>
      </c>
      <c r="F374" s="1">
        <f>IFERROR(__xludf.DUMMYFUNCTION("""COMPUTED_VALUE"""),1546181.0)</f>
        <v>1546181</v>
      </c>
      <c r="G374" s="2" t="s">
        <v>13</v>
      </c>
    </row>
    <row r="375">
      <c r="A375" s="3">
        <f>IFERROR(__xludf.DUMMYFUNCTION("""COMPUTED_VALUE"""),45093.73611111111)</f>
        <v>45093.73611</v>
      </c>
      <c r="B375" s="1">
        <f>IFERROR(__xludf.DUMMYFUNCTION("""COMPUTED_VALUE"""),47.04)</f>
        <v>47.04</v>
      </c>
      <c r="C375" s="1">
        <f>IFERROR(__xludf.DUMMYFUNCTION("""COMPUTED_VALUE"""),47.62)</f>
        <v>47.62</v>
      </c>
      <c r="D375" s="1">
        <f>IFERROR(__xludf.DUMMYFUNCTION("""COMPUTED_VALUE"""),46.97)</f>
        <v>46.97</v>
      </c>
      <c r="E375" s="1">
        <f>IFERROR(__xludf.DUMMYFUNCTION("""COMPUTED_VALUE"""),47.56)</f>
        <v>47.56</v>
      </c>
      <c r="F375" s="1">
        <f>IFERROR(__xludf.DUMMYFUNCTION("""COMPUTED_VALUE"""),1966428.0)</f>
        <v>1966428</v>
      </c>
      <c r="G375" s="2" t="s">
        <v>13</v>
      </c>
    </row>
    <row r="376">
      <c r="A376" s="3">
        <f>IFERROR(__xludf.DUMMYFUNCTION("""COMPUTED_VALUE"""),45096.73611111111)</f>
        <v>45096.73611</v>
      </c>
      <c r="B376" s="1">
        <f>IFERROR(__xludf.DUMMYFUNCTION("""COMPUTED_VALUE"""),47.48)</f>
        <v>47.48</v>
      </c>
      <c r="C376" s="1">
        <f>IFERROR(__xludf.DUMMYFUNCTION("""COMPUTED_VALUE"""),47.71)</f>
        <v>47.71</v>
      </c>
      <c r="D376" s="1">
        <f>IFERROR(__xludf.DUMMYFUNCTION("""COMPUTED_VALUE"""),47.16)</f>
        <v>47.16</v>
      </c>
      <c r="E376" s="1">
        <f>IFERROR(__xludf.DUMMYFUNCTION("""COMPUTED_VALUE"""),47.24)</f>
        <v>47.24</v>
      </c>
      <c r="F376" s="1">
        <f>IFERROR(__xludf.DUMMYFUNCTION("""COMPUTED_VALUE"""),642507.0)</f>
        <v>642507</v>
      </c>
      <c r="G376" s="2" t="s">
        <v>13</v>
      </c>
    </row>
    <row r="377">
      <c r="A377" s="3">
        <f>IFERROR(__xludf.DUMMYFUNCTION("""COMPUTED_VALUE"""),45097.73611111111)</f>
        <v>45097.73611</v>
      </c>
      <c r="B377" s="1">
        <f>IFERROR(__xludf.DUMMYFUNCTION("""COMPUTED_VALUE"""),47.1)</f>
        <v>47.1</v>
      </c>
      <c r="C377" s="1">
        <f>IFERROR(__xludf.DUMMYFUNCTION("""COMPUTED_VALUE"""),47.61)</f>
        <v>47.61</v>
      </c>
      <c r="D377" s="1">
        <f>IFERROR(__xludf.DUMMYFUNCTION("""COMPUTED_VALUE"""),47.08)</f>
        <v>47.08</v>
      </c>
      <c r="E377" s="1">
        <f>IFERROR(__xludf.DUMMYFUNCTION("""COMPUTED_VALUE"""),47.41)</f>
        <v>47.41</v>
      </c>
      <c r="F377" s="1">
        <f>IFERROR(__xludf.DUMMYFUNCTION("""COMPUTED_VALUE"""),920733.0)</f>
        <v>920733</v>
      </c>
      <c r="G377" s="2" t="s">
        <v>13</v>
      </c>
    </row>
    <row r="378">
      <c r="A378" s="3">
        <f>IFERROR(__xludf.DUMMYFUNCTION("""COMPUTED_VALUE"""),45098.73611111111)</f>
        <v>45098.73611</v>
      </c>
      <c r="B378" s="1">
        <f>IFERROR(__xludf.DUMMYFUNCTION("""COMPUTED_VALUE"""),47.04)</f>
        <v>47.04</v>
      </c>
      <c r="C378" s="1">
        <f>IFERROR(__xludf.DUMMYFUNCTION("""COMPUTED_VALUE"""),47.44)</f>
        <v>47.44</v>
      </c>
      <c r="D378" s="1">
        <f>IFERROR(__xludf.DUMMYFUNCTION("""COMPUTED_VALUE"""),47.03)</f>
        <v>47.03</v>
      </c>
      <c r="E378" s="1">
        <f>IFERROR(__xludf.DUMMYFUNCTION("""COMPUTED_VALUE"""),47.34)</f>
        <v>47.34</v>
      </c>
      <c r="F378" s="1">
        <f>IFERROR(__xludf.DUMMYFUNCTION("""COMPUTED_VALUE"""),824720.0)</f>
        <v>824720</v>
      </c>
      <c r="G378" s="2" t="s">
        <v>13</v>
      </c>
    </row>
    <row r="379">
      <c r="A379" s="3">
        <f>IFERROR(__xludf.DUMMYFUNCTION("""COMPUTED_VALUE"""),45099.73611111111)</f>
        <v>45099.73611</v>
      </c>
      <c r="B379" s="1">
        <f>IFERROR(__xludf.DUMMYFUNCTION("""COMPUTED_VALUE"""),46.96)</f>
        <v>46.96</v>
      </c>
      <c r="C379" s="1">
        <f>IFERROR(__xludf.DUMMYFUNCTION("""COMPUTED_VALUE"""),47.18)</f>
        <v>47.18</v>
      </c>
      <c r="D379" s="1">
        <f>IFERROR(__xludf.DUMMYFUNCTION("""COMPUTED_VALUE"""),46.67)</f>
        <v>46.67</v>
      </c>
      <c r="E379" s="1">
        <f>IFERROR(__xludf.DUMMYFUNCTION("""COMPUTED_VALUE"""),47.18)</f>
        <v>47.18</v>
      </c>
      <c r="F379" s="1">
        <f>IFERROR(__xludf.DUMMYFUNCTION("""COMPUTED_VALUE"""),1214422.0)</f>
        <v>1214422</v>
      </c>
      <c r="G379" s="2" t="s">
        <v>13</v>
      </c>
    </row>
    <row r="380">
      <c r="A380" s="3">
        <f>IFERROR(__xludf.DUMMYFUNCTION("""COMPUTED_VALUE"""),45100.73611111111)</f>
        <v>45100.73611</v>
      </c>
      <c r="B380" s="1">
        <f>IFERROR(__xludf.DUMMYFUNCTION("""COMPUTED_VALUE"""),47.26)</f>
        <v>47.26</v>
      </c>
      <c r="C380" s="1">
        <f>IFERROR(__xludf.DUMMYFUNCTION("""COMPUTED_VALUE"""),47.77)</f>
        <v>47.77</v>
      </c>
      <c r="D380" s="1">
        <f>IFERROR(__xludf.DUMMYFUNCTION("""COMPUTED_VALUE"""),47.26)</f>
        <v>47.26</v>
      </c>
      <c r="E380" s="1">
        <f>IFERROR(__xludf.DUMMYFUNCTION("""COMPUTED_VALUE"""),47.77)</f>
        <v>47.77</v>
      </c>
      <c r="F380" s="1">
        <f>IFERROR(__xludf.DUMMYFUNCTION("""COMPUTED_VALUE"""),1876780.0)</f>
        <v>1876780</v>
      </c>
      <c r="G380" s="2" t="s">
        <v>13</v>
      </c>
    </row>
    <row r="381">
      <c r="A381" s="3">
        <f>IFERROR(__xludf.DUMMYFUNCTION("""COMPUTED_VALUE"""),45103.73611111111)</f>
        <v>45103.73611</v>
      </c>
      <c r="B381" s="1">
        <f>IFERROR(__xludf.DUMMYFUNCTION("""COMPUTED_VALUE"""),47.58)</f>
        <v>47.58</v>
      </c>
      <c r="C381" s="1">
        <f>IFERROR(__xludf.DUMMYFUNCTION("""COMPUTED_VALUE"""),47.66)</f>
        <v>47.66</v>
      </c>
      <c r="D381" s="1">
        <f>IFERROR(__xludf.DUMMYFUNCTION("""COMPUTED_VALUE"""),47.19)</f>
        <v>47.19</v>
      </c>
      <c r="E381" s="1">
        <f>IFERROR(__xludf.DUMMYFUNCTION("""COMPUTED_VALUE"""),47.31)</f>
        <v>47.31</v>
      </c>
      <c r="F381" s="1">
        <f>IFERROR(__xludf.DUMMYFUNCTION("""COMPUTED_VALUE"""),1322171.0)</f>
        <v>1322171</v>
      </c>
      <c r="G381" s="2" t="s">
        <v>13</v>
      </c>
    </row>
    <row r="382">
      <c r="A382" s="3">
        <f>IFERROR(__xludf.DUMMYFUNCTION("""COMPUTED_VALUE"""),45104.73611111111)</f>
        <v>45104.73611</v>
      </c>
      <c r="B382" s="1">
        <f>IFERROR(__xludf.DUMMYFUNCTION("""COMPUTED_VALUE"""),47.33)</f>
        <v>47.33</v>
      </c>
      <c r="C382" s="1">
        <f>IFERROR(__xludf.DUMMYFUNCTION("""COMPUTED_VALUE"""),47.44)</f>
        <v>47.44</v>
      </c>
      <c r="D382" s="1">
        <f>IFERROR(__xludf.DUMMYFUNCTION("""COMPUTED_VALUE"""),47.16)</f>
        <v>47.16</v>
      </c>
      <c r="E382" s="1">
        <f>IFERROR(__xludf.DUMMYFUNCTION("""COMPUTED_VALUE"""),47.36)</f>
        <v>47.36</v>
      </c>
      <c r="F382" s="1">
        <f>IFERROR(__xludf.DUMMYFUNCTION("""COMPUTED_VALUE"""),904694.0)</f>
        <v>904694</v>
      </c>
      <c r="G382" s="2" t="s">
        <v>13</v>
      </c>
    </row>
    <row r="383">
      <c r="A383" s="3">
        <f>IFERROR(__xludf.DUMMYFUNCTION("""COMPUTED_VALUE"""),45105.73611111111)</f>
        <v>45105.73611</v>
      </c>
      <c r="B383" s="1">
        <f>IFERROR(__xludf.DUMMYFUNCTION("""COMPUTED_VALUE"""),47.47)</f>
        <v>47.47</v>
      </c>
      <c r="C383" s="1">
        <f>IFERROR(__xludf.DUMMYFUNCTION("""COMPUTED_VALUE"""),47.58)</f>
        <v>47.58</v>
      </c>
      <c r="D383" s="1">
        <f>IFERROR(__xludf.DUMMYFUNCTION("""COMPUTED_VALUE"""),47.17)</f>
        <v>47.17</v>
      </c>
      <c r="E383" s="1">
        <f>IFERROR(__xludf.DUMMYFUNCTION("""COMPUTED_VALUE"""),47.37)</f>
        <v>47.37</v>
      </c>
      <c r="F383" s="1">
        <f>IFERROR(__xludf.DUMMYFUNCTION("""COMPUTED_VALUE"""),1015665.0)</f>
        <v>1015665</v>
      </c>
      <c r="G383" s="2" t="s">
        <v>13</v>
      </c>
    </row>
    <row r="384">
      <c r="A384" s="3">
        <f>IFERROR(__xludf.DUMMYFUNCTION("""COMPUTED_VALUE"""),45106.73611111111)</f>
        <v>45106.73611</v>
      </c>
      <c r="B384" s="1">
        <f>IFERROR(__xludf.DUMMYFUNCTION("""COMPUTED_VALUE"""),47.51)</f>
        <v>47.51</v>
      </c>
      <c r="C384" s="1">
        <f>IFERROR(__xludf.DUMMYFUNCTION("""COMPUTED_VALUE"""),47.55)</f>
        <v>47.55</v>
      </c>
      <c r="D384" s="1">
        <f>IFERROR(__xludf.DUMMYFUNCTION("""COMPUTED_VALUE"""),47.23)</f>
        <v>47.23</v>
      </c>
      <c r="E384" s="1">
        <f>IFERROR(__xludf.DUMMYFUNCTION("""COMPUTED_VALUE"""),47.32)</f>
        <v>47.32</v>
      </c>
      <c r="F384" s="1">
        <f>IFERROR(__xludf.DUMMYFUNCTION("""COMPUTED_VALUE"""),698451.0)</f>
        <v>698451</v>
      </c>
      <c r="G384" s="2" t="s">
        <v>13</v>
      </c>
    </row>
    <row r="385">
      <c r="A385" s="3">
        <f>IFERROR(__xludf.DUMMYFUNCTION("""COMPUTED_VALUE"""),45107.73611111111)</f>
        <v>45107.73611</v>
      </c>
      <c r="B385" s="1">
        <f>IFERROR(__xludf.DUMMYFUNCTION("""COMPUTED_VALUE"""),47.42)</f>
        <v>47.42</v>
      </c>
      <c r="C385" s="1">
        <f>IFERROR(__xludf.DUMMYFUNCTION("""COMPUTED_VALUE"""),47.87)</f>
        <v>47.87</v>
      </c>
      <c r="D385" s="1">
        <f>IFERROR(__xludf.DUMMYFUNCTION("""COMPUTED_VALUE"""),47.32)</f>
        <v>47.32</v>
      </c>
      <c r="E385" s="1">
        <f>IFERROR(__xludf.DUMMYFUNCTION("""COMPUTED_VALUE"""),47.71)</f>
        <v>47.71</v>
      </c>
      <c r="F385" s="1">
        <f>IFERROR(__xludf.DUMMYFUNCTION("""COMPUTED_VALUE"""),1480956.0)</f>
        <v>1480956</v>
      </c>
      <c r="G385" s="2" t="s">
        <v>13</v>
      </c>
    </row>
    <row r="386">
      <c r="A386" s="3">
        <f>IFERROR(__xludf.DUMMYFUNCTION("""COMPUTED_VALUE"""),45110.73611111111)</f>
        <v>45110.73611</v>
      </c>
      <c r="B386" s="1">
        <f>IFERROR(__xludf.DUMMYFUNCTION("""COMPUTED_VALUE"""),47.7)</f>
        <v>47.7</v>
      </c>
      <c r="C386" s="1">
        <f>IFERROR(__xludf.DUMMYFUNCTION("""COMPUTED_VALUE"""),48.11)</f>
        <v>48.11</v>
      </c>
      <c r="D386" s="1">
        <f>IFERROR(__xludf.DUMMYFUNCTION("""COMPUTED_VALUE"""),47.55)</f>
        <v>47.55</v>
      </c>
      <c r="E386" s="1">
        <f>IFERROR(__xludf.DUMMYFUNCTION("""COMPUTED_VALUE"""),47.85)</f>
        <v>47.85</v>
      </c>
      <c r="F386" s="1">
        <f>IFERROR(__xludf.DUMMYFUNCTION("""COMPUTED_VALUE"""),1021079.0)</f>
        <v>1021079</v>
      </c>
      <c r="G386" s="2" t="s">
        <v>13</v>
      </c>
    </row>
    <row r="387">
      <c r="A387" s="3">
        <f>IFERROR(__xludf.DUMMYFUNCTION("""COMPUTED_VALUE"""),45111.73611111111)</f>
        <v>45111.73611</v>
      </c>
      <c r="B387" s="1">
        <f>IFERROR(__xludf.DUMMYFUNCTION("""COMPUTED_VALUE"""),48.03)</f>
        <v>48.03</v>
      </c>
      <c r="C387" s="1">
        <f>IFERROR(__xludf.DUMMYFUNCTION("""COMPUTED_VALUE"""),48.1)</f>
        <v>48.1</v>
      </c>
      <c r="D387" s="1">
        <f>IFERROR(__xludf.DUMMYFUNCTION("""COMPUTED_VALUE"""),47.68)</f>
        <v>47.68</v>
      </c>
      <c r="E387" s="1">
        <f>IFERROR(__xludf.DUMMYFUNCTION("""COMPUTED_VALUE"""),47.68)</f>
        <v>47.68</v>
      </c>
      <c r="F387" s="1">
        <f>IFERROR(__xludf.DUMMYFUNCTION("""COMPUTED_VALUE"""),698239.0)</f>
        <v>698239</v>
      </c>
      <c r="G387" s="2" t="s">
        <v>13</v>
      </c>
    </row>
    <row r="388">
      <c r="A388" s="3">
        <f>IFERROR(__xludf.DUMMYFUNCTION("""COMPUTED_VALUE"""),45112.73611111111)</f>
        <v>45112.73611</v>
      </c>
      <c r="B388" s="1">
        <f>IFERROR(__xludf.DUMMYFUNCTION("""COMPUTED_VALUE"""),47.7)</f>
        <v>47.7</v>
      </c>
      <c r="C388" s="1">
        <f>IFERROR(__xludf.DUMMYFUNCTION("""COMPUTED_VALUE"""),47.89)</f>
        <v>47.89</v>
      </c>
      <c r="D388" s="1">
        <f>IFERROR(__xludf.DUMMYFUNCTION("""COMPUTED_VALUE"""),47.59)</f>
        <v>47.59</v>
      </c>
      <c r="E388" s="1">
        <f>IFERROR(__xludf.DUMMYFUNCTION("""COMPUTED_VALUE"""),47.69)</f>
        <v>47.69</v>
      </c>
      <c r="F388" s="1">
        <f>IFERROR(__xludf.DUMMYFUNCTION("""COMPUTED_VALUE"""),970371.0)</f>
        <v>970371</v>
      </c>
      <c r="G388" s="2" t="s">
        <v>13</v>
      </c>
    </row>
    <row r="389">
      <c r="A389" s="3">
        <f>IFERROR(__xludf.DUMMYFUNCTION("""COMPUTED_VALUE"""),45113.73611111111)</f>
        <v>45113.73611</v>
      </c>
      <c r="B389" s="1">
        <f>IFERROR(__xludf.DUMMYFUNCTION("""COMPUTED_VALUE"""),47.67)</f>
        <v>47.67</v>
      </c>
      <c r="C389" s="1">
        <f>IFERROR(__xludf.DUMMYFUNCTION("""COMPUTED_VALUE"""),47.76)</f>
        <v>47.76</v>
      </c>
      <c r="D389" s="1">
        <f>IFERROR(__xludf.DUMMYFUNCTION("""COMPUTED_VALUE"""),47.06)</f>
        <v>47.06</v>
      </c>
      <c r="E389" s="1">
        <f>IFERROR(__xludf.DUMMYFUNCTION("""COMPUTED_VALUE"""),47.2)</f>
        <v>47.2</v>
      </c>
      <c r="F389" s="1">
        <f>IFERROR(__xludf.DUMMYFUNCTION("""COMPUTED_VALUE"""),1402493.0)</f>
        <v>1402493</v>
      </c>
      <c r="G389" s="2" t="s">
        <v>13</v>
      </c>
    </row>
    <row r="390">
      <c r="A390" s="3">
        <f>IFERROR(__xludf.DUMMYFUNCTION("""COMPUTED_VALUE"""),45114.73611111111)</f>
        <v>45114.73611</v>
      </c>
      <c r="B390" s="1">
        <f>IFERROR(__xludf.DUMMYFUNCTION("""COMPUTED_VALUE"""),47.02)</f>
        <v>47.02</v>
      </c>
      <c r="C390" s="1">
        <f>IFERROR(__xludf.DUMMYFUNCTION("""COMPUTED_VALUE"""),47.12)</f>
        <v>47.12</v>
      </c>
      <c r="D390" s="1">
        <f>IFERROR(__xludf.DUMMYFUNCTION("""COMPUTED_VALUE"""),46.71)</f>
        <v>46.71</v>
      </c>
      <c r="E390" s="1">
        <f>IFERROR(__xludf.DUMMYFUNCTION("""COMPUTED_VALUE"""),46.77)</f>
        <v>46.77</v>
      </c>
      <c r="F390" s="1">
        <f>IFERROR(__xludf.DUMMYFUNCTION("""COMPUTED_VALUE"""),1002191.0)</f>
        <v>1002191</v>
      </c>
      <c r="G390" s="2" t="s">
        <v>13</v>
      </c>
    </row>
    <row r="391">
      <c r="A391" s="3">
        <f>IFERROR(__xludf.DUMMYFUNCTION("""COMPUTED_VALUE"""),45117.73611111111)</f>
        <v>45117.73611</v>
      </c>
      <c r="B391" s="1">
        <f>IFERROR(__xludf.DUMMYFUNCTION("""COMPUTED_VALUE"""),46.64)</f>
        <v>46.64</v>
      </c>
      <c r="C391" s="1">
        <f>IFERROR(__xludf.DUMMYFUNCTION("""COMPUTED_VALUE"""),46.79)</f>
        <v>46.79</v>
      </c>
      <c r="D391" s="1">
        <f>IFERROR(__xludf.DUMMYFUNCTION("""COMPUTED_VALUE"""),46.51)</f>
        <v>46.51</v>
      </c>
      <c r="E391" s="1">
        <f>IFERROR(__xludf.DUMMYFUNCTION("""COMPUTED_VALUE"""),46.65)</f>
        <v>46.65</v>
      </c>
      <c r="F391" s="1">
        <f>IFERROR(__xludf.DUMMYFUNCTION("""COMPUTED_VALUE"""),800463.0)</f>
        <v>800463</v>
      </c>
      <c r="G391" s="2" t="s">
        <v>13</v>
      </c>
    </row>
    <row r="392">
      <c r="A392" s="3">
        <f>IFERROR(__xludf.DUMMYFUNCTION("""COMPUTED_VALUE"""),45118.73611111111)</f>
        <v>45118.73611</v>
      </c>
      <c r="B392" s="1">
        <f>IFERROR(__xludf.DUMMYFUNCTION("""COMPUTED_VALUE"""),46.6)</f>
        <v>46.6</v>
      </c>
      <c r="C392" s="1">
        <f>IFERROR(__xludf.DUMMYFUNCTION("""COMPUTED_VALUE"""),46.76)</f>
        <v>46.76</v>
      </c>
      <c r="D392" s="1">
        <f>IFERROR(__xludf.DUMMYFUNCTION("""COMPUTED_VALUE"""),46.37)</f>
        <v>46.37</v>
      </c>
      <c r="E392" s="1">
        <f>IFERROR(__xludf.DUMMYFUNCTION("""COMPUTED_VALUE"""),46.44)</f>
        <v>46.44</v>
      </c>
      <c r="F392" s="1">
        <f>IFERROR(__xludf.DUMMYFUNCTION("""COMPUTED_VALUE"""),1239596.0)</f>
        <v>1239596</v>
      </c>
      <c r="G392" s="2" t="s">
        <v>13</v>
      </c>
    </row>
    <row r="393">
      <c r="A393" s="3">
        <f>IFERROR(__xludf.DUMMYFUNCTION("""COMPUTED_VALUE"""),45119.73611111111)</f>
        <v>45119.73611</v>
      </c>
      <c r="B393" s="1">
        <f>IFERROR(__xludf.DUMMYFUNCTION("""COMPUTED_VALUE"""),46.38)</f>
        <v>46.38</v>
      </c>
      <c r="C393" s="1">
        <f>IFERROR(__xludf.DUMMYFUNCTION("""COMPUTED_VALUE"""),46.81)</f>
        <v>46.81</v>
      </c>
      <c r="D393" s="1">
        <f>IFERROR(__xludf.DUMMYFUNCTION("""COMPUTED_VALUE"""),46.35)</f>
        <v>46.35</v>
      </c>
      <c r="E393" s="1">
        <f>IFERROR(__xludf.DUMMYFUNCTION("""COMPUTED_VALUE"""),46.56)</f>
        <v>46.56</v>
      </c>
      <c r="F393" s="1">
        <f>IFERROR(__xludf.DUMMYFUNCTION("""COMPUTED_VALUE"""),1526608.0)</f>
        <v>1526608</v>
      </c>
      <c r="G393" s="2" t="s">
        <v>13</v>
      </c>
    </row>
    <row r="394">
      <c r="A394" s="3">
        <f>IFERROR(__xludf.DUMMYFUNCTION("""COMPUTED_VALUE"""),45120.73611111111)</f>
        <v>45120.73611</v>
      </c>
      <c r="B394" s="1">
        <f>IFERROR(__xludf.DUMMYFUNCTION("""COMPUTED_VALUE"""),46.5)</f>
        <v>46.5</v>
      </c>
      <c r="C394" s="1">
        <f>IFERROR(__xludf.DUMMYFUNCTION("""COMPUTED_VALUE"""),46.64)</f>
        <v>46.64</v>
      </c>
      <c r="D394" s="1">
        <f>IFERROR(__xludf.DUMMYFUNCTION("""COMPUTED_VALUE"""),46.33)</f>
        <v>46.33</v>
      </c>
      <c r="E394" s="1">
        <f>IFERROR(__xludf.DUMMYFUNCTION("""COMPUTED_VALUE"""),46.43)</f>
        <v>46.43</v>
      </c>
      <c r="F394" s="1">
        <f>IFERROR(__xludf.DUMMYFUNCTION("""COMPUTED_VALUE"""),1023617.0)</f>
        <v>1023617</v>
      </c>
      <c r="G394" s="2" t="s">
        <v>13</v>
      </c>
    </row>
    <row r="395">
      <c r="A395" s="3">
        <f>IFERROR(__xludf.DUMMYFUNCTION("""COMPUTED_VALUE"""),45121.73611111111)</f>
        <v>45121.73611</v>
      </c>
      <c r="B395" s="1">
        <f>IFERROR(__xludf.DUMMYFUNCTION("""COMPUTED_VALUE"""),46.57)</f>
        <v>46.57</v>
      </c>
      <c r="C395" s="1">
        <f>IFERROR(__xludf.DUMMYFUNCTION("""COMPUTED_VALUE"""),46.77)</f>
        <v>46.77</v>
      </c>
      <c r="D395" s="1">
        <f>IFERROR(__xludf.DUMMYFUNCTION("""COMPUTED_VALUE"""),46.47)</f>
        <v>46.47</v>
      </c>
      <c r="E395" s="1">
        <f>IFERROR(__xludf.DUMMYFUNCTION("""COMPUTED_VALUE"""),46.59)</f>
        <v>46.59</v>
      </c>
      <c r="F395" s="1">
        <f>IFERROR(__xludf.DUMMYFUNCTION("""COMPUTED_VALUE"""),982365.0)</f>
        <v>982365</v>
      </c>
      <c r="G395" s="2" t="s">
        <v>13</v>
      </c>
    </row>
    <row r="396">
      <c r="A396" s="3">
        <f>IFERROR(__xludf.DUMMYFUNCTION("""COMPUTED_VALUE"""),45124.73611111111)</f>
        <v>45124.73611</v>
      </c>
      <c r="B396" s="1">
        <f>IFERROR(__xludf.DUMMYFUNCTION("""COMPUTED_VALUE"""),46.61)</f>
        <v>46.61</v>
      </c>
      <c r="C396" s="1">
        <f>IFERROR(__xludf.DUMMYFUNCTION("""COMPUTED_VALUE"""),46.96)</f>
        <v>46.96</v>
      </c>
      <c r="D396" s="1">
        <f>IFERROR(__xludf.DUMMYFUNCTION("""COMPUTED_VALUE"""),46.61)</f>
        <v>46.61</v>
      </c>
      <c r="E396" s="1">
        <f>IFERROR(__xludf.DUMMYFUNCTION("""COMPUTED_VALUE"""),46.78)</f>
        <v>46.78</v>
      </c>
      <c r="F396" s="1">
        <f>IFERROR(__xludf.DUMMYFUNCTION("""COMPUTED_VALUE"""),593993.0)</f>
        <v>593993</v>
      </c>
      <c r="G396" s="2" t="s">
        <v>13</v>
      </c>
    </row>
    <row r="397">
      <c r="A397" s="3">
        <f>IFERROR(__xludf.DUMMYFUNCTION("""COMPUTED_VALUE"""),45125.73611111111)</f>
        <v>45125.73611</v>
      </c>
      <c r="B397" s="1">
        <f>IFERROR(__xludf.DUMMYFUNCTION("""COMPUTED_VALUE"""),46.5)</f>
        <v>46.5</v>
      </c>
      <c r="C397" s="1">
        <f>IFERROR(__xludf.DUMMYFUNCTION("""COMPUTED_VALUE"""),46.79)</f>
        <v>46.79</v>
      </c>
      <c r="D397" s="1">
        <f>IFERROR(__xludf.DUMMYFUNCTION("""COMPUTED_VALUE"""),46.5)</f>
        <v>46.5</v>
      </c>
      <c r="E397" s="1">
        <f>IFERROR(__xludf.DUMMYFUNCTION("""COMPUTED_VALUE"""),46.75)</f>
        <v>46.75</v>
      </c>
      <c r="F397" s="1">
        <f>IFERROR(__xludf.DUMMYFUNCTION("""COMPUTED_VALUE"""),845015.0)</f>
        <v>845015</v>
      </c>
      <c r="G397" s="2" t="s">
        <v>13</v>
      </c>
    </row>
    <row r="398">
      <c r="A398" s="3">
        <f>IFERROR(__xludf.DUMMYFUNCTION("""COMPUTED_VALUE"""),45126.73611111111)</f>
        <v>45126.73611</v>
      </c>
      <c r="B398" s="1">
        <f>IFERROR(__xludf.DUMMYFUNCTION("""COMPUTED_VALUE"""),46.78)</f>
        <v>46.78</v>
      </c>
      <c r="C398" s="1">
        <f>IFERROR(__xludf.DUMMYFUNCTION("""COMPUTED_VALUE"""),47.34)</f>
        <v>47.34</v>
      </c>
      <c r="D398" s="1">
        <f>IFERROR(__xludf.DUMMYFUNCTION("""COMPUTED_VALUE"""),46.72)</f>
        <v>46.72</v>
      </c>
      <c r="E398" s="1">
        <f>IFERROR(__xludf.DUMMYFUNCTION("""COMPUTED_VALUE"""),47.03)</f>
        <v>47.03</v>
      </c>
      <c r="F398" s="1">
        <f>IFERROR(__xludf.DUMMYFUNCTION("""COMPUTED_VALUE"""),1501377.0)</f>
        <v>1501377</v>
      </c>
      <c r="G398" s="2" t="s">
        <v>13</v>
      </c>
    </row>
    <row r="399">
      <c r="A399" s="3">
        <f>IFERROR(__xludf.DUMMYFUNCTION("""COMPUTED_VALUE"""),45127.73611111111)</f>
        <v>45127.73611</v>
      </c>
      <c r="B399" s="1">
        <f>IFERROR(__xludf.DUMMYFUNCTION("""COMPUTED_VALUE"""),46.96)</f>
        <v>46.96</v>
      </c>
      <c r="C399" s="1">
        <f>IFERROR(__xludf.DUMMYFUNCTION("""COMPUTED_VALUE"""),47.07)</f>
        <v>47.07</v>
      </c>
      <c r="D399" s="1">
        <f>IFERROR(__xludf.DUMMYFUNCTION("""COMPUTED_VALUE"""),46.28)</f>
        <v>46.28</v>
      </c>
      <c r="E399" s="1">
        <f>IFERROR(__xludf.DUMMYFUNCTION("""COMPUTED_VALUE"""),46.74)</f>
        <v>46.74</v>
      </c>
      <c r="F399" s="1">
        <f>IFERROR(__xludf.DUMMYFUNCTION("""COMPUTED_VALUE"""),1845277.0)</f>
        <v>1845277</v>
      </c>
      <c r="G399" s="2" t="s">
        <v>13</v>
      </c>
    </row>
    <row r="400">
      <c r="A400" s="3">
        <f>IFERROR(__xludf.DUMMYFUNCTION("""COMPUTED_VALUE"""),45128.73611111111)</f>
        <v>45128.73611</v>
      </c>
      <c r="B400" s="1">
        <f>IFERROR(__xludf.DUMMYFUNCTION("""COMPUTED_VALUE"""),46.96)</f>
        <v>46.96</v>
      </c>
      <c r="C400" s="1">
        <f>IFERROR(__xludf.DUMMYFUNCTION("""COMPUTED_VALUE"""),47.29)</f>
        <v>47.29</v>
      </c>
      <c r="D400" s="1">
        <f>IFERROR(__xludf.DUMMYFUNCTION("""COMPUTED_VALUE"""),46.76)</f>
        <v>46.76</v>
      </c>
      <c r="E400" s="1">
        <f>IFERROR(__xludf.DUMMYFUNCTION("""COMPUTED_VALUE"""),47.15)</f>
        <v>47.15</v>
      </c>
      <c r="F400" s="1">
        <f>IFERROR(__xludf.DUMMYFUNCTION("""COMPUTED_VALUE"""),1249853.0)</f>
        <v>1249853</v>
      </c>
      <c r="G400" s="2" t="s">
        <v>13</v>
      </c>
    </row>
    <row r="401">
      <c r="A401" s="3">
        <f>IFERROR(__xludf.DUMMYFUNCTION("""COMPUTED_VALUE"""),45131.73611111111)</f>
        <v>45131.73611</v>
      </c>
      <c r="B401" s="1">
        <f>IFERROR(__xludf.DUMMYFUNCTION("""COMPUTED_VALUE"""),47.02)</f>
        <v>47.02</v>
      </c>
      <c r="C401" s="1">
        <f>IFERROR(__xludf.DUMMYFUNCTION("""COMPUTED_VALUE"""),47.28)</f>
        <v>47.28</v>
      </c>
      <c r="D401" s="1">
        <f>IFERROR(__xludf.DUMMYFUNCTION("""COMPUTED_VALUE"""),46.03)</f>
        <v>46.03</v>
      </c>
      <c r="E401" s="1">
        <f>IFERROR(__xludf.DUMMYFUNCTION("""COMPUTED_VALUE"""),46.51)</f>
        <v>46.51</v>
      </c>
      <c r="F401" s="1">
        <f>IFERROR(__xludf.DUMMYFUNCTION("""COMPUTED_VALUE"""),1690745.0)</f>
        <v>1690745</v>
      </c>
      <c r="G401" s="2" t="s">
        <v>13</v>
      </c>
    </row>
    <row r="402">
      <c r="A402" s="3">
        <f>IFERROR(__xludf.DUMMYFUNCTION("""COMPUTED_VALUE"""),45132.73611111111)</f>
        <v>45132.73611</v>
      </c>
      <c r="B402" s="1">
        <f>IFERROR(__xludf.DUMMYFUNCTION("""COMPUTED_VALUE"""),48.25)</f>
        <v>48.25</v>
      </c>
      <c r="C402" s="1">
        <f>IFERROR(__xludf.DUMMYFUNCTION("""COMPUTED_VALUE"""),49.25)</f>
        <v>49.25</v>
      </c>
      <c r="D402" s="1">
        <f>IFERROR(__xludf.DUMMYFUNCTION("""COMPUTED_VALUE"""),48.25)</f>
        <v>48.25</v>
      </c>
      <c r="E402" s="1">
        <f>IFERROR(__xludf.DUMMYFUNCTION("""COMPUTED_VALUE"""),48.8)</f>
        <v>48.8</v>
      </c>
      <c r="F402" s="1">
        <f>IFERROR(__xludf.DUMMYFUNCTION("""COMPUTED_VALUE"""),3206965.0)</f>
        <v>3206965</v>
      </c>
      <c r="G402" s="2" t="s">
        <v>13</v>
      </c>
    </row>
    <row r="403">
      <c r="A403" s="3">
        <f>IFERROR(__xludf.DUMMYFUNCTION("""COMPUTED_VALUE"""),45133.73611111111)</f>
        <v>45133.73611</v>
      </c>
      <c r="B403" s="1">
        <f>IFERROR(__xludf.DUMMYFUNCTION("""COMPUTED_VALUE"""),48.91)</f>
        <v>48.91</v>
      </c>
      <c r="C403" s="1">
        <f>IFERROR(__xludf.DUMMYFUNCTION("""COMPUTED_VALUE"""),49.03)</f>
        <v>49.03</v>
      </c>
      <c r="D403" s="1">
        <f>IFERROR(__xludf.DUMMYFUNCTION("""COMPUTED_VALUE"""),48.49)</f>
        <v>48.49</v>
      </c>
      <c r="E403" s="1">
        <f>IFERROR(__xludf.DUMMYFUNCTION("""COMPUTED_VALUE"""),48.87)</f>
        <v>48.87</v>
      </c>
      <c r="F403" s="1">
        <f>IFERROR(__xludf.DUMMYFUNCTION("""COMPUTED_VALUE"""),1266473.0)</f>
        <v>1266473</v>
      </c>
      <c r="G403" s="2" t="s">
        <v>13</v>
      </c>
    </row>
    <row r="404">
      <c r="A404" s="3">
        <f>IFERROR(__xludf.DUMMYFUNCTION("""COMPUTED_VALUE"""),45134.73611111111)</f>
        <v>45134.73611</v>
      </c>
      <c r="B404" s="1">
        <f>IFERROR(__xludf.DUMMYFUNCTION("""COMPUTED_VALUE"""),49.0)</f>
        <v>49</v>
      </c>
      <c r="C404" s="1">
        <f>IFERROR(__xludf.DUMMYFUNCTION("""COMPUTED_VALUE"""),49.32)</f>
        <v>49.32</v>
      </c>
      <c r="D404" s="1">
        <f>IFERROR(__xludf.DUMMYFUNCTION("""COMPUTED_VALUE"""),48.8)</f>
        <v>48.8</v>
      </c>
      <c r="E404" s="1">
        <f>IFERROR(__xludf.DUMMYFUNCTION("""COMPUTED_VALUE"""),48.94)</f>
        <v>48.94</v>
      </c>
      <c r="F404" s="1">
        <f>IFERROR(__xludf.DUMMYFUNCTION("""COMPUTED_VALUE"""),1139694.0)</f>
        <v>1139694</v>
      </c>
      <c r="G404" s="2" t="s">
        <v>13</v>
      </c>
    </row>
    <row r="405">
      <c r="A405" s="3">
        <f>IFERROR(__xludf.DUMMYFUNCTION("""COMPUTED_VALUE"""),45135.73611111111)</f>
        <v>45135.73611</v>
      </c>
      <c r="B405" s="1">
        <f>IFERROR(__xludf.DUMMYFUNCTION("""COMPUTED_VALUE"""),48.62)</f>
        <v>48.62</v>
      </c>
      <c r="C405" s="1">
        <f>IFERROR(__xludf.DUMMYFUNCTION("""COMPUTED_VALUE"""),49.5)</f>
        <v>49.5</v>
      </c>
      <c r="D405" s="1">
        <f>IFERROR(__xludf.DUMMYFUNCTION("""COMPUTED_VALUE"""),48.62)</f>
        <v>48.62</v>
      </c>
      <c r="E405" s="1">
        <f>IFERROR(__xludf.DUMMYFUNCTION("""COMPUTED_VALUE"""),49.24)</f>
        <v>49.24</v>
      </c>
      <c r="F405" s="1">
        <f>IFERROR(__xludf.DUMMYFUNCTION("""COMPUTED_VALUE"""),1226321.0)</f>
        <v>1226321</v>
      </c>
      <c r="G405" s="2" t="s">
        <v>13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IFERROR(__xludf.DUMMYFUNCTION("GOOGLEFINANCE(""VOW3"",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IFERROR(__xludf.DUMMYFUNCTION("""COMPUTED_VALUE"""),178.0)</f>
        <v>178</v>
      </c>
      <c r="C2" s="1">
        <f>IFERROR(__xludf.DUMMYFUNCTION("""COMPUTED_VALUE"""),182.9)</f>
        <v>182.9</v>
      </c>
      <c r="D2" s="1">
        <f>IFERROR(__xludf.DUMMYFUNCTION("""COMPUTED_VALUE"""),177.4)</f>
        <v>177.4</v>
      </c>
      <c r="E2" s="1">
        <f>IFERROR(__xludf.DUMMYFUNCTION("""COMPUTED_VALUE"""),180.8)</f>
        <v>180.8</v>
      </c>
      <c r="F2" s="1">
        <f>IFERROR(__xludf.DUMMYFUNCTION("""COMPUTED_VALUE"""),945730.0)</f>
        <v>945730</v>
      </c>
      <c r="G2" s="2" t="s">
        <v>14</v>
      </c>
    </row>
    <row r="3">
      <c r="A3" s="3">
        <f>IFERROR(__xludf.DUMMYFUNCTION("""COMPUTED_VALUE"""),44565.72916666667)</f>
        <v>44565.72917</v>
      </c>
      <c r="B3" s="1">
        <f>IFERROR(__xludf.DUMMYFUNCTION("""COMPUTED_VALUE"""),181.84)</f>
        <v>181.84</v>
      </c>
      <c r="C3" s="1">
        <f>IFERROR(__xludf.DUMMYFUNCTION("""COMPUTED_VALUE"""),188.46)</f>
        <v>188.46</v>
      </c>
      <c r="D3" s="1">
        <f>IFERROR(__xludf.DUMMYFUNCTION("""COMPUTED_VALUE"""),181.6)</f>
        <v>181.6</v>
      </c>
      <c r="E3" s="1">
        <f>IFERROR(__xludf.DUMMYFUNCTION("""COMPUTED_VALUE"""),186.98)</f>
        <v>186.98</v>
      </c>
      <c r="F3" s="1">
        <f>IFERROR(__xludf.DUMMYFUNCTION("""COMPUTED_VALUE"""),1280483.0)</f>
        <v>1280483</v>
      </c>
      <c r="G3" s="2" t="s">
        <v>14</v>
      </c>
    </row>
    <row r="4">
      <c r="A4" s="3">
        <f>IFERROR(__xludf.DUMMYFUNCTION("""COMPUTED_VALUE"""),44566.72916666667)</f>
        <v>44566.72917</v>
      </c>
      <c r="B4" s="1">
        <f>IFERROR(__xludf.DUMMYFUNCTION("""COMPUTED_VALUE"""),187.28)</f>
        <v>187.28</v>
      </c>
      <c r="C4" s="1">
        <f>IFERROR(__xludf.DUMMYFUNCTION("""COMPUTED_VALUE"""),191.12)</f>
        <v>191.12</v>
      </c>
      <c r="D4" s="1">
        <f>IFERROR(__xludf.DUMMYFUNCTION("""COMPUTED_VALUE"""),187.16)</f>
        <v>187.16</v>
      </c>
      <c r="E4" s="1">
        <f>IFERROR(__xludf.DUMMYFUNCTION("""COMPUTED_VALUE"""),191.0)</f>
        <v>191</v>
      </c>
      <c r="F4" s="1">
        <f>IFERROR(__xludf.DUMMYFUNCTION("""COMPUTED_VALUE"""),997809.0)</f>
        <v>997809</v>
      </c>
      <c r="G4" s="2" t="s">
        <v>14</v>
      </c>
    </row>
    <row r="5">
      <c r="A5" s="3">
        <f>IFERROR(__xludf.DUMMYFUNCTION("""COMPUTED_VALUE"""),44567.72916666667)</f>
        <v>44567.72917</v>
      </c>
      <c r="B5" s="1">
        <f>IFERROR(__xludf.DUMMYFUNCTION("""COMPUTED_VALUE"""),187.3)</f>
        <v>187.3</v>
      </c>
      <c r="C5" s="1">
        <f>IFERROR(__xludf.DUMMYFUNCTION("""COMPUTED_VALUE"""),192.24)</f>
        <v>192.24</v>
      </c>
      <c r="D5" s="1">
        <f>IFERROR(__xludf.DUMMYFUNCTION("""COMPUTED_VALUE"""),186.98)</f>
        <v>186.98</v>
      </c>
      <c r="E5" s="1">
        <f>IFERROR(__xludf.DUMMYFUNCTION("""COMPUTED_VALUE"""),189.1)</f>
        <v>189.1</v>
      </c>
      <c r="F5" s="1">
        <f>IFERROR(__xludf.DUMMYFUNCTION("""COMPUTED_VALUE"""),888814.0)</f>
        <v>888814</v>
      </c>
      <c r="G5" s="2" t="s">
        <v>14</v>
      </c>
    </row>
    <row r="6">
      <c r="A6" s="3">
        <f>IFERROR(__xludf.DUMMYFUNCTION("""COMPUTED_VALUE"""),44568.72916666667)</f>
        <v>44568.72917</v>
      </c>
      <c r="B6" s="1">
        <f>IFERROR(__xludf.DUMMYFUNCTION("""COMPUTED_VALUE"""),189.72)</f>
        <v>189.72</v>
      </c>
      <c r="C6" s="1">
        <f>IFERROR(__xludf.DUMMYFUNCTION("""COMPUTED_VALUE"""),189.88)</f>
        <v>189.88</v>
      </c>
      <c r="D6" s="1">
        <f>IFERROR(__xludf.DUMMYFUNCTION("""COMPUTED_VALUE"""),186.3)</f>
        <v>186.3</v>
      </c>
      <c r="E6" s="1">
        <f>IFERROR(__xludf.DUMMYFUNCTION("""COMPUTED_VALUE"""),187.74)</f>
        <v>187.74</v>
      </c>
      <c r="F6" s="1">
        <f>IFERROR(__xludf.DUMMYFUNCTION("""COMPUTED_VALUE"""),775354.0)</f>
        <v>775354</v>
      </c>
      <c r="G6" s="2" t="s">
        <v>14</v>
      </c>
    </row>
    <row r="7">
      <c r="A7" s="3">
        <f>IFERROR(__xludf.DUMMYFUNCTION("""COMPUTED_VALUE"""),44571.72916666667)</f>
        <v>44571.72917</v>
      </c>
      <c r="B7" s="1">
        <f>IFERROR(__xludf.DUMMYFUNCTION("""COMPUTED_VALUE"""),189.0)</f>
        <v>189</v>
      </c>
      <c r="C7" s="1">
        <f>IFERROR(__xludf.DUMMYFUNCTION("""COMPUTED_VALUE"""),191.06)</f>
        <v>191.06</v>
      </c>
      <c r="D7" s="1">
        <f>IFERROR(__xludf.DUMMYFUNCTION("""COMPUTED_VALUE"""),186.18)</f>
        <v>186.18</v>
      </c>
      <c r="E7" s="1">
        <f>IFERROR(__xludf.DUMMYFUNCTION("""COMPUTED_VALUE"""),187.76)</f>
        <v>187.76</v>
      </c>
      <c r="F7" s="1">
        <f>IFERROR(__xludf.DUMMYFUNCTION("""COMPUTED_VALUE"""),900264.0)</f>
        <v>900264</v>
      </c>
      <c r="G7" s="2" t="s">
        <v>14</v>
      </c>
    </row>
    <row r="8">
      <c r="A8" s="3">
        <f>IFERROR(__xludf.DUMMYFUNCTION("""COMPUTED_VALUE"""),44572.72916666667)</f>
        <v>44572.72917</v>
      </c>
      <c r="B8" s="1">
        <f>IFERROR(__xludf.DUMMYFUNCTION("""COMPUTED_VALUE"""),189.0)</f>
        <v>189</v>
      </c>
      <c r="C8" s="1">
        <f>IFERROR(__xludf.DUMMYFUNCTION("""COMPUTED_VALUE"""),189.2)</f>
        <v>189.2</v>
      </c>
      <c r="D8" s="1">
        <f>IFERROR(__xludf.DUMMYFUNCTION("""COMPUTED_VALUE"""),186.12)</f>
        <v>186.12</v>
      </c>
      <c r="E8" s="1">
        <f>IFERROR(__xludf.DUMMYFUNCTION("""COMPUTED_VALUE"""),188.38)</f>
        <v>188.38</v>
      </c>
      <c r="F8" s="1">
        <f>IFERROR(__xludf.DUMMYFUNCTION("""COMPUTED_VALUE"""),655358.0)</f>
        <v>655358</v>
      </c>
      <c r="G8" s="2" t="s">
        <v>14</v>
      </c>
    </row>
    <row r="9">
      <c r="A9" s="3">
        <f>IFERROR(__xludf.DUMMYFUNCTION("""COMPUTED_VALUE"""),44573.72916666667)</f>
        <v>44573.72917</v>
      </c>
      <c r="B9" s="1">
        <f>IFERROR(__xludf.DUMMYFUNCTION("""COMPUTED_VALUE"""),189.9)</f>
        <v>189.9</v>
      </c>
      <c r="C9" s="1">
        <f>IFERROR(__xludf.DUMMYFUNCTION("""COMPUTED_VALUE"""),191.26)</f>
        <v>191.26</v>
      </c>
      <c r="D9" s="1">
        <f>IFERROR(__xludf.DUMMYFUNCTION("""COMPUTED_VALUE"""),187.62)</f>
        <v>187.62</v>
      </c>
      <c r="E9" s="1">
        <f>IFERROR(__xludf.DUMMYFUNCTION("""COMPUTED_VALUE"""),188.32)</f>
        <v>188.32</v>
      </c>
      <c r="F9" s="1">
        <f>IFERROR(__xludf.DUMMYFUNCTION("""COMPUTED_VALUE"""),874152.0)</f>
        <v>874152</v>
      </c>
      <c r="G9" s="2" t="s">
        <v>14</v>
      </c>
    </row>
    <row r="10">
      <c r="A10" s="3">
        <f>IFERROR(__xludf.DUMMYFUNCTION("""COMPUTED_VALUE"""),44574.72916666667)</f>
        <v>44574.72917</v>
      </c>
      <c r="B10" s="1">
        <f>IFERROR(__xludf.DUMMYFUNCTION("""COMPUTED_VALUE"""),187.8)</f>
        <v>187.8</v>
      </c>
      <c r="C10" s="1">
        <f>IFERROR(__xludf.DUMMYFUNCTION("""COMPUTED_VALUE"""),191.16)</f>
        <v>191.16</v>
      </c>
      <c r="D10" s="1">
        <f>IFERROR(__xludf.DUMMYFUNCTION("""COMPUTED_VALUE"""),186.2)</f>
        <v>186.2</v>
      </c>
      <c r="E10" s="1">
        <f>IFERROR(__xludf.DUMMYFUNCTION("""COMPUTED_VALUE"""),190.06)</f>
        <v>190.06</v>
      </c>
      <c r="F10" s="1">
        <f>IFERROR(__xludf.DUMMYFUNCTION("""COMPUTED_VALUE"""),1094322.0)</f>
        <v>1094322</v>
      </c>
      <c r="G10" s="2" t="s">
        <v>14</v>
      </c>
    </row>
    <row r="11">
      <c r="A11" s="3">
        <f>IFERROR(__xludf.DUMMYFUNCTION("""COMPUTED_VALUE"""),44575.72916666667)</f>
        <v>44575.72917</v>
      </c>
      <c r="B11" s="1">
        <f>IFERROR(__xludf.DUMMYFUNCTION("""COMPUTED_VALUE"""),190.64)</f>
        <v>190.64</v>
      </c>
      <c r="C11" s="1">
        <f>IFERROR(__xludf.DUMMYFUNCTION("""COMPUTED_VALUE"""),195.0)</f>
        <v>195</v>
      </c>
      <c r="D11" s="1">
        <f>IFERROR(__xludf.DUMMYFUNCTION("""COMPUTED_VALUE"""),190.1)</f>
        <v>190.1</v>
      </c>
      <c r="E11" s="1">
        <f>IFERROR(__xludf.DUMMYFUNCTION("""COMPUTED_VALUE"""),193.1)</f>
        <v>193.1</v>
      </c>
      <c r="F11" s="1">
        <f>IFERROR(__xludf.DUMMYFUNCTION("""COMPUTED_VALUE"""),1418704.0)</f>
        <v>1418704</v>
      </c>
      <c r="G11" s="2" t="s">
        <v>14</v>
      </c>
    </row>
    <row r="12">
      <c r="A12" s="3">
        <f>IFERROR(__xludf.DUMMYFUNCTION("""COMPUTED_VALUE"""),44578.72916666667)</f>
        <v>44578.72917</v>
      </c>
      <c r="B12" s="1">
        <f>IFERROR(__xludf.DUMMYFUNCTION("""COMPUTED_VALUE"""),194.74)</f>
        <v>194.74</v>
      </c>
      <c r="C12" s="1">
        <f>IFERROR(__xludf.DUMMYFUNCTION("""COMPUTED_VALUE"""),194.94)</f>
        <v>194.94</v>
      </c>
      <c r="D12" s="1">
        <f>IFERROR(__xludf.DUMMYFUNCTION("""COMPUTED_VALUE"""),190.64)</f>
        <v>190.64</v>
      </c>
      <c r="E12" s="1">
        <f>IFERROR(__xludf.DUMMYFUNCTION("""COMPUTED_VALUE"""),192.58)</f>
        <v>192.58</v>
      </c>
      <c r="F12" s="1">
        <f>IFERROR(__xludf.DUMMYFUNCTION("""COMPUTED_VALUE"""),664755.0)</f>
        <v>664755</v>
      </c>
      <c r="G12" s="2" t="s">
        <v>14</v>
      </c>
    </row>
    <row r="13">
      <c r="A13" s="3">
        <f>IFERROR(__xludf.DUMMYFUNCTION("""COMPUTED_VALUE"""),44579.72916666667)</f>
        <v>44579.72917</v>
      </c>
      <c r="B13" s="1">
        <f>IFERROR(__xludf.DUMMYFUNCTION("""COMPUTED_VALUE"""),191.1)</f>
        <v>191.1</v>
      </c>
      <c r="C13" s="1">
        <f>IFERROR(__xludf.DUMMYFUNCTION("""COMPUTED_VALUE"""),192.86)</f>
        <v>192.86</v>
      </c>
      <c r="D13" s="1">
        <f>IFERROR(__xludf.DUMMYFUNCTION("""COMPUTED_VALUE"""),188.38)</f>
        <v>188.38</v>
      </c>
      <c r="E13" s="1">
        <f>IFERROR(__xludf.DUMMYFUNCTION("""COMPUTED_VALUE"""),190.52)</f>
        <v>190.52</v>
      </c>
      <c r="F13" s="1">
        <f>IFERROR(__xludf.DUMMYFUNCTION("""COMPUTED_VALUE"""),789729.0)</f>
        <v>789729</v>
      </c>
      <c r="G13" s="2" t="s">
        <v>14</v>
      </c>
    </row>
    <row r="14">
      <c r="A14" s="3">
        <f>IFERROR(__xludf.DUMMYFUNCTION("""COMPUTED_VALUE"""),44580.72916666667)</f>
        <v>44580.72917</v>
      </c>
      <c r="B14" s="1">
        <f>IFERROR(__xludf.DUMMYFUNCTION("""COMPUTED_VALUE"""),189.04)</f>
        <v>189.04</v>
      </c>
      <c r="C14" s="1">
        <f>IFERROR(__xludf.DUMMYFUNCTION("""COMPUTED_VALUE"""),195.14)</f>
        <v>195.14</v>
      </c>
      <c r="D14" s="1">
        <f>IFERROR(__xludf.DUMMYFUNCTION("""COMPUTED_VALUE"""),188.06)</f>
        <v>188.06</v>
      </c>
      <c r="E14" s="1">
        <f>IFERROR(__xludf.DUMMYFUNCTION("""COMPUTED_VALUE"""),191.7)</f>
        <v>191.7</v>
      </c>
      <c r="F14" s="1">
        <f>IFERROR(__xludf.DUMMYFUNCTION("""COMPUTED_VALUE"""),1035857.0)</f>
        <v>1035857</v>
      </c>
      <c r="G14" s="2" t="s">
        <v>14</v>
      </c>
    </row>
    <row r="15">
      <c r="A15" s="3">
        <f>IFERROR(__xludf.DUMMYFUNCTION("""COMPUTED_VALUE"""),44581.72916666667)</f>
        <v>44581.72917</v>
      </c>
      <c r="B15" s="1">
        <f>IFERROR(__xludf.DUMMYFUNCTION("""COMPUTED_VALUE"""),191.62)</f>
        <v>191.62</v>
      </c>
      <c r="C15" s="1">
        <f>IFERROR(__xludf.DUMMYFUNCTION("""COMPUTED_VALUE"""),192.04)</f>
        <v>192.04</v>
      </c>
      <c r="D15" s="1">
        <f>IFERROR(__xludf.DUMMYFUNCTION("""COMPUTED_VALUE"""),188.82)</f>
        <v>188.82</v>
      </c>
      <c r="E15" s="1">
        <f>IFERROR(__xludf.DUMMYFUNCTION("""COMPUTED_VALUE"""),190.72)</f>
        <v>190.72</v>
      </c>
      <c r="F15" s="1">
        <f>IFERROR(__xludf.DUMMYFUNCTION("""COMPUTED_VALUE"""),774560.0)</f>
        <v>774560</v>
      </c>
      <c r="G15" s="2" t="s">
        <v>14</v>
      </c>
    </row>
    <row r="16">
      <c r="A16" s="3">
        <f>IFERROR(__xludf.DUMMYFUNCTION("""COMPUTED_VALUE"""),44582.72916666667)</f>
        <v>44582.72917</v>
      </c>
      <c r="B16" s="1">
        <f>IFERROR(__xludf.DUMMYFUNCTION("""COMPUTED_VALUE"""),188.0)</f>
        <v>188</v>
      </c>
      <c r="C16" s="1">
        <f>IFERROR(__xludf.DUMMYFUNCTION("""COMPUTED_VALUE"""),188.14)</f>
        <v>188.14</v>
      </c>
      <c r="D16" s="1">
        <f>IFERROR(__xludf.DUMMYFUNCTION("""COMPUTED_VALUE"""),184.44)</f>
        <v>184.44</v>
      </c>
      <c r="E16" s="1">
        <f>IFERROR(__xludf.DUMMYFUNCTION("""COMPUTED_VALUE"""),187.62)</f>
        <v>187.62</v>
      </c>
      <c r="F16" s="1">
        <f>IFERROR(__xludf.DUMMYFUNCTION("""COMPUTED_VALUE"""),1219489.0)</f>
        <v>1219489</v>
      </c>
      <c r="G16" s="2" t="s">
        <v>14</v>
      </c>
    </row>
    <row r="17">
      <c r="A17" s="3">
        <f>IFERROR(__xludf.DUMMYFUNCTION("""COMPUTED_VALUE"""),44585.72916666667)</f>
        <v>44585.72917</v>
      </c>
      <c r="B17" s="1">
        <f>IFERROR(__xludf.DUMMYFUNCTION("""COMPUTED_VALUE"""),185.5)</f>
        <v>185.5</v>
      </c>
      <c r="C17" s="1">
        <f>IFERROR(__xludf.DUMMYFUNCTION("""COMPUTED_VALUE"""),187.24)</f>
        <v>187.24</v>
      </c>
      <c r="D17" s="1">
        <f>IFERROR(__xludf.DUMMYFUNCTION("""COMPUTED_VALUE"""),175.52)</f>
        <v>175.52</v>
      </c>
      <c r="E17" s="1">
        <f>IFERROR(__xludf.DUMMYFUNCTION("""COMPUTED_VALUE"""),176.52)</f>
        <v>176.52</v>
      </c>
      <c r="F17" s="1">
        <f>IFERROR(__xludf.DUMMYFUNCTION("""COMPUTED_VALUE"""),1659950.0)</f>
        <v>1659950</v>
      </c>
      <c r="G17" s="2" t="s">
        <v>14</v>
      </c>
    </row>
    <row r="18">
      <c r="A18" s="3">
        <f>IFERROR(__xludf.DUMMYFUNCTION("""COMPUTED_VALUE"""),44586.72916666667)</f>
        <v>44586.72917</v>
      </c>
      <c r="B18" s="1">
        <f>IFERROR(__xludf.DUMMYFUNCTION("""COMPUTED_VALUE"""),178.7)</f>
        <v>178.7</v>
      </c>
      <c r="C18" s="1">
        <f>IFERROR(__xludf.DUMMYFUNCTION("""COMPUTED_VALUE"""),180.48)</f>
        <v>180.48</v>
      </c>
      <c r="D18" s="1">
        <f>IFERROR(__xludf.DUMMYFUNCTION("""COMPUTED_VALUE"""),175.34)</f>
        <v>175.34</v>
      </c>
      <c r="E18" s="1">
        <f>IFERROR(__xludf.DUMMYFUNCTION("""COMPUTED_VALUE"""),178.26)</f>
        <v>178.26</v>
      </c>
      <c r="F18" s="1">
        <f>IFERROR(__xludf.DUMMYFUNCTION("""COMPUTED_VALUE"""),1140861.0)</f>
        <v>1140861</v>
      </c>
      <c r="G18" s="2" t="s">
        <v>14</v>
      </c>
    </row>
    <row r="19">
      <c r="A19" s="3">
        <f>IFERROR(__xludf.DUMMYFUNCTION("""COMPUTED_VALUE"""),44587.72916666667)</f>
        <v>44587.72917</v>
      </c>
      <c r="B19" s="1">
        <f>IFERROR(__xludf.DUMMYFUNCTION("""COMPUTED_VALUE"""),179.5)</f>
        <v>179.5</v>
      </c>
      <c r="C19" s="1">
        <f>IFERROR(__xludf.DUMMYFUNCTION("""COMPUTED_VALUE"""),185.04)</f>
        <v>185.04</v>
      </c>
      <c r="D19" s="1">
        <f>IFERROR(__xludf.DUMMYFUNCTION("""COMPUTED_VALUE"""),179.38)</f>
        <v>179.38</v>
      </c>
      <c r="E19" s="1">
        <f>IFERROR(__xludf.DUMMYFUNCTION("""COMPUTED_VALUE"""),183.02)</f>
        <v>183.02</v>
      </c>
      <c r="F19" s="1">
        <f>IFERROR(__xludf.DUMMYFUNCTION("""COMPUTED_VALUE"""),985770.0)</f>
        <v>985770</v>
      </c>
      <c r="G19" s="2" t="s">
        <v>14</v>
      </c>
    </row>
    <row r="20">
      <c r="A20" s="3">
        <f>IFERROR(__xludf.DUMMYFUNCTION("""COMPUTED_VALUE"""),44588.72916666667)</f>
        <v>44588.72917</v>
      </c>
      <c r="B20" s="1">
        <f>IFERROR(__xludf.DUMMYFUNCTION("""COMPUTED_VALUE"""),179.9)</f>
        <v>179.9</v>
      </c>
      <c r="C20" s="1">
        <f>IFERROR(__xludf.DUMMYFUNCTION("""COMPUTED_VALUE"""),187.9)</f>
        <v>187.9</v>
      </c>
      <c r="D20" s="1">
        <f>IFERROR(__xludf.DUMMYFUNCTION("""COMPUTED_VALUE"""),179.54)</f>
        <v>179.54</v>
      </c>
      <c r="E20" s="1">
        <f>IFERROR(__xludf.DUMMYFUNCTION("""COMPUTED_VALUE"""),186.26)</f>
        <v>186.26</v>
      </c>
      <c r="F20" s="1">
        <f>IFERROR(__xludf.DUMMYFUNCTION("""COMPUTED_VALUE"""),1151764.0)</f>
        <v>1151764</v>
      </c>
      <c r="G20" s="2" t="s">
        <v>14</v>
      </c>
    </row>
    <row r="21">
      <c r="A21" s="3">
        <f>IFERROR(__xludf.DUMMYFUNCTION("""COMPUTED_VALUE"""),44589.72916666667)</f>
        <v>44589.72917</v>
      </c>
      <c r="B21" s="1">
        <f>IFERROR(__xludf.DUMMYFUNCTION("""COMPUTED_VALUE"""),186.82)</f>
        <v>186.82</v>
      </c>
      <c r="C21" s="1">
        <f>IFERROR(__xludf.DUMMYFUNCTION("""COMPUTED_VALUE"""),186.82)</f>
        <v>186.82</v>
      </c>
      <c r="D21" s="1">
        <f>IFERROR(__xludf.DUMMYFUNCTION("""COMPUTED_VALUE"""),181.14)</f>
        <v>181.14</v>
      </c>
      <c r="E21" s="1">
        <f>IFERROR(__xludf.DUMMYFUNCTION("""COMPUTED_VALUE"""),183.6)</f>
        <v>183.6</v>
      </c>
      <c r="F21" s="1">
        <f>IFERROR(__xludf.DUMMYFUNCTION("""COMPUTED_VALUE"""),988976.0)</f>
        <v>988976</v>
      </c>
      <c r="G21" s="2" t="s">
        <v>14</v>
      </c>
    </row>
    <row r="22">
      <c r="A22" s="3">
        <f>IFERROR(__xludf.DUMMYFUNCTION("""COMPUTED_VALUE"""),44592.72916666667)</f>
        <v>44592.72917</v>
      </c>
      <c r="B22" s="1">
        <f>IFERROR(__xludf.DUMMYFUNCTION("""COMPUTED_VALUE"""),185.66)</f>
        <v>185.66</v>
      </c>
      <c r="C22" s="1">
        <f>IFERROR(__xludf.DUMMYFUNCTION("""COMPUTED_VALUE"""),186.16)</f>
        <v>186.16</v>
      </c>
      <c r="D22" s="1">
        <f>IFERROR(__xludf.DUMMYFUNCTION("""COMPUTED_VALUE"""),181.38)</f>
        <v>181.38</v>
      </c>
      <c r="E22" s="1">
        <f>IFERROR(__xludf.DUMMYFUNCTION("""COMPUTED_VALUE"""),183.32)</f>
        <v>183.32</v>
      </c>
      <c r="F22" s="1">
        <f>IFERROR(__xludf.DUMMYFUNCTION("""COMPUTED_VALUE"""),880263.0)</f>
        <v>880263</v>
      </c>
      <c r="G22" s="2" t="s">
        <v>14</v>
      </c>
    </row>
    <row r="23">
      <c r="A23" s="3">
        <f>IFERROR(__xludf.DUMMYFUNCTION("""COMPUTED_VALUE"""),44593.72916666667)</f>
        <v>44593.72917</v>
      </c>
      <c r="B23" s="1">
        <f>IFERROR(__xludf.DUMMYFUNCTION("""COMPUTED_VALUE"""),184.02)</f>
        <v>184.02</v>
      </c>
      <c r="C23" s="1">
        <f>IFERROR(__xludf.DUMMYFUNCTION("""COMPUTED_VALUE"""),186.44)</f>
        <v>186.44</v>
      </c>
      <c r="D23" s="1">
        <f>IFERROR(__xludf.DUMMYFUNCTION("""COMPUTED_VALUE"""),183.6)</f>
        <v>183.6</v>
      </c>
      <c r="E23" s="1">
        <f>IFERROR(__xludf.DUMMYFUNCTION("""COMPUTED_VALUE"""),185.32)</f>
        <v>185.32</v>
      </c>
      <c r="F23" s="1">
        <f>IFERROR(__xludf.DUMMYFUNCTION("""COMPUTED_VALUE"""),907585.0)</f>
        <v>907585</v>
      </c>
      <c r="G23" s="2" t="s">
        <v>14</v>
      </c>
    </row>
    <row r="24">
      <c r="A24" s="3">
        <f>IFERROR(__xludf.DUMMYFUNCTION("""COMPUTED_VALUE"""),44594.72916666667)</f>
        <v>44594.72917</v>
      </c>
      <c r="B24" s="1">
        <f>IFERROR(__xludf.DUMMYFUNCTION("""COMPUTED_VALUE"""),186.02)</f>
        <v>186.02</v>
      </c>
      <c r="C24" s="1">
        <f>IFERROR(__xludf.DUMMYFUNCTION("""COMPUTED_VALUE"""),187.78)</f>
        <v>187.78</v>
      </c>
      <c r="D24" s="1">
        <f>IFERROR(__xludf.DUMMYFUNCTION("""COMPUTED_VALUE"""),183.5)</f>
        <v>183.5</v>
      </c>
      <c r="E24" s="1">
        <f>IFERROR(__xludf.DUMMYFUNCTION("""COMPUTED_VALUE"""),184.4)</f>
        <v>184.4</v>
      </c>
      <c r="F24" s="1">
        <f>IFERROR(__xludf.DUMMYFUNCTION("""COMPUTED_VALUE"""),771011.0)</f>
        <v>771011</v>
      </c>
      <c r="G24" s="2" t="s">
        <v>14</v>
      </c>
    </row>
    <row r="25">
      <c r="A25" s="3">
        <f>IFERROR(__xludf.DUMMYFUNCTION("""COMPUTED_VALUE"""),44595.72916666667)</f>
        <v>44595.72917</v>
      </c>
      <c r="B25" s="1">
        <f>IFERROR(__xludf.DUMMYFUNCTION("""COMPUTED_VALUE"""),183.22)</f>
        <v>183.22</v>
      </c>
      <c r="C25" s="1">
        <f>IFERROR(__xludf.DUMMYFUNCTION("""COMPUTED_VALUE"""),184.54)</f>
        <v>184.54</v>
      </c>
      <c r="D25" s="1">
        <f>IFERROR(__xludf.DUMMYFUNCTION("""COMPUTED_VALUE"""),181.64)</f>
        <v>181.64</v>
      </c>
      <c r="E25" s="1">
        <f>IFERROR(__xludf.DUMMYFUNCTION("""COMPUTED_VALUE"""),181.74)</f>
        <v>181.74</v>
      </c>
      <c r="F25" s="1">
        <f>IFERROR(__xludf.DUMMYFUNCTION("""COMPUTED_VALUE"""),710672.0)</f>
        <v>710672</v>
      </c>
      <c r="G25" s="2" t="s">
        <v>14</v>
      </c>
    </row>
    <row r="26">
      <c r="A26" s="3">
        <f>IFERROR(__xludf.DUMMYFUNCTION("""COMPUTED_VALUE"""),44596.72916666667)</f>
        <v>44596.72917</v>
      </c>
      <c r="B26" s="1">
        <f>IFERROR(__xludf.DUMMYFUNCTION("""COMPUTED_VALUE"""),182.26)</f>
        <v>182.26</v>
      </c>
      <c r="C26" s="1">
        <f>IFERROR(__xludf.DUMMYFUNCTION("""COMPUTED_VALUE"""),182.62)</f>
        <v>182.62</v>
      </c>
      <c r="D26" s="1">
        <f>IFERROR(__xludf.DUMMYFUNCTION("""COMPUTED_VALUE"""),174.04)</f>
        <v>174.04</v>
      </c>
      <c r="E26" s="1">
        <f>IFERROR(__xludf.DUMMYFUNCTION("""COMPUTED_VALUE"""),176.14)</f>
        <v>176.14</v>
      </c>
      <c r="F26" s="1">
        <f>IFERROR(__xludf.DUMMYFUNCTION("""COMPUTED_VALUE"""),1555866.0)</f>
        <v>1555866</v>
      </c>
      <c r="G26" s="2" t="s">
        <v>14</v>
      </c>
    </row>
    <row r="27">
      <c r="A27" s="3">
        <f>IFERROR(__xludf.DUMMYFUNCTION("""COMPUTED_VALUE"""),44599.72916666667)</f>
        <v>44599.72917</v>
      </c>
      <c r="B27" s="1">
        <f>IFERROR(__xludf.DUMMYFUNCTION("""COMPUTED_VALUE"""),177.04)</f>
        <v>177.04</v>
      </c>
      <c r="C27" s="1">
        <f>IFERROR(__xludf.DUMMYFUNCTION("""COMPUTED_VALUE"""),178.34)</f>
        <v>178.34</v>
      </c>
      <c r="D27" s="1">
        <f>IFERROR(__xludf.DUMMYFUNCTION("""COMPUTED_VALUE"""),175.94)</f>
        <v>175.94</v>
      </c>
      <c r="E27" s="1">
        <f>IFERROR(__xludf.DUMMYFUNCTION("""COMPUTED_VALUE"""),175.94)</f>
        <v>175.94</v>
      </c>
      <c r="F27" s="1">
        <f>IFERROR(__xludf.DUMMYFUNCTION("""COMPUTED_VALUE"""),750166.0)</f>
        <v>750166</v>
      </c>
      <c r="G27" s="2" t="s">
        <v>14</v>
      </c>
    </row>
    <row r="28">
      <c r="A28" s="3">
        <f>IFERROR(__xludf.DUMMYFUNCTION("""COMPUTED_VALUE"""),44600.72916666667)</f>
        <v>44600.72917</v>
      </c>
      <c r="B28" s="1">
        <f>IFERROR(__xludf.DUMMYFUNCTION("""COMPUTED_VALUE"""),175.96)</f>
        <v>175.96</v>
      </c>
      <c r="C28" s="1">
        <f>IFERROR(__xludf.DUMMYFUNCTION("""COMPUTED_VALUE"""),178.8)</f>
        <v>178.8</v>
      </c>
      <c r="D28" s="1">
        <f>IFERROR(__xludf.DUMMYFUNCTION("""COMPUTED_VALUE"""),174.58)</f>
        <v>174.58</v>
      </c>
      <c r="E28" s="1">
        <f>IFERROR(__xludf.DUMMYFUNCTION("""COMPUTED_VALUE"""),176.46)</f>
        <v>176.46</v>
      </c>
      <c r="F28" s="1">
        <f>IFERROR(__xludf.DUMMYFUNCTION("""COMPUTED_VALUE"""),975318.0)</f>
        <v>975318</v>
      </c>
      <c r="G28" s="2" t="s">
        <v>14</v>
      </c>
    </row>
    <row r="29">
      <c r="A29" s="3">
        <f>IFERROR(__xludf.DUMMYFUNCTION("""COMPUTED_VALUE"""),44601.72916666667)</f>
        <v>44601.72917</v>
      </c>
      <c r="B29" s="1">
        <f>IFERROR(__xludf.DUMMYFUNCTION("""COMPUTED_VALUE"""),179.0)</f>
        <v>179</v>
      </c>
      <c r="C29" s="1">
        <f>IFERROR(__xludf.DUMMYFUNCTION("""COMPUTED_VALUE"""),189.22)</f>
        <v>189.22</v>
      </c>
      <c r="D29" s="1">
        <f>IFERROR(__xludf.DUMMYFUNCTION("""COMPUTED_VALUE"""),178.24)</f>
        <v>178.24</v>
      </c>
      <c r="E29" s="1">
        <f>IFERROR(__xludf.DUMMYFUNCTION("""COMPUTED_VALUE"""),187.26)</f>
        <v>187.26</v>
      </c>
      <c r="F29" s="1">
        <f>IFERROR(__xludf.DUMMYFUNCTION("""COMPUTED_VALUE"""),1882706.0)</f>
        <v>1882706</v>
      </c>
      <c r="G29" s="2" t="s">
        <v>14</v>
      </c>
    </row>
    <row r="30">
      <c r="A30" s="3">
        <f>IFERROR(__xludf.DUMMYFUNCTION("""COMPUTED_VALUE"""),44602.72916666667)</f>
        <v>44602.72917</v>
      </c>
      <c r="B30" s="1">
        <f>IFERROR(__xludf.DUMMYFUNCTION("""COMPUTED_VALUE"""),188.14)</f>
        <v>188.14</v>
      </c>
      <c r="C30" s="1">
        <f>IFERROR(__xludf.DUMMYFUNCTION("""COMPUTED_VALUE"""),189.02)</f>
        <v>189.02</v>
      </c>
      <c r="D30" s="1">
        <f>IFERROR(__xludf.DUMMYFUNCTION("""COMPUTED_VALUE"""),185.08)</f>
        <v>185.08</v>
      </c>
      <c r="E30" s="1">
        <f>IFERROR(__xludf.DUMMYFUNCTION("""COMPUTED_VALUE"""),187.28)</f>
        <v>187.28</v>
      </c>
      <c r="F30" s="1">
        <f>IFERROR(__xludf.DUMMYFUNCTION("""COMPUTED_VALUE"""),809440.0)</f>
        <v>809440</v>
      </c>
      <c r="G30" s="2" t="s">
        <v>14</v>
      </c>
    </row>
    <row r="31">
      <c r="A31" s="3">
        <f>IFERROR(__xludf.DUMMYFUNCTION("""COMPUTED_VALUE"""),44603.72916666667)</f>
        <v>44603.72917</v>
      </c>
      <c r="B31" s="1">
        <f>IFERROR(__xludf.DUMMYFUNCTION("""COMPUTED_VALUE"""),184.2)</f>
        <v>184.2</v>
      </c>
      <c r="C31" s="1">
        <f>IFERROR(__xludf.DUMMYFUNCTION("""COMPUTED_VALUE"""),189.52)</f>
        <v>189.52</v>
      </c>
      <c r="D31" s="1">
        <f>IFERROR(__xludf.DUMMYFUNCTION("""COMPUTED_VALUE"""),183.18)</f>
        <v>183.18</v>
      </c>
      <c r="E31" s="1">
        <f>IFERROR(__xludf.DUMMYFUNCTION("""COMPUTED_VALUE"""),188.64)</f>
        <v>188.64</v>
      </c>
      <c r="F31" s="1">
        <f>IFERROR(__xludf.DUMMYFUNCTION("""COMPUTED_VALUE"""),1090653.0)</f>
        <v>1090653</v>
      </c>
      <c r="G31" s="2" t="s">
        <v>14</v>
      </c>
    </row>
    <row r="32">
      <c r="A32" s="3">
        <f>IFERROR(__xludf.DUMMYFUNCTION("""COMPUTED_VALUE"""),44606.72916666667)</f>
        <v>44606.72917</v>
      </c>
      <c r="B32" s="1">
        <f>IFERROR(__xludf.DUMMYFUNCTION("""COMPUTED_VALUE"""),181.9)</f>
        <v>181.9</v>
      </c>
      <c r="C32" s="1">
        <f>IFERROR(__xludf.DUMMYFUNCTION("""COMPUTED_VALUE"""),183.74)</f>
        <v>183.74</v>
      </c>
      <c r="D32" s="1">
        <f>IFERROR(__xludf.DUMMYFUNCTION("""COMPUTED_VALUE"""),179.76)</f>
        <v>179.76</v>
      </c>
      <c r="E32" s="1">
        <f>IFERROR(__xludf.DUMMYFUNCTION("""COMPUTED_VALUE"""),182.7)</f>
        <v>182.7</v>
      </c>
      <c r="F32" s="1">
        <f>IFERROR(__xludf.DUMMYFUNCTION("""COMPUTED_VALUE"""),1366933.0)</f>
        <v>1366933</v>
      </c>
      <c r="G32" s="2" t="s">
        <v>14</v>
      </c>
    </row>
    <row r="33">
      <c r="A33" s="3">
        <f>IFERROR(__xludf.DUMMYFUNCTION("""COMPUTED_VALUE"""),44607.72916666667)</f>
        <v>44607.72917</v>
      </c>
      <c r="B33" s="1">
        <f>IFERROR(__xludf.DUMMYFUNCTION("""COMPUTED_VALUE"""),182.1)</f>
        <v>182.1</v>
      </c>
      <c r="C33" s="1">
        <f>IFERROR(__xludf.DUMMYFUNCTION("""COMPUTED_VALUE"""),188.98)</f>
        <v>188.98</v>
      </c>
      <c r="D33" s="1">
        <f>IFERROR(__xludf.DUMMYFUNCTION("""COMPUTED_VALUE"""),181.02)</f>
        <v>181.02</v>
      </c>
      <c r="E33" s="1">
        <f>IFERROR(__xludf.DUMMYFUNCTION("""COMPUTED_VALUE"""),188.2)</f>
        <v>188.2</v>
      </c>
      <c r="F33" s="1">
        <f>IFERROR(__xludf.DUMMYFUNCTION("""COMPUTED_VALUE"""),1083117.0)</f>
        <v>1083117</v>
      </c>
      <c r="G33" s="2" t="s">
        <v>14</v>
      </c>
    </row>
    <row r="34">
      <c r="A34" s="3">
        <f>IFERROR(__xludf.DUMMYFUNCTION("""COMPUTED_VALUE"""),44608.72916666667)</f>
        <v>44608.72917</v>
      </c>
      <c r="B34" s="1">
        <f>IFERROR(__xludf.DUMMYFUNCTION("""COMPUTED_VALUE"""),187.82)</f>
        <v>187.82</v>
      </c>
      <c r="C34" s="1">
        <f>IFERROR(__xludf.DUMMYFUNCTION("""COMPUTED_VALUE"""),189.9)</f>
        <v>189.9</v>
      </c>
      <c r="D34" s="1">
        <f>IFERROR(__xludf.DUMMYFUNCTION("""COMPUTED_VALUE"""),184.88)</f>
        <v>184.88</v>
      </c>
      <c r="E34" s="1">
        <f>IFERROR(__xludf.DUMMYFUNCTION("""COMPUTED_VALUE"""),186.02)</f>
        <v>186.02</v>
      </c>
      <c r="F34" s="1">
        <f>IFERROR(__xludf.DUMMYFUNCTION("""COMPUTED_VALUE"""),769936.0)</f>
        <v>769936</v>
      </c>
      <c r="G34" s="2" t="s">
        <v>14</v>
      </c>
    </row>
    <row r="35">
      <c r="A35" s="3">
        <f>IFERROR(__xludf.DUMMYFUNCTION("""COMPUTED_VALUE"""),44609.72916666667)</f>
        <v>44609.72917</v>
      </c>
      <c r="B35" s="1">
        <f>IFERROR(__xludf.DUMMYFUNCTION("""COMPUTED_VALUE"""),186.38)</f>
        <v>186.38</v>
      </c>
      <c r="C35" s="1">
        <f>IFERROR(__xludf.DUMMYFUNCTION("""COMPUTED_VALUE"""),187.62)</f>
        <v>187.62</v>
      </c>
      <c r="D35" s="1">
        <f>IFERROR(__xludf.DUMMYFUNCTION("""COMPUTED_VALUE"""),183.28)</f>
        <v>183.28</v>
      </c>
      <c r="E35" s="1">
        <f>IFERROR(__xludf.DUMMYFUNCTION("""COMPUTED_VALUE"""),184.0)</f>
        <v>184</v>
      </c>
      <c r="F35" s="1">
        <f>IFERROR(__xludf.DUMMYFUNCTION("""COMPUTED_VALUE"""),733963.0)</f>
        <v>733963</v>
      </c>
      <c r="G35" s="2" t="s">
        <v>14</v>
      </c>
    </row>
    <row r="36">
      <c r="A36" s="3">
        <f>IFERROR(__xludf.DUMMYFUNCTION("""COMPUTED_VALUE"""),44610.72916666667)</f>
        <v>44610.72917</v>
      </c>
      <c r="B36" s="1">
        <f>IFERROR(__xludf.DUMMYFUNCTION("""COMPUTED_VALUE"""),184.12)</f>
        <v>184.12</v>
      </c>
      <c r="C36" s="1">
        <f>IFERROR(__xludf.DUMMYFUNCTION("""COMPUTED_VALUE"""),185.76)</f>
        <v>185.76</v>
      </c>
      <c r="D36" s="1">
        <f>IFERROR(__xludf.DUMMYFUNCTION("""COMPUTED_VALUE"""),178.8)</f>
        <v>178.8</v>
      </c>
      <c r="E36" s="1">
        <f>IFERROR(__xludf.DUMMYFUNCTION("""COMPUTED_VALUE"""),180.1)</f>
        <v>180.1</v>
      </c>
      <c r="F36" s="1">
        <f>IFERROR(__xludf.DUMMYFUNCTION("""COMPUTED_VALUE"""),1001258.0)</f>
        <v>1001258</v>
      </c>
      <c r="G36" s="2" t="s">
        <v>14</v>
      </c>
    </row>
    <row r="37">
      <c r="A37" s="3">
        <f>IFERROR(__xludf.DUMMYFUNCTION("""COMPUTED_VALUE"""),44613.72916666667)</f>
        <v>44613.72917</v>
      </c>
      <c r="B37" s="1">
        <f>IFERROR(__xludf.DUMMYFUNCTION("""COMPUTED_VALUE"""),181.5)</f>
        <v>181.5</v>
      </c>
      <c r="C37" s="1">
        <f>IFERROR(__xludf.DUMMYFUNCTION("""COMPUTED_VALUE"""),182.9)</f>
        <v>182.9</v>
      </c>
      <c r="D37" s="1">
        <f>IFERROR(__xludf.DUMMYFUNCTION("""COMPUTED_VALUE"""),173.18)</f>
        <v>173.18</v>
      </c>
      <c r="E37" s="1">
        <f>IFERROR(__xludf.DUMMYFUNCTION("""COMPUTED_VALUE"""),174.98)</f>
        <v>174.98</v>
      </c>
      <c r="F37" s="1">
        <f>IFERROR(__xludf.DUMMYFUNCTION("""COMPUTED_VALUE"""),1039852.0)</f>
        <v>1039852</v>
      </c>
      <c r="G37" s="2" t="s">
        <v>14</v>
      </c>
    </row>
    <row r="38">
      <c r="A38" s="3">
        <f>IFERROR(__xludf.DUMMYFUNCTION("""COMPUTED_VALUE"""),44614.72916666667)</f>
        <v>44614.72917</v>
      </c>
      <c r="B38" s="1">
        <f>IFERROR(__xludf.DUMMYFUNCTION("""COMPUTED_VALUE"""),168.5)</f>
        <v>168.5</v>
      </c>
      <c r="C38" s="1">
        <f>IFERROR(__xludf.DUMMYFUNCTION("""COMPUTED_VALUE"""),192.8)</f>
        <v>192.8</v>
      </c>
      <c r="D38" s="1">
        <f>IFERROR(__xludf.DUMMYFUNCTION("""COMPUTED_VALUE"""),168.1)</f>
        <v>168.1</v>
      </c>
      <c r="E38" s="1">
        <f>IFERROR(__xludf.DUMMYFUNCTION("""COMPUTED_VALUE"""),188.7)</f>
        <v>188.7</v>
      </c>
      <c r="F38" s="1">
        <f>IFERROR(__xludf.DUMMYFUNCTION("""COMPUTED_VALUE"""),4284172.0)</f>
        <v>4284172</v>
      </c>
      <c r="G38" s="2" t="s">
        <v>14</v>
      </c>
    </row>
    <row r="39">
      <c r="A39" s="3">
        <f>IFERROR(__xludf.DUMMYFUNCTION("""COMPUTED_VALUE"""),44615.72916666667)</f>
        <v>44615.72917</v>
      </c>
      <c r="B39" s="1">
        <f>IFERROR(__xludf.DUMMYFUNCTION("""COMPUTED_VALUE"""),189.16)</f>
        <v>189.16</v>
      </c>
      <c r="C39" s="1">
        <f>IFERROR(__xludf.DUMMYFUNCTION("""COMPUTED_VALUE"""),193.36)</f>
        <v>193.36</v>
      </c>
      <c r="D39" s="1">
        <f>IFERROR(__xludf.DUMMYFUNCTION("""COMPUTED_VALUE"""),186.96)</f>
        <v>186.96</v>
      </c>
      <c r="E39" s="1">
        <f>IFERROR(__xludf.DUMMYFUNCTION("""COMPUTED_VALUE"""),187.08)</f>
        <v>187.08</v>
      </c>
      <c r="F39" s="1">
        <f>IFERROR(__xludf.DUMMYFUNCTION("""COMPUTED_VALUE"""),1641699.0)</f>
        <v>1641699</v>
      </c>
      <c r="G39" s="2" t="s">
        <v>14</v>
      </c>
    </row>
    <row r="40">
      <c r="A40" s="3">
        <f>IFERROR(__xludf.DUMMYFUNCTION("""COMPUTED_VALUE"""),44616.72916666667)</f>
        <v>44616.72917</v>
      </c>
      <c r="B40" s="1">
        <f>IFERROR(__xludf.DUMMYFUNCTION("""COMPUTED_VALUE"""),176.0)</f>
        <v>176</v>
      </c>
      <c r="C40" s="1">
        <f>IFERROR(__xludf.DUMMYFUNCTION("""COMPUTED_VALUE"""),182.72)</f>
        <v>182.72</v>
      </c>
      <c r="D40" s="1">
        <f>IFERROR(__xludf.DUMMYFUNCTION("""COMPUTED_VALUE"""),174.34)</f>
        <v>174.34</v>
      </c>
      <c r="E40" s="1">
        <f>IFERROR(__xludf.DUMMYFUNCTION("""COMPUTED_VALUE"""),176.1)</f>
        <v>176.1</v>
      </c>
      <c r="F40" s="1">
        <f>IFERROR(__xludf.DUMMYFUNCTION("""COMPUTED_VALUE"""),2892957.0)</f>
        <v>2892957</v>
      </c>
      <c r="G40" s="2" t="s">
        <v>14</v>
      </c>
    </row>
    <row r="41">
      <c r="A41" s="3">
        <f>IFERROR(__xludf.DUMMYFUNCTION("""COMPUTED_VALUE"""),44617.72916666667)</f>
        <v>44617.72917</v>
      </c>
      <c r="B41" s="1">
        <f>IFERROR(__xludf.DUMMYFUNCTION("""COMPUTED_VALUE"""),181.76)</f>
        <v>181.76</v>
      </c>
      <c r="C41" s="1">
        <f>IFERROR(__xludf.DUMMYFUNCTION("""COMPUTED_VALUE"""),186.06)</f>
        <v>186.06</v>
      </c>
      <c r="D41" s="1">
        <f>IFERROR(__xludf.DUMMYFUNCTION("""COMPUTED_VALUE"""),177.52)</f>
        <v>177.52</v>
      </c>
      <c r="E41" s="1">
        <f>IFERROR(__xludf.DUMMYFUNCTION("""COMPUTED_VALUE"""),185.32)</f>
        <v>185.32</v>
      </c>
      <c r="F41" s="1">
        <f>IFERROR(__xludf.DUMMYFUNCTION("""COMPUTED_VALUE"""),2256748.0)</f>
        <v>2256748</v>
      </c>
      <c r="G41" s="2" t="s">
        <v>14</v>
      </c>
    </row>
    <row r="42">
      <c r="A42" s="3">
        <f>IFERROR(__xludf.DUMMYFUNCTION("""COMPUTED_VALUE"""),44620.72916666667)</f>
        <v>44620.72917</v>
      </c>
      <c r="B42" s="1">
        <f>IFERROR(__xludf.DUMMYFUNCTION("""COMPUTED_VALUE"""),179.5)</f>
        <v>179.5</v>
      </c>
      <c r="C42" s="1">
        <f>IFERROR(__xludf.DUMMYFUNCTION("""COMPUTED_VALUE"""),181.58)</f>
        <v>181.58</v>
      </c>
      <c r="D42" s="1">
        <f>IFERROR(__xludf.DUMMYFUNCTION("""COMPUTED_VALUE"""),174.26)</f>
        <v>174.26</v>
      </c>
      <c r="E42" s="1">
        <f>IFERROR(__xludf.DUMMYFUNCTION("""COMPUTED_VALUE"""),178.04)</f>
        <v>178.04</v>
      </c>
      <c r="F42" s="1">
        <f>IFERROR(__xludf.DUMMYFUNCTION("""COMPUTED_VALUE"""),2270479.0)</f>
        <v>2270479</v>
      </c>
      <c r="G42" s="2" t="s">
        <v>14</v>
      </c>
    </row>
    <row r="43">
      <c r="A43" s="3">
        <f>IFERROR(__xludf.DUMMYFUNCTION("""COMPUTED_VALUE"""),44621.72916666667)</f>
        <v>44621.72917</v>
      </c>
      <c r="B43" s="1">
        <f>IFERROR(__xludf.DUMMYFUNCTION("""COMPUTED_VALUE"""),176.72)</f>
        <v>176.72</v>
      </c>
      <c r="C43" s="1">
        <f>IFERROR(__xludf.DUMMYFUNCTION("""COMPUTED_VALUE"""),178.68)</f>
        <v>178.68</v>
      </c>
      <c r="D43" s="1">
        <f>IFERROR(__xludf.DUMMYFUNCTION("""COMPUTED_VALUE"""),164.1)</f>
        <v>164.1</v>
      </c>
      <c r="E43" s="1">
        <f>IFERROR(__xludf.DUMMYFUNCTION("""COMPUTED_VALUE"""),164.48)</f>
        <v>164.48</v>
      </c>
      <c r="F43" s="1">
        <f>IFERROR(__xludf.DUMMYFUNCTION("""COMPUTED_VALUE"""),2668369.0)</f>
        <v>2668369</v>
      </c>
      <c r="G43" s="2" t="s">
        <v>14</v>
      </c>
    </row>
    <row r="44">
      <c r="A44" s="3">
        <f>IFERROR(__xludf.DUMMYFUNCTION("""COMPUTED_VALUE"""),44622.72916666667)</f>
        <v>44622.72917</v>
      </c>
      <c r="B44" s="1">
        <f>IFERROR(__xludf.DUMMYFUNCTION("""COMPUTED_VALUE"""),162.0)</f>
        <v>162</v>
      </c>
      <c r="C44" s="1">
        <f>IFERROR(__xludf.DUMMYFUNCTION("""COMPUTED_VALUE"""),166.2)</f>
        <v>166.2</v>
      </c>
      <c r="D44" s="1">
        <f>IFERROR(__xludf.DUMMYFUNCTION("""COMPUTED_VALUE"""),156.56)</f>
        <v>156.56</v>
      </c>
      <c r="E44" s="1">
        <f>IFERROR(__xludf.DUMMYFUNCTION("""COMPUTED_VALUE"""),160.0)</f>
        <v>160</v>
      </c>
      <c r="F44" s="1">
        <f>IFERROR(__xludf.DUMMYFUNCTION("""COMPUTED_VALUE"""),2665692.0)</f>
        <v>2665692</v>
      </c>
      <c r="G44" s="2" t="s">
        <v>14</v>
      </c>
    </row>
    <row r="45">
      <c r="A45" s="3">
        <f>IFERROR(__xludf.DUMMYFUNCTION("""COMPUTED_VALUE"""),44623.72916666667)</f>
        <v>44623.72917</v>
      </c>
      <c r="B45" s="1">
        <f>IFERROR(__xludf.DUMMYFUNCTION("""COMPUTED_VALUE"""),159.04)</f>
        <v>159.04</v>
      </c>
      <c r="C45" s="1">
        <f>IFERROR(__xludf.DUMMYFUNCTION("""COMPUTED_VALUE"""),161.22)</f>
        <v>161.22</v>
      </c>
      <c r="D45" s="1">
        <f>IFERROR(__xludf.DUMMYFUNCTION("""COMPUTED_VALUE"""),154.56)</f>
        <v>154.56</v>
      </c>
      <c r="E45" s="1">
        <f>IFERROR(__xludf.DUMMYFUNCTION("""COMPUTED_VALUE"""),155.36)</f>
        <v>155.36</v>
      </c>
      <c r="F45" s="1">
        <f>IFERROR(__xludf.DUMMYFUNCTION("""COMPUTED_VALUE"""),2126189.0)</f>
        <v>2126189</v>
      </c>
      <c r="G45" s="2" t="s">
        <v>14</v>
      </c>
    </row>
    <row r="46">
      <c r="A46" s="3">
        <f>IFERROR(__xludf.DUMMYFUNCTION("""COMPUTED_VALUE"""),44624.72916666667)</f>
        <v>44624.72917</v>
      </c>
      <c r="B46" s="1">
        <f>IFERROR(__xludf.DUMMYFUNCTION("""COMPUTED_VALUE"""),151.0)</f>
        <v>151</v>
      </c>
      <c r="C46" s="1">
        <f>IFERROR(__xludf.DUMMYFUNCTION("""COMPUTED_VALUE"""),152.22)</f>
        <v>152.22</v>
      </c>
      <c r="D46" s="1">
        <f>IFERROR(__xludf.DUMMYFUNCTION("""COMPUTED_VALUE"""),143.16)</f>
        <v>143.16</v>
      </c>
      <c r="E46" s="1">
        <f>IFERROR(__xludf.DUMMYFUNCTION("""COMPUTED_VALUE"""),144.5)</f>
        <v>144.5</v>
      </c>
      <c r="F46" s="1">
        <f>IFERROR(__xludf.DUMMYFUNCTION("""COMPUTED_VALUE"""),3043218.0)</f>
        <v>3043218</v>
      </c>
      <c r="G46" s="2" t="s">
        <v>14</v>
      </c>
    </row>
    <row r="47">
      <c r="A47" s="3">
        <f>IFERROR(__xludf.DUMMYFUNCTION("""COMPUTED_VALUE"""),44627.72916666667)</f>
        <v>44627.72917</v>
      </c>
      <c r="B47" s="1">
        <f>IFERROR(__xludf.DUMMYFUNCTION("""COMPUTED_VALUE"""),139.0)</f>
        <v>139</v>
      </c>
      <c r="C47" s="1">
        <f>IFERROR(__xludf.DUMMYFUNCTION("""COMPUTED_VALUE"""),142.98)</f>
        <v>142.98</v>
      </c>
      <c r="D47" s="1">
        <f>IFERROR(__xludf.DUMMYFUNCTION("""COMPUTED_VALUE"""),133.14)</f>
        <v>133.14</v>
      </c>
      <c r="E47" s="1">
        <f>IFERROR(__xludf.DUMMYFUNCTION("""COMPUTED_VALUE"""),136.74)</f>
        <v>136.74</v>
      </c>
      <c r="F47" s="1">
        <f>IFERROR(__xludf.DUMMYFUNCTION("""COMPUTED_VALUE"""),3024752.0)</f>
        <v>3024752</v>
      </c>
      <c r="G47" s="2" t="s">
        <v>14</v>
      </c>
    </row>
    <row r="48">
      <c r="A48" s="3">
        <f>IFERROR(__xludf.DUMMYFUNCTION("""COMPUTED_VALUE"""),44628.72916666667)</f>
        <v>44628.72917</v>
      </c>
      <c r="B48" s="1">
        <f>IFERROR(__xludf.DUMMYFUNCTION("""COMPUTED_VALUE"""),132.82)</f>
        <v>132.82</v>
      </c>
      <c r="C48" s="1">
        <f>IFERROR(__xludf.DUMMYFUNCTION("""COMPUTED_VALUE"""),142.0)</f>
        <v>142</v>
      </c>
      <c r="D48" s="1">
        <f>IFERROR(__xludf.DUMMYFUNCTION("""COMPUTED_VALUE"""),131.3)</f>
        <v>131.3</v>
      </c>
      <c r="E48" s="1">
        <f>IFERROR(__xludf.DUMMYFUNCTION("""COMPUTED_VALUE"""),135.84)</f>
        <v>135.84</v>
      </c>
      <c r="F48" s="1">
        <f>IFERROR(__xludf.DUMMYFUNCTION("""COMPUTED_VALUE"""),2508587.0)</f>
        <v>2508587</v>
      </c>
      <c r="G48" s="2" t="s">
        <v>14</v>
      </c>
    </row>
    <row r="49">
      <c r="A49" s="3">
        <f>IFERROR(__xludf.DUMMYFUNCTION("""COMPUTED_VALUE"""),44629.72916666667)</f>
        <v>44629.72917</v>
      </c>
      <c r="B49" s="1">
        <f>IFERROR(__xludf.DUMMYFUNCTION("""COMPUTED_VALUE"""),142.6)</f>
        <v>142.6</v>
      </c>
      <c r="C49" s="1">
        <f>IFERROR(__xludf.DUMMYFUNCTION("""COMPUTED_VALUE"""),152.06)</f>
        <v>152.06</v>
      </c>
      <c r="D49" s="1">
        <f>IFERROR(__xludf.DUMMYFUNCTION("""COMPUTED_VALUE"""),139.22)</f>
        <v>139.22</v>
      </c>
      <c r="E49" s="1">
        <f>IFERROR(__xludf.DUMMYFUNCTION("""COMPUTED_VALUE"""),150.32)</f>
        <v>150.32</v>
      </c>
      <c r="F49" s="1">
        <f>IFERROR(__xludf.DUMMYFUNCTION("""COMPUTED_VALUE"""),3037590.0)</f>
        <v>3037590</v>
      </c>
      <c r="G49" s="2" t="s">
        <v>14</v>
      </c>
    </row>
    <row r="50">
      <c r="A50" s="3">
        <f>IFERROR(__xludf.DUMMYFUNCTION("""COMPUTED_VALUE"""),44630.72916666667)</f>
        <v>44630.72917</v>
      </c>
      <c r="B50" s="1">
        <f>IFERROR(__xludf.DUMMYFUNCTION("""COMPUTED_VALUE"""),151.5)</f>
        <v>151.5</v>
      </c>
      <c r="C50" s="1">
        <f>IFERROR(__xludf.DUMMYFUNCTION("""COMPUTED_VALUE"""),151.98)</f>
        <v>151.98</v>
      </c>
      <c r="D50" s="1">
        <f>IFERROR(__xludf.DUMMYFUNCTION("""COMPUTED_VALUE"""),141.1)</f>
        <v>141.1</v>
      </c>
      <c r="E50" s="1">
        <f>IFERROR(__xludf.DUMMYFUNCTION("""COMPUTED_VALUE"""),143.78)</f>
        <v>143.78</v>
      </c>
      <c r="F50" s="1">
        <f>IFERROR(__xludf.DUMMYFUNCTION("""COMPUTED_VALUE"""),1812150.0)</f>
        <v>1812150</v>
      </c>
      <c r="G50" s="2" t="s">
        <v>14</v>
      </c>
    </row>
    <row r="51">
      <c r="A51" s="3">
        <f>IFERROR(__xludf.DUMMYFUNCTION("""COMPUTED_VALUE"""),44631.72916666667)</f>
        <v>44631.72917</v>
      </c>
      <c r="B51" s="1">
        <f>IFERROR(__xludf.DUMMYFUNCTION("""COMPUTED_VALUE"""),144.0)</f>
        <v>144</v>
      </c>
      <c r="C51" s="1">
        <f>IFERROR(__xludf.DUMMYFUNCTION("""COMPUTED_VALUE"""),149.64)</f>
        <v>149.64</v>
      </c>
      <c r="D51" s="1">
        <f>IFERROR(__xludf.DUMMYFUNCTION("""COMPUTED_VALUE"""),142.6)</f>
        <v>142.6</v>
      </c>
      <c r="E51" s="1">
        <f>IFERROR(__xludf.DUMMYFUNCTION("""COMPUTED_VALUE"""),143.7)</f>
        <v>143.7</v>
      </c>
      <c r="F51" s="1">
        <f>IFERROR(__xludf.DUMMYFUNCTION("""COMPUTED_VALUE"""),1610685.0)</f>
        <v>1610685</v>
      </c>
      <c r="G51" s="2" t="s">
        <v>14</v>
      </c>
    </row>
    <row r="52">
      <c r="A52" s="3">
        <f>IFERROR(__xludf.DUMMYFUNCTION("""COMPUTED_VALUE"""),44634.72916666667)</f>
        <v>44634.72917</v>
      </c>
      <c r="B52" s="1">
        <f>IFERROR(__xludf.DUMMYFUNCTION("""COMPUTED_VALUE"""),154.0)</f>
        <v>154</v>
      </c>
      <c r="C52" s="1">
        <f>IFERROR(__xludf.DUMMYFUNCTION("""COMPUTED_VALUE"""),156.2)</f>
        <v>156.2</v>
      </c>
      <c r="D52" s="1">
        <f>IFERROR(__xludf.DUMMYFUNCTION("""COMPUTED_VALUE"""),149.4)</f>
        <v>149.4</v>
      </c>
      <c r="E52" s="1">
        <f>IFERROR(__xludf.DUMMYFUNCTION("""COMPUTED_VALUE"""),150.0)</f>
        <v>150</v>
      </c>
      <c r="F52" s="1">
        <f>IFERROR(__xludf.DUMMYFUNCTION("""COMPUTED_VALUE"""),2175942.0)</f>
        <v>2175942</v>
      </c>
      <c r="G52" s="2" t="s">
        <v>14</v>
      </c>
    </row>
    <row r="53">
      <c r="A53" s="3">
        <f>IFERROR(__xludf.DUMMYFUNCTION("""COMPUTED_VALUE"""),44635.72916666667)</f>
        <v>44635.72917</v>
      </c>
      <c r="B53" s="1">
        <f>IFERROR(__xludf.DUMMYFUNCTION("""COMPUTED_VALUE"""),148.2)</f>
        <v>148.2</v>
      </c>
      <c r="C53" s="1">
        <f>IFERROR(__xludf.DUMMYFUNCTION("""COMPUTED_VALUE"""),152.66)</f>
        <v>152.66</v>
      </c>
      <c r="D53" s="1">
        <f>IFERROR(__xludf.DUMMYFUNCTION("""COMPUTED_VALUE"""),145.42)</f>
        <v>145.42</v>
      </c>
      <c r="E53" s="1">
        <f>IFERROR(__xludf.DUMMYFUNCTION("""COMPUTED_VALUE"""),151.0)</f>
        <v>151</v>
      </c>
      <c r="F53" s="1">
        <f>IFERROR(__xludf.DUMMYFUNCTION("""COMPUTED_VALUE"""),1605287.0)</f>
        <v>1605287</v>
      </c>
      <c r="G53" s="2" t="s">
        <v>14</v>
      </c>
    </row>
    <row r="54">
      <c r="A54" s="3">
        <f>IFERROR(__xludf.DUMMYFUNCTION("""COMPUTED_VALUE"""),44636.72916666667)</f>
        <v>44636.72917</v>
      </c>
      <c r="B54" s="1">
        <f>IFERROR(__xludf.DUMMYFUNCTION("""COMPUTED_VALUE"""),157.66)</f>
        <v>157.66</v>
      </c>
      <c r="C54" s="1">
        <f>IFERROR(__xludf.DUMMYFUNCTION("""COMPUTED_VALUE"""),158.22)</f>
        <v>158.22</v>
      </c>
      <c r="D54" s="1">
        <f>IFERROR(__xludf.DUMMYFUNCTION("""COMPUTED_VALUE"""),153.66)</f>
        <v>153.66</v>
      </c>
      <c r="E54" s="1">
        <f>IFERROR(__xludf.DUMMYFUNCTION("""COMPUTED_VALUE"""),155.64)</f>
        <v>155.64</v>
      </c>
      <c r="F54" s="1">
        <f>IFERROR(__xludf.DUMMYFUNCTION("""COMPUTED_VALUE"""),2479755.0)</f>
        <v>2479755</v>
      </c>
      <c r="G54" s="2" t="s">
        <v>14</v>
      </c>
    </row>
    <row r="55">
      <c r="A55" s="3">
        <f>IFERROR(__xludf.DUMMYFUNCTION("""COMPUTED_VALUE"""),44637.72916666667)</f>
        <v>44637.72917</v>
      </c>
      <c r="B55" s="1">
        <f>IFERROR(__xludf.DUMMYFUNCTION("""COMPUTED_VALUE"""),158.9)</f>
        <v>158.9</v>
      </c>
      <c r="C55" s="1">
        <f>IFERROR(__xludf.DUMMYFUNCTION("""COMPUTED_VALUE"""),158.9)</f>
        <v>158.9</v>
      </c>
      <c r="D55" s="1">
        <f>IFERROR(__xludf.DUMMYFUNCTION("""COMPUTED_VALUE"""),152.4)</f>
        <v>152.4</v>
      </c>
      <c r="E55" s="1">
        <f>IFERROR(__xludf.DUMMYFUNCTION("""COMPUTED_VALUE"""),155.46)</f>
        <v>155.46</v>
      </c>
      <c r="F55" s="1">
        <f>IFERROR(__xludf.DUMMYFUNCTION("""COMPUTED_VALUE"""),1414860.0)</f>
        <v>1414860</v>
      </c>
      <c r="G55" s="2" t="s">
        <v>14</v>
      </c>
    </row>
    <row r="56">
      <c r="A56" s="3">
        <f>IFERROR(__xludf.DUMMYFUNCTION("""COMPUTED_VALUE"""),44638.72916666667)</f>
        <v>44638.72917</v>
      </c>
      <c r="B56" s="1">
        <f>IFERROR(__xludf.DUMMYFUNCTION("""COMPUTED_VALUE"""),155.38)</f>
        <v>155.38</v>
      </c>
      <c r="C56" s="1">
        <f>IFERROR(__xludf.DUMMYFUNCTION("""COMPUTED_VALUE"""),156.46)</f>
        <v>156.46</v>
      </c>
      <c r="D56" s="1">
        <f>IFERROR(__xludf.DUMMYFUNCTION("""COMPUTED_VALUE"""),149.86)</f>
        <v>149.86</v>
      </c>
      <c r="E56" s="1">
        <f>IFERROR(__xludf.DUMMYFUNCTION("""COMPUTED_VALUE"""),153.92)</f>
        <v>153.92</v>
      </c>
      <c r="F56" s="1">
        <f>IFERROR(__xludf.DUMMYFUNCTION("""COMPUTED_VALUE"""),2557484.0)</f>
        <v>2557484</v>
      </c>
      <c r="G56" s="2" t="s">
        <v>14</v>
      </c>
    </row>
    <row r="57">
      <c r="A57" s="3">
        <f>IFERROR(__xludf.DUMMYFUNCTION("""COMPUTED_VALUE"""),44641.72916666667)</f>
        <v>44641.72917</v>
      </c>
      <c r="B57" s="1">
        <f>IFERROR(__xludf.DUMMYFUNCTION("""COMPUTED_VALUE"""),153.18)</f>
        <v>153.18</v>
      </c>
      <c r="C57" s="1">
        <f>IFERROR(__xludf.DUMMYFUNCTION("""COMPUTED_VALUE"""),155.08)</f>
        <v>155.08</v>
      </c>
      <c r="D57" s="1">
        <f>IFERROR(__xludf.DUMMYFUNCTION("""COMPUTED_VALUE"""),151.5)</f>
        <v>151.5</v>
      </c>
      <c r="E57" s="1">
        <f>IFERROR(__xludf.DUMMYFUNCTION("""COMPUTED_VALUE"""),153.76)</f>
        <v>153.76</v>
      </c>
      <c r="F57" s="1">
        <f>IFERROR(__xludf.DUMMYFUNCTION("""COMPUTED_VALUE"""),1077364.0)</f>
        <v>1077364</v>
      </c>
      <c r="G57" s="2" t="s">
        <v>14</v>
      </c>
    </row>
    <row r="58">
      <c r="A58" s="3">
        <f>IFERROR(__xludf.DUMMYFUNCTION("""COMPUTED_VALUE"""),44642.72916666667)</f>
        <v>44642.72917</v>
      </c>
      <c r="B58" s="1">
        <f>IFERROR(__xludf.DUMMYFUNCTION("""COMPUTED_VALUE"""),154.52)</f>
        <v>154.52</v>
      </c>
      <c r="C58" s="1">
        <f>IFERROR(__xludf.DUMMYFUNCTION("""COMPUTED_VALUE"""),156.58)</f>
        <v>156.58</v>
      </c>
      <c r="D58" s="1">
        <f>IFERROR(__xludf.DUMMYFUNCTION("""COMPUTED_VALUE"""),152.86)</f>
        <v>152.86</v>
      </c>
      <c r="E58" s="1">
        <f>IFERROR(__xludf.DUMMYFUNCTION("""COMPUTED_VALUE"""),155.0)</f>
        <v>155</v>
      </c>
      <c r="F58" s="1">
        <f>IFERROR(__xludf.DUMMYFUNCTION("""COMPUTED_VALUE"""),1234831.0)</f>
        <v>1234831</v>
      </c>
      <c r="G58" s="2" t="s">
        <v>14</v>
      </c>
    </row>
    <row r="59">
      <c r="A59" s="3">
        <f>IFERROR(__xludf.DUMMYFUNCTION("""COMPUTED_VALUE"""),44643.72916666667)</f>
        <v>44643.72917</v>
      </c>
      <c r="B59" s="1">
        <f>IFERROR(__xludf.DUMMYFUNCTION("""COMPUTED_VALUE"""),156.74)</f>
        <v>156.74</v>
      </c>
      <c r="C59" s="1">
        <f>IFERROR(__xludf.DUMMYFUNCTION("""COMPUTED_VALUE"""),157.46)</f>
        <v>157.46</v>
      </c>
      <c r="D59" s="1">
        <f>IFERROR(__xludf.DUMMYFUNCTION("""COMPUTED_VALUE"""),151.94)</f>
        <v>151.94</v>
      </c>
      <c r="E59" s="1">
        <f>IFERROR(__xludf.DUMMYFUNCTION("""COMPUTED_VALUE"""),152.66)</f>
        <v>152.66</v>
      </c>
      <c r="F59" s="1">
        <f>IFERROR(__xludf.DUMMYFUNCTION("""COMPUTED_VALUE"""),1173710.0)</f>
        <v>1173710</v>
      </c>
      <c r="G59" s="2" t="s">
        <v>14</v>
      </c>
    </row>
    <row r="60">
      <c r="A60" s="3">
        <f>IFERROR(__xludf.DUMMYFUNCTION("""COMPUTED_VALUE"""),44644.72916666667)</f>
        <v>44644.72917</v>
      </c>
      <c r="B60" s="1">
        <f>IFERROR(__xludf.DUMMYFUNCTION("""COMPUTED_VALUE"""),152.52)</f>
        <v>152.52</v>
      </c>
      <c r="C60" s="1">
        <f>IFERROR(__xludf.DUMMYFUNCTION("""COMPUTED_VALUE"""),153.22)</f>
        <v>153.22</v>
      </c>
      <c r="D60" s="1">
        <f>IFERROR(__xludf.DUMMYFUNCTION("""COMPUTED_VALUE"""),150.68)</f>
        <v>150.68</v>
      </c>
      <c r="E60" s="1">
        <f>IFERROR(__xludf.DUMMYFUNCTION("""COMPUTED_VALUE"""),151.98)</f>
        <v>151.98</v>
      </c>
      <c r="F60" s="1">
        <f>IFERROR(__xludf.DUMMYFUNCTION("""COMPUTED_VALUE"""),973338.0)</f>
        <v>973338</v>
      </c>
      <c r="G60" s="2" t="s">
        <v>14</v>
      </c>
    </row>
    <row r="61">
      <c r="A61" s="3">
        <f>IFERROR(__xludf.DUMMYFUNCTION("""COMPUTED_VALUE"""),44645.72916666667)</f>
        <v>44645.72917</v>
      </c>
      <c r="B61" s="1">
        <f>IFERROR(__xludf.DUMMYFUNCTION("""COMPUTED_VALUE"""),152.62)</f>
        <v>152.62</v>
      </c>
      <c r="C61" s="1">
        <f>IFERROR(__xludf.DUMMYFUNCTION("""COMPUTED_VALUE"""),152.68)</f>
        <v>152.68</v>
      </c>
      <c r="D61" s="1">
        <f>IFERROR(__xludf.DUMMYFUNCTION("""COMPUTED_VALUE"""),150.08)</f>
        <v>150.08</v>
      </c>
      <c r="E61" s="1">
        <f>IFERROR(__xludf.DUMMYFUNCTION("""COMPUTED_VALUE"""),151.18)</f>
        <v>151.18</v>
      </c>
      <c r="F61" s="1">
        <f>IFERROR(__xludf.DUMMYFUNCTION("""COMPUTED_VALUE"""),1050901.0)</f>
        <v>1050901</v>
      </c>
      <c r="G61" s="2" t="s">
        <v>14</v>
      </c>
    </row>
    <row r="62">
      <c r="A62" s="3">
        <f>IFERROR(__xludf.DUMMYFUNCTION("""COMPUTED_VALUE"""),44648.72916666667)</f>
        <v>44648.72917</v>
      </c>
      <c r="B62" s="1">
        <f>IFERROR(__xludf.DUMMYFUNCTION("""COMPUTED_VALUE"""),151.58)</f>
        <v>151.58</v>
      </c>
      <c r="C62" s="1">
        <f>IFERROR(__xludf.DUMMYFUNCTION("""COMPUTED_VALUE"""),155.12)</f>
        <v>155.12</v>
      </c>
      <c r="D62" s="1">
        <f>IFERROR(__xludf.DUMMYFUNCTION("""COMPUTED_VALUE"""),151.5)</f>
        <v>151.5</v>
      </c>
      <c r="E62" s="1">
        <f>IFERROR(__xludf.DUMMYFUNCTION("""COMPUTED_VALUE"""),151.74)</f>
        <v>151.74</v>
      </c>
      <c r="F62" s="1">
        <f>IFERROR(__xludf.DUMMYFUNCTION("""COMPUTED_VALUE"""),1028867.0)</f>
        <v>1028867</v>
      </c>
      <c r="G62" s="2" t="s">
        <v>14</v>
      </c>
    </row>
    <row r="63">
      <c r="A63" s="3">
        <f>IFERROR(__xludf.DUMMYFUNCTION("""COMPUTED_VALUE"""),44649.72916666667)</f>
        <v>44649.72917</v>
      </c>
      <c r="B63" s="1">
        <f>IFERROR(__xludf.DUMMYFUNCTION("""COMPUTED_VALUE"""),154.5)</f>
        <v>154.5</v>
      </c>
      <c r="C63" s="1">
        <f>IFERROR(__xludf.DUMMYFUNCTION("""COMPUTED_VALUE"""),162.38)</f>
        <v>162.38</v>
      </c>
      <c r="D63" s="1">
        <f>IFERROR(__xludf.DUMMYFUNCTION("""COMPUTED_VALUE"""),153.46)</f>
        <v>153.46</v>
      </c>
      <c r="E63" s="1">
        <f>IFERROR(__xludf.DUMMYFUNCTION("""COMPUTED_VALUE"""),159.48)</f>
        <v>159.48</v>
      </c>
      <c r="F63" s="1">
        <f>IFERROR(__xludf.DUMMYFUNCTION("""COMPUTED_VALUE"""),1882430.0)</f>
        <v>1882430</v>
      </c>
      <c r="G63" s="2" t="s">
        <v>14</v>
      </c>
    </row>
    <row r="64">
      <c r="A64" s="3">
        <f>IFERROR(__xludf.DUMMYFUNCTION("""COMPUTED_VALUE"""),44650.72916666667)</f>
        <v>44650.72917</v>
      </c>
      <c r="B64" s="1">
        <f>IFERROR(__xludf.DUMMYFUNCTION("""COMPUTED_VALUE"""),159.46)</f>
        <v>159.46</v>
      </c>
      <c r="C64" s="1">
        <f>IFERROR(__xludf.DUMMYFUNCTION("""COMPUTED_VALUE"""),159.98)</f>
        <v>159.98</v>
      </c>
      <c r="D64" s="1">
        <f>IFERROR(__xludf.DUMMYFUNCTION("""COMPUTED_VALUE"""),156.48)</f>
        <v>156.48</v>
      </c>
      <c r="E64" s="1">
        <f>IFERROR(__xludf.DUMMYFUNCTION("""COMPUTED_VALUE"""),159.06)</f>
        <v>159.06</v>
      </c>
      <c r="F64" s="1">
        <f>IFERROR(__xludf.DUMMYFUNCTION("""COMPUTED_VALUE"""),1192294.0)</f>
        <v>1192294</v>
      </c>
      <c r="G64" s="2" t="s">
        <v>14</v>
      </c>
    </row>
    <row r="65">
      <c r="A65" s="3">
        <f>IFERROR(__xludf.DUMMYFUNCTION("""COMPUTED_VALUE"""),44651.72916666667)</f>
        <v>44651.72917</v>
      </c>
      <c r="B65" s="1">
        <f>IFERROR(__xludf.DUMMYFUNCTION("""COMPUTED_VALUE"""),160.88)</f>
        <v>160.88</v>
      </c>
      <c r="C65" s="1">
        <f>IFERROR(__xludf.DUMMYFUNCTION("""COMPUTED_VALUE"""),161.2)</f>
        <v>161.2</v>
      </c>
      <c r="D65" s="1">
        <f>IFERROR(__xludf.DUMMYFUNCTION("""COMPUTED_VALUE"""),156.26)</f>
        <v>156.26</v>
      </c>
      <c r="E65" s="1">
        <f>IFERROR(__xludf.DUMMYFUNCTION("""COMPUTED_VALUE"""),157.0)</f>
        <v>157</v>
      </c>
      <c r="F65" s="1">
        <f>IFERROR(__xludf.DUMMYFUNCTION("""COMPUTED_VALUE"""),1041006.0)</f>
        <v>1041006</v>
      </c>
      <c r="G65" s="2" t="s">
        <v>14</v>
      </c>
    </row>
    <row r="66">
      <c r="A66" s="3">
        <f>IFERROR(__xludf.DUMMYFUNCTION("""COMPUTED_VALUE"""),44652.72916666667)</f>
        <v>44652.72917</v>
      </c>
      <c r="B66" s="1">
        <f>IFERROR(__xludf.DUMMYFUNCTION("""COMPUTED_VALUE"""),157.64)</f>
        <v>157.64</v>
      </c>
      <c r="C66" s="1">
        <f>IFERROR(__xludf.DUMMYFUNCTION("""COMPUTED_VALUE"""),160.82)</f>
        <v>160.82</v>
      </c>
      <c r="D66" s="1">
        <f>IFERROR(__xludf.DUMMYFUNCTION("""COMPUTED_VALUE"""),156.88)</f>
        <v>156.88</v>
      </c>
      <c r="E66" s="1">
        <f>IFERROR(__xludf.DUMMYFUNCTION("""COMPUTED_VALUE"""),157.58)</f>
        <v>157.58</v>
      </c>
      <c r="F66" s="1">
        <f>IFERROR(__xludf.DUMMYFUNCTION("""COMPUTED_VALUE"""),982550.0)</f>
        <v>982550</v>
      </c>
      <c r="G66" s="2" t="s">
        <v>14</v>
      </c>
    </row>
    <row r="67">
      <c r="A67" s="3">
        <f>IFERROR(__xludf.DUMMYFUNCTION("""COMPUTED_VALUE"""),44655.72916666667)</f>
        <v>44655.72917</v>
      </c>
      <c r="B67" s="1">
        <f>IFERROR(__xludf.DUMMYFUNCTION("""COMPUTED_VALUE"""),158.92)</f>
        <v>158.92</v>
      </c>
      <c r="C67" s="1">
        <f>IFERROR(__xludf.DUMMYFUNCTION("""COMPUTED_VALUE"""),160.66)</f>
        <v>160.66</v>
      </c>
      <c r="D67" s="1">
        <f>IFERROR(__xludf.DUMMYFUNCTION("""COMPUTED_VALUE"""),155.72)</f>
        <v>155.72</v>
      </c>
      <c r="E67" s="1">
        <f>IFERROR(__xludf.DUMMYFUNCTION("""COMPUTED_VALUE"""),158.76)</f>
        <v>158.76</v>
      </c>
      <c r="F67" s="1">
        <f>IFERROR(__xludf.DUMMYFUNCTION("""COMPUTED_VALUE"""),1073896.0)</f>
        <v>1073896</v>
      </c>
      <c r="G67" s="2" t="s">
        <v>14</v>
      </c>
    </row>
    <row r="68">
      <c r="A68" s="3">
        <f>IFERROR(__xludf.DUMMYFUNCTION("""COMPUTED_VALUE"""),44656.72916666667)</f>
        <v>44656.72917</v>
      </c>
      <c r="B68" s="1">
        <f>IFERROR(__xludf.DUMMYFUNCTION("""COMPUTED_VALUE"""),160.3)</f>
        <v>160.3</v>
      </c>
      <c r="C68" s="1">
        <f>IFERROR(__xludf.DUMMYFUNCTION("""COMPUTED_VALUE"""),161.5)</f>
        <v>161.5</v>
      </c>
      <c r="D68" s="1">
        <f>IFERROR(__xludf.DUMMYFUNCTION("""COMPUTED_VALUE"""),155.78)</f>
        <v>155.78</v>
      </c>
      <c r="E68" s="1">
        <f>IFERROR(__xludf.DUMMYFUNCTION("""COMPUTED_VALUE"""),156.74)</f>
        <v>156.74</v>
      </c>
      <c r="F68" s="1">
        <f>IFERROR(__xludf.DUMMYFUNCTION("""COMPUTED_VALUE"""),1149117.0)</f>
        <v>1149117</v>
      </c>
      <c r="G68" s="2" t="s">
        <v>14</v>
      </c>
    </row>
    <row r="69">
      <c r="A69" s="3">
        <f>IFERROR(__xludf.DUMMYFUNCTION("""COMPUTED_VALUE"""),44657.72916666667)</f>
        <v>44657.72917</v>
      </c>
      <c r="B69" s="1">
        <f>IFERROR(__xludf.DUMMYFUNCTION("""COMPUTED_VALUE"""),156.08)</f>
        <v>156.08</v>
      </c>
      <c r="C69" s="1">
        <f>IFERROR(__xludf.DUMMYFUNCTION("""COMPUTED_VALUE"""),156.5)</f>
        <v>156.5</v>
      </c>
      <c r="D69" s="1">
        <f>IFERROR(__xludf.DUMMYFUNCTION("""COMPUTED_VALUE"""),150.78)</f>
        <v>150.78</v>
      </c>
      <c r="E69" s="1">
        <f>IFERROR(__xludf.DUMMYFUNCTION("""COMPUTED_VALUE"""),152.16)</f>
        <v>152.16</v>
      </c>
      <c r="F69" s="1">
        <f>IFERROR(__xludf.DUMMYFUNCTION("""COMPUTED_VALUE"""),1425985.0)</f>
        <v>1425985</v>
      </c>
      <c r="G69" s="2" t="s">
        <v>14</v>
      </c>
    </row>
    <row r="70">
      <c r="A70" s="3">
        <f>IFERROR(__xludf.DUMMYFUNCTION("""COMPUTED_VALUE"""),44658.72916666667)</f>
        <v>44658.72917</v>
      </c>
      <c r="B70" s="1">
        <f>IFERROR(__xludf.DUMMYFUNCTION("""COMPUTED_VALUE"""),153.02)</f>
        <v>153.02</v>
      </c>
      <c r="C70" s="1">
        <f>IFERROR(__xludf.DUMMYFUNCTION("""COMPUTED_VALUE"""),153.72)</f>
        <v>153.72</v>
      </c>
      <c r="D70" s="1">
        <f>IFERROR(__xludf.DUMMYFUNCTION("""COMPUTED_VALUE"""),149.7)</f>
        <v>149.7</v>
      </c>
      <c r="E70" s="1">
        <f>IFERROR(__xludf.DUMMYFUNCTION("""COMPUTED_VALUE"""),149.8)</f>
        <v>149.8</v>
      </c>
      <c r="F70" s="1">
        <f>IFERROR(__xludf.DUMMYFUNCTION("""COMPUTED_VALUE"""),1432432.0)</f>
        <v>1432432</v>
      </c>
      <c r="G70" s="2" t="s">
        <v>14</v>
      </c>
    </row>
    <row r="71">
      <c r="A71" s="3">
        <f>IFERROR(__xludf.DUMMYFUNCTION("""COMPUTED_VALUE"""),44659.72916666667)</f>
        <v>44659.72917</v>
      </c>
      <c r="B71" s="1">
        <f>IFERROR(__xludf.DUMMYFUNCTION("""COMPUTED_VALUE"""),152.78)</f>
        <v>152.78</v>
      </c>
      <c r="C71" s="1">
        <f>IFERROR(__xludf.DUMMYFUNCTION("""COMPUTED_VALUE"""),154.82)</f>
        <v>154.82</v>
      </c>
      <c r="D71" s="1">
        <f>IFERROR(__xludf.DUMMYFUNCTION("""COMPUTED_VALUE"""),151.44)</f>
        <v>151.44</v>
      </c>
      <c r="E71" s="1">
        <f>IFERROR(__xludf.DUMMYFUNCTION("""COMPUTED_VALUE"""),153.04)</f>
        <v>153.04</v>
      </c>
      <c r="F71" s="1">
        <f>IFERROR(__xludf.DUMMYFUNCTION("""COMPUTED_VALUE"""),931143.0)</f>
        <v>931143</v>
      </c>
      <c r="G71" s="2" t="s">
        <v>14</v>
      </c>
    </row>
    <row r="72">
      <c r="A72" s="3">
        <f>IFERROR(__xludf.DUMMYFUNCTION("""COMPUTED_VALUE"""),44662.72916666667)</f>
        <v>44662.72917</v>
      </c>
      <c r="B72" s="1">
        <f>IFERROR(__xludf.DUMMYFUNCTION("""COMPUTED_VALUE"""),151.48)</f>
        <v>151.48</v>
      </c>
      <c r="C72" s="1">
        <f>IFERROR(__xludf.DUMMYFUNCTION("""COMPUTED_VALUE"""),152.84)</f>
        <v>152.84</v>
      </c>
      <c r="D72" s="1">
        <f>IFERROR(__xludf.DUMMYFUNCTION("""COMPUTED_VALUE"""),148.38)</f>
        <v>148.38</v>
      </c>
      <c r="E72" s="1">
        <f>IFERROR(__xludf.DUMMYFUNCTION("""COMPUTED_VALUE"""),151.68)</f>
        <v>151.68</v>
      </c>
      <c r="F72" s="1">
        <f>IFERROR(__xludf.DUMMYFUNCTION("""COMPUTED_VALUE"""),832769.0)</f>
        <v>832769</v>
      </c>
      <c r="G72" s="2" t="s">
        <v>14</v>
      </c>
    </row>
    <row r="73">
      <c r="A73" s="3">
        <f>IFERROR(__xludf.DUMMYFUNCTION("""COMPUTED_VALUE"""),44663.72916666667)</f>
        <v>44663.72917</v>
      </c>
      <c r="B73" s="1">
        <f>IFERROR(__xludf.DUMMYFUNCTION("""COMPUTED_VALUE"""),148.8)</f>
        <v>148.8</v>
      </c>
      <c r="C73" s="1">
        <f>IFERROR(__xludf.DUMMYFUNCTION("""COMPUTED_VALUE"""),152.02)</f>
        <v>152.02</v>
      </c>
      <c r="D73" s="1">
        <f>IFERROR(__xludf.DUMMYFUNCTION("""COMPUTED_VALUE"""),148.0)</f>
        <v>148</v>
      </c>
      <c r="E73" s="1">
        <f>IFERROR(__xludf.DUMMYFUNCTION("""COMPUTED_VALUE"""),151.1)</f>
        <v>151.1</v>
      </c>
      <c r="F73" s="1">
        <f>IFERROR(__xludf.DUMMYFUNCTION("""COMPUTED_VALUE"""),995714.0)</f>
        <v>995714</v>
      </c>
      <c r="G73" s="2" t="s">
        <v>14</v>
      </c>
    </row>
    <row r="74">
      <c r="A74" s="3">
        <f>IFERROR(__xludf.DUMMYFUNCTION("""COMPUTED_VALUE"""),44664.72916666667)</f>
        <v>44664.72917</v>
      </c>
      <c r="B74" s="1">
        <f>IFERROR(__xludf.DUMMYFUNCTION("""COMPUTED_VALUE"""),150.0)</f>
        <v>150</v>
      </c>
      <c r="C74" s="1">
        <f>IFERROR(__xludf.DUMMYFUNCTION("""COMPUTED_VALUE"""),151.8)</f>
        <v>151.8</v>
      </c>
      <c r="D74" s="1">
        <f>IFERROR(__xludf.DUMMYFUNCTION("""COMPUTED_VALUE"""),149.16)</f>
        <v>149.16</v>
      </c>
      <c r="E74" s="1">
        <f>IFERROR(__xludf.DUMMYFUNCTION("""COMPUTED_VALUE"""),151.2)</f>
        <v>151.2</v>
      </c>
      <c r="F74" s="1">
        <f>IFERROR(__xludf.DUMMYFUNCTION("""COMPUTED_VALUE"""),697927.0)</f>
        <v>697927</v>
      </c>
      <c r="G74" s="2" t="s">
        <v>14</v>
      </c>
    </row>
    <row r="75">
      <c r="A75" s="3">
        <f>IFERROR(__xludf.DUMMYFUNCTION("""COMPUTED_VALUE"""),44665.72916666667)</f>
        <v>44665.72917</v>
      </c>
      <c r="B75" s="1">
        <f>IFERROR(__xludf.DUMMYFUNCTION("""COMPUTED_VALUE"""),151.68)</f>
        <v>151.68</v>
      </c>
      <c r="C75" s="1">
        <f>IFERROR(__xludf.DUMMYFUNCTION("""COMPUTED_VALUE"""),154.14)</f>
        <v>154.14</v>
      </c>
      <c r="D75" s="1">
        <f>IFERROR(__xludf.DUMMYFUNCTION("""COMPUTED_VALUE"""),147.3)</f>
        <v>147.3</v>
      </c>
      <c r="E75" s="1">
        <f>IFERROR(__xludf.DUMMYFUNCTION("""COMPUTED_VALUE"""),148.98)</f>
        <v>148.98</v>
      </c>
      <c r="F75" s="1">
        <f>IFERROR(__xludf.DUMMYFUNCTION("""COMPUTED_VALUE"""),1611383.0)</f>
        <v>1611383</v>
      </c>
      <c r="G75" s="2" t="s">
        <v>14</v>
      </c>
    </row>
    <row r="76">
      <c r="A76" s="3">
        <f>IFERROR(__xludf.DUMMYFUNCTION("""COMPUTED_VALUE"""),44670.72916666667)</f>
        <v>44670.72917</v>
      </c>
      <c r="B76" s="1">
        <f>IFERROR(__xludf.DUMMYFUNCTION("""COMPUTED_VALUE"""),148.5)</f>
        <v>148.5</v>
      </c>
      <c r="C76" s="1">
        <f>IFERROR(__xludf.DUMMYFUNCTION("""COMPUTED_VALUE"""),154.26)</f>
        <v>154.26</v>
      </c>
      <c r="D76" s="1">
        <f>IFERROR(__xludf.DUMMYFUNCTION("""COMPUTED_VALUE"""),147.9)</f>
        <v>147.9</v>
      </c>
      <c r="E76" s="1">
        <f>IFERROR(__xludf.DUMMYFUNCTION("""COMPUTED_VALUE"""),153.0)</f>
        <v>153</v>
      </c>
      <c r="F76" s="1">
        <f>IFERROR(__xludf.DUMMYFUNCTION("""COMPUTED_VALUE"""),1133467.0)</f>
        <v>1133467</v>
      </c>
      <c r="G76" s="2" t="s">
        <v>14</v>
      </c>
    </row>
    <row r="77">
      <c r="A77" s="3">
        <f>IFERROR(__xludf.DUMMYFUNCTION("""COMPUTED_VALUE"""),44671.72916666667)</f>
        <v>44671.72917</v>
      </c>
      <c r="B77" s="1">
        <f>IFERROR(__xludf.DUMMYFUNCTION("""COMPUTED_VALUE"""),154.06)</f>
        <v>154.06</v>
      </c>
      <c r="C77" s="1">
        <f>IFERROR(__xludf.DUMMYFUNCTION("""COMPUTED_VALUE"""),156.82)</f>
        <v>156.82</v>
      </c>
      <c r="D77" s="1">
        <f>IFERROR(__xludf.DUMMYFUNCTION("""COMPUTED_VALUE"""),152.88)</f>
        <v>152.88</v>
      </c>
      <c r="E77" s="1">
        <f>IFERROR(__xludf.DUMMYFUNCTION("""COMPUTED_VALUE"""),155.1)</f>
        <v>155.1</v>
      </c>
      <c r="F77" s="1">
        <f>IFERROR(__xludf.DUMMYFUNCTION("""COMPUTED_VALUE"""),824336.0)</f>
        <v>824336</v>
      </c>
      <c r="G77" s="2" t="s">
        <v>14</v>
      </c>
    </row>
    <row r="78">
      <c r="A78" s="3">
        <f>IFERROR(__xludf.DUMMYFUNCTION("""COMPUTED_VALUE"""),44672.72916666667)</f>
        <v>44672.72917</v>
      </c>
      <c r="B78" s="1">
        <f>IFERROR(__xludf.DUMMYFUNCTION("""COMPUTED_VALUE"""),155.38)</f>
        <v>155.38</v>
      </c>
      <c r="C78" s="1">
        <f>IFERROR(__xludf.DUMMYFUNCTION("""COMPUTED_VALUE"""),158.9)</f>
        <v>158.9</v>
      </c>
      <c r="D78" s="1">
        <f>IFERROR(__xludf.DUMMYFUNCTION("""COMPUTED_VALUE"""),154.38)</f>
        <v>154.38</v>
      </c>
      <c r="E78" s="1">
        <f>IFERROR(__xludf.DUMMYFUNCTION("""COMPUTED_VALUE"""),156.74)</f>
        <v>156.74</v>
      </c>
      <c r="F78" s="1">
        <f>IFERROR(__xludf.DUMMYFUNCTION("""COMPUTED_VALUE"""),861010.0)</f>
        <v>861010</v>
      </c>
      <c r="G78" s="2" t="s">
        <v>14</v>
      </c>
    </row>
    <row r="79">
      <c r="A79" s="3">
        <f>IFERROR(__xludf.DUMMYFUNCTION("""COMPUTED_VALUE"""),44673.72916666667)</f>
        <v>44673.72917</v>
      </c>
      <c r="B79" s="1">
        <f>IFERROR(__xludf.DUMMYFUNCTION("""COMPUTED_VALUE"""),154.72)</f>
        <v>154.72</v>
      </c>
      <c r="C79" s="1">
        <f>IFERROR(__xludf.DUMMYFUNCTION("""COMPUTED_VALUE"""),156.34)</f>
        <v>156.34</v>
      </c>
      <c r="D79" s="1">
        <f>IFERROR(__xludf.DUMMYFUNCTION("""COMPUTED_VALUE"""),152.54)</f>
        <v>152.54</v>
      </c>
      <c r="E79" s="1">
        <f>IFERROR(__xludf.DUMMYFUNCTION("""COMPUTED_VALUE"""),152.54)</f>
        <v>152.54</v>
      </c>
      <c r="F79" s="1">
        <f>IFERROR(__xludf.DUMMYFUNCTION("""COMPUTED_VALUE"""),973101.0)</f>
        <v>973101</v>
      </c>
      <c r="G79" s="2" t="s">
        <v>14</v>
      </c>
    </row>
    <row r="80">
      <c r="A80" s="3">
        <f>IFERROR(__xludf.DUMMYFUNCTION("""COMPUTED_VALUE"""),44676.72916666667)</f>
        <v>44676.72917</v>
      </c>
      <c r="B80" s="1">
        <f>IFERROR(__xludf.DUMMYFUNCTION("""COMPUTED_VALUE"""),149.46)</f>
        <v>149.46</v>
      </c>
      <c r="C80" s="1">
        <f>IFERROR(__xludf.DUMMYFUNCTION("""COMPUTED_VALUE"""),151.16)</f>
        <v>151.16</v>
      </c>
      <c r="D80" s="1">
        <f>IFERROR(__xludf.DUMMYFUNCTION("""COMPUTED_VALUE"""),148.34)</f>
        <v>148.34</v>
      </c>
      <c r="E80" s="1">
        <f>IFERROR(__xludf.DUMMYFUNCTION("""COMPUTED_VALUE"""),149.02)</f>
        <v>149.02</v>
      </c>
      <c r="F80" s="1">
        <f>IFERROR(__xludf.DUMMYFUNCTION("""COMPUTED_VALUE"""),1113506.0)</f>
        <v>1113506</v>
      </c>
      <c r="G80" s="2" t="s">
        <v>14</v>
      </c>
    </row>
    <row r="81">
      <c r="A81" s="3">
        <f>IFERROR(__xludf.DUMMYFUNCTION("""COMPUTED_VALUE"""),44677.72916666667)</f>
        <v>44677.72917</v>
      </c>
      <c r="B81" s="1">
        <f>IFERROR(__xludf.DUMMYFUNCTION("""COMPUTED_VALUE"""),151.22)</f>
        <v>151.22</v>
      </c>
      <c r="C81" s="1">
        <f>IFERROR(__xludf.DUMMYFUNCTION("""COMPUTED_VALUE"""),151.46)</f>
        <v>151.46</v>
      </c>
      <c r="D81" s="1">
        <f>IFERROR(__xludf.DUMMYFUNCTION("""COMPUTED_VALUE"""),145.08)</f>
        <v>145.08</v>
      </c>
      <c r="E81" s="1">
        <f>IFERROR(__xludf.DUMMYFUNCTION("""COMPUTED_VALUE"""),145.5)</f>
        <v>145.5</v>
      </c>
      <c r="F81" s="1">
        <f>IFERROR(__xludf.DUMMYFUNCTION("""COMPUTED_VALUE"""),1212742.0)</f>
        <v>1212742</v>
      </c>
      <c r="G81" s="2" t="s">
        <v>14</v>
      </c>
    </row>
    <row r="82">
      <c r="A82" s="3">
        <f>IFERROR(__xludf.DUMMYFUNCTION("""COMPUTED_VALUE"""),44678.72916666667)</f>
        <v>44678.72917</v>
      </c>
      <c r="B82" s="1">
        <f>IFERROR(__xludf.DUMMYFUNCTION("""COMPUTED_VALUE"""),145.9)</f>
        <v>145.9</v>
      </c>
      <c r="C82" s="1">
        <f>IFERROR(__xludf.DUMMYFUNCTION("""COMPUTED_VALUE"""),147.3)</f>
        <v>147.3</v>
      </c>
      <c r="D82" s="1">
        <f>IFERROR(__xludf.DUMMYFUNCTION("""COMPUTED_VALUE"""),141.76)</f>
        <v>141.76</v>
      </c>
      <c r="E82" s="1">
        <f>IFERROR(__xludf.DUMMYFUNCTION("""COMPUTED_VALUE"""),145.5)</f>
        <v>145.5</v>
      </c>
      <c r="F82" s="1">
        <f>IFERROR(__xludf.DUMMYFUNCTION("""COMPUTED_VALUE"""),1083510.0)</f>
        <v>1083510</v>
      </c>
      <c r="G82" s="2" t="s">
        <v>14</v>
      </c>
    </row>
    <row r="83">
      <c r="A83" s="3">
        <f>IFERROR(__xludf.DUMMYFUNCTION("""COMPUTED_VALUE"""),44679.72916666667)</f>
        <v>44679.72917</v>
      </c>
      <c r="B83" s="1">
        <f>IFERROR(__xludf.DUMMYFUNCTION("""COMPUTED_VALUE"""),147.8)</f>
        <v>147.8</v>
      </c>
      <c r="C83" s="1">
        <f>IFERROR(__xludf.DUMMYFUNCTION("""COMPUTED_VALUE"""),149.62)</f>
        <v>149.62</v>
      </c>
      <c r="D83" s="1">
        <f>IFERROR(__xludf.DUMMYFUNCTION("""COMPUTED_VALUE"""),146.02)</f>
        <v>146.02</v>
      </c>
      <c r="E83" s="1">
        <f>IFERROR(__xludf.DUMMYFUNCTION("""COMPUTED_VALUE"""),147.34)</f>
        <v>147.34</v>
      </c>
      <c r="F83" s="1">
        <f>IFERROR(__xludf.DUMMYFUNCTION("""COMPUTED_VALUE"""),889503.0)</f>
        <v>889503</v>
      </c>
      <c r="G83" s="2" t="s">
        <v>14</v>
      </c>
    </row>
    <row r="84">
      <c r="A84" s="3">
        <f>IFERROR(__xludf.DUMMYFUNCTION("""COMPUTED_VALUE"""),44680.72916666667)</f>
        <v>44680.72917</v>
      </c>
      <c r="B84" s="1">
        <f>IFERROR(__xludf.DUMMYFUNCTION("""COMPUTED_VALUE"""),148.58)</f>
        <v>148.58</v>
      </c>
      <c r="C84" s="1">
        <f>IFERROR(__xludf.DUMMYFUNCTION("""COMPUTED_VALUE"""),150.3)</f>
        <v>150.3</v>
      </c>
      <c r="D84" s="1">
        <f>IFERROR(__xludf.DUMMYFUNCTION("""COMPUTED_VALUE"""),148.02)</f>
        <v>148.02</v>
      </c>
      <c r="E84" s="1">
        <f>IFERROR(__xludf.DUMMYFUNCTION("""COMPUTED_VALUE"""),148.94)</f>
        <v>148.94</v>
      </c>
      <c r="F84" s="1">
        <f>IFERROR(__xludf.DUMMYFUNCTION("""COMPUTED_VALUE"""),824127.0)</f>
        <v>824127</v>
      </c>
      <c r="G84" s="2" t="s">
        <v>14</v>
      </c>
    </row>
    <row r="85">
      <c r="A85" s="3">
        <f>IFERROR(__xludf.DUMMYFUNCTION("""COMPUTED_VALUE"""),44683.72916666667)</f>
        <v>44683.72917</v>
      </c>
      <c r="B85" s="1">
        <f>IFERROR(__xludf.DUMMYFUNCTION("""COMPUTED_VALUE"""),149.0)</f>
        <v>149</v>
      </c>
      <c r="C85" s="1">
        <f>IFERROR(__xludf.DUMMYFUNCTION("""COMPUTED_VALUE"""),149.22)</f>
        <v>149.22</v>
      </c>
      <c r="D85" s="1">
        <f>IFERROR(__xludf.DUMMYFUNCTION("""COMPUTED_VALUE"""),140.0)</f>
        <v>140</v>
      </c>
      <c r="E85" s="1">
        <f>IFERROR(__xludf.DUMMYFUNCTION("""COMPUTED_VALUE"""),147.22)</f>
        <v>147.22</v>
      </c>
      <c r="F85" s="1">
        <f>IFERROR(__xludf.DUMMYFUNCTION("""COMPUTED_VALUE"""),1156386.0)</f>
        <v>1156386</v>
      </c>
      <c r="G85" s="2" t="s">
        <v>14</v>
      </c>
    </row>
    <row r="86">
      <c r="A86" s="3">
        <f>IFERROR(__xludf.DUMMYFUNCTION("""COMPUTED_VALUE"""),44684.72916666667)</f>
        <v>44684.72917</v>
      </c>
      <c r="B86" s="1">
        <f>IFERROR(__xludf.DUMMYFUNCTION("""COMPUTED_VALUE"""),148.64)</f>
        <v>148.64</v>
      </c>
      <c r="C86" s="1">
        <f>IFERROR(__xludf.DUMMYFUNCTION("""COMPUTED_VALUE"""),151.12)</f>
        <v>151.12</v>
      </c>
      <c r="D86" s="1">
        <f>IFERROR(__xludf.DUMMYFUNCTION("""COMPUTED_VALUE"""),147.74)</f>
        <v>147.74</v>
      </c>
      <c r="E86" s="1">
        <f>IFERROR(__xludf.DUMMYFUNCTION("""COMPUTED_VALUE"""),150.2)</f>
        <v>150.2</v>
      </c>
      <c r="F86" s="1">
        <f>IFERROR(__xludf.DUMMYFUNCTION("""COMPUTED_VALUE"""),1140555.0)</f>
        <v>1140555</v>
      </c>
      <c r="G86" s="2" t="s">
        <v>14</v>
      </c>
    </row>
    <row r="87">
      <c r="A87" s="3">
        <f>IFERROR(__xludf.DUMMYFUNCTION("""COMPUTED_VALUE"""),44685.72916666667)</f>
        <v>44685.72917</v>
      </c>
      <c r="B87" s="1">
        <f>IFERROR(__xludf.DUMMYFUNCTION("""COMPUTED_VALUE"""),151.52)</f>
        <v>151.52</v>
      </c>
      <c r="C87" s="1">
        <f>IFERROR(__xludf.DUMMYFUNCTION("""COMPUTED_VALUE"""),153.66)</f>
        <v>153.66</v>
      </c>
      <c r="D87" s="1">
        <f>IFERROR(__xludf.DUMMYFUNCTION("""COMPUTED_VALUE"""),147.22)</f>
        <v>147.22</v>
      </c>
      <c r="E87" s="1">
        <f>IFERROR(__xludf.DUMMYFUNCTION("""COMPUTED_VALUE"""),148.52)</f>
        <v>148.52</v>
      </c>
      <c r="F87" s="1">
        <f>IFERROR(__xludf.DUMMYFUNCTION("""COMPUTED_VALUE"""),970928.0)</f>
        <v>970928</v>
      </c>
      <c r="G87" s="2" t="s">
        <v>14</v>
      </c>
    </row>
    <row r="88">
      <c r="A88" s="3">
        <f>IFERROR(__xludf.DUMMYFUNCTION("""COMPUTED_VALUE"""),44686.72916666667)</f>
        <v>44686.72917</v>
      </c>
      <c r="B88" s="1">
        <f>IFERROR(__xludf.DUMMYFUNCTION("""COMPUTED_VALUE"""),152.52)</f>
        <v>152.52</v>
      </c>
      <c r="C88" s="1">
        <f>IFERROR(__xludf.DUMMYFUNCTION("""COMPUTED_VALUE"""),153.5)</f>
        <v>153.5</v>
      </c>
      <c r="D88" s="1">
        <f>IFERROR(__xludf.DUMMYFUNCTION("""COMPUTED_VALUE"""),146.56)</f>
        <v>146.56</v>
      </c>
      <c r="E88" s="1">
        <f>IFERROR(__xludf.DUMMYFUNCTION("""COMPUTED_VALUE"""),147.18)</f>
        <v>147.18</v>
      </c>
      <c r="F88" s="1">
        <f>IFERROR(__xludf.DUMMYFUNCTION("""COMPUTED_VALUE"""),1066733.0)</f>
        <v>1066733</v>
      </c>
      <c r="G88" s="2" t="s">
        <v>14</v>
      </c>
    </row>
    <row r="89">
      <c r="A89" s="3">
        <f>IFERROR(__xludf.DUMMYFUNCTION("""COMPUTED_VALUE"""),44687.72916666667)</f>
        <v>44687.72917</v>
      </c>
      <c r="B89" s="1">
        <f>IFERROR(__xludf.DUMMYFUNCTION("""COMPUTED_VALUE"""),147.0)</f>
        <v>147</v>
      </c>
      <c r="C89" s="1">
        <f>IFERROR(__xludf.DUMMYFUNCTION("""COMPUTED_VALUE"""),147.76)</f>
        <v>147.76</v>
      </c>
      <c r="D89" s="1">
        <f>IFERROR(__xludf.DUMMYFUNCTION("""COMPUTED_VALUE"""),142.94)</f>
        <v>142.94</v>
      </c>
      <c r="E89" s="1">
        <f>IFERROR(__xludf.DUMMYFUNCTION("""COMPUTED_VALUE"""),145.86)</f>
        <v>145.86</v>
      </c>
      <c r="F89" s="1">
        <f>IFERROR(__xludf.DUMMYFUNCTION("""COMPUTED_VALUE"""),1269840.0)</f>
        <v>1269840</v>
      </c>
      <c r="G89" s="2" t="s">
        <v>14</v>
      </c>
    </row>
    <row r="90">
      <c r="A90" s="3">
        <f>IFERROR(__xludf.DUMMYFUNCTION("""COMPUTED_VALUE"""),44690.72916666667)</f>
        <v>44690.72917</v>
      </c>
      <c r="B90" s="1">
        <f>IFERROR(__xludf.DUMMYFUNCTION("""COMPUTED_VALUE"""),145.88)</f>
        <v>145.88</v>
      </c>
      <c r="C90" s="1">
        <f>IFERROR(__xludf.DUMMYFUNCTION("""COMPUTED_VALUE"""),147.68)</f>
        <v>147.68</v>
      </c>
      <c r="D90" s="1">
        <f>IFERROR(__xludf.DUMMYFUNCTION("""COMPUTED_VALUE"""),142.16)</f>
        <v>142.16</v>
      </c>
      <c r="E90" s="1">
        <f>IFERROR(__xludf.DUMMYFUNCTION("""COMPUTED_VALUE"""),142.72)</f>
        <v>142.72</v>
      </c>
      <c r="F90" s="1">
        <f>IFERROR(__xludf.DUMMYFUNCTION("""COMPUTED_VALUE"""),1155025.0)</f>
        <v>1155025</v>
      </c>
      <c r="G90" s="2" t="s">
        <v>14</v>
      </c>
    </row>
    <row r="91">
      <c r="A91" s="3">
        <f>IFERROR(__xludf.DUMMYFUNCTION("""COMPUTED_VALUE"""),44691.72916666667)</f>
        <v>44691.72917</v>
      </c>
      <c r="B91" s="1">
        <f>IFERROR(__xludf.DUMMYFUNCTION("""COMPUTED_VALUE"""),145.18)</f>
        <v>145.18</v>
      </c>
      <c r="C91" s="1">
        <f>IFERROR(__xludf.DUMMYFUNCTION("""COMPUTED_VALUE"""),146.12)</f>
        <v>146.12</v>
      </c>
      <c r="D91" s="1">
        <f>IFERROR(__xludf.DUMMYFUNCTION("""COMPUTED_VALUE"""),142.62)</f>
        <v>142.62</v>
      </c>
      <c r="E91" s="1">
        <f>IFERROR(__xludf.DUMMYFUNCTION("""COMPUTED_VALUE"""),142.8)</f>
        <v>142.8</v>
      </c>
      <c r="F91" s="1">
        <f>IFERROR(__xludf.DUMMYFUNCTION("""COMPUTED_VALUE"""),1112745.0)</f>
        <v>1112745</v>
      </c>
      <c r="G91" s="2" t="s">
        <v>14</v>
      </c>
    </row>
    <row r="92">
      <c r="A92" s="3">
        <f>IFERROR(__xludf.DUMMYFUNCTION("""COMPUTED_VALUE"""),44692.72916666667)</f>
        <v>44692.72917</v>
      </c>
      <c r="B92" s="1">
        <f>IFERROR(__xludf.DUMMYFUNCTION("""COMPUTED_VALUE"""),144.56)</f>
        <v>144.56</v>
      </c>
      <c r="C92" s="1">
        <f>IFERROR(__xludf.DUMMYFUNCTION("""COMPUTED_VALUE"""),148.9)</f>
        <v>148.9</v>
      </c>
      <c r="D92" s="1">
        <f>IFERROR(__xludf.DUMMYFUNCTION("""COMPUTED_VALUE"""),144.16)</f>
        <v>144.16</v>
      </c>
      <c r="E92" s="1">
        <f>IFERROR(__xludf.DUMMYFUNCTION("""COMPUTED_VALUE"""),146.7)</f>
        <v>146.7</v>
      </c>
      <c r="F92" s="1">
        <f>IFERROR(__xludf.DUMMYFUNCTION("""COMPUTED_VALUE"""),1242291.0)</f>
        <v>1242291</v>
      </c>
      <c r="G92" s="2" t="s">
        <v>14</v>
      </c>
    </row>
    <row r="93">
      <c r="A93" s="3">
        <f>IFERROR(__xludf.DUMMYFUNCTION("""COMPUTED_VALUE"""),44693.72916666667)</f>
        <v>44693.72917</v>
      </c>
      <c r="B93" s="1">
        <f>IFERROR(__xludf.DUMMYFUNCTION("""COMPUTED_VALUE"""),144.1)</f>
        <v>144.1</v>
      </c>
      <c r="C93" s="1">
        <f>IFERROR(__xludf.DUMMYFUNCTION("""COMPUTED_VALUE"""),148.0)</f>
        <v>148</v>
      </c>
      <c r="D93" s="1">
        <f>IFERROR(__xludf.DUMMYFUNCTION("""COMPUTED_VALUE"""),143.62)</f>
        <v>143.62</v>
      </c>
      <c r="E93" s="1">
        <f>IFERROR(__xludf.DUMMYFUNCTION("""COMPUTED_VALUE"""),146.44)</f>
        <v>146.44</v>
      </c>
      <c r="F93" s="1">
        <f>IFERROR(__xludf.DUMMYFUNCTION("""COMPUTED_VALUE"""),1571245.0)</f>
        <v>1571245</v>
      </c>
      <c r="G93" s="2" t="s">
        <v>14</v>
      </c>
    </row>
    <row r="94">
      <c r="A94" s="3">
        <f>IFERROR(__xludf.DUMMYFUNCTION("""COMPUTED_VALUE"""),44694.72916666667)</f>
        <v>44694.72917</v>
      </c>
      <c r="B94" s="1">
        <f>IFERROR(__xludf.DUMMYFUNCTION("""COMPUTED_VALUE"""),142.56)</f>
        <v>142.56</v>
      </c>
      <c r="C94" s="1">
        <f>IFERROR(__xludf.DUMMYFUNCTION("""COMPUTED_VALUE"""),144.22)</f>
        <v>144.22</v>
      </c>
      <c r="D94" s="1">
        <f>IFERROR(__xludf.DUMMYFUNCTION("""COMPUTED_VALUE"""),140.44)</f>
        <v>140.44</v>
      </c>
      <c r="E94" s="1">
        <f>IFERROR(__xludf.DUMMYFUNCTION("""COMPUTED_VALUE"""),144.2)</f>
        <v>144.2</v>
      </c>
      <c r="F94" s="1">
        <f>IFERROR(__xludf.DUMMYFUNCTION("""COMPUTED_VALUE"""),1350831.0)</f>
        <v>1350831</v>
      </c>
      <c r="G94" s="2" t="s">
        <v>14</v>
      </c>
    </row>
    <row r="95">
      <c r="A95" s="3">
        <f>IFERROR(__xludf.DUMMYFUNCTION("""COMPUTED_VALUE"""),44697.72916666667)</f>
        <v>44697.72917</v>
      </c>
      <c r="B95" s="1">
        <f>IFERROR(__xludf.DUMMYFUNCTION("""COMPUTED_VALUE"""),143.6)</f>
        <v>143.6</v>
      </c>
      <c r="C95" s="1">
        <f>IFERROR(__xludf.DUMMYFUNCTION("""COMPUTED_VALUE"""),145.52)</f>
        <v>145.52</v>
      </c>
      <c r="D95" s="1">
        <f>IFERROR(__xludf.DUMMYFUNCTION("""COMPUTED_VALUE"""),142.76)</f>
        <v>142.76</v>
      </c>
      <c r="E95" s="1">
        <f>IFERROR(__xludf.DUMMYFUNCTION("""COMPUTED_VALUE"""),144.74)</f>
        <v>144.74</v>
      </c>
      <c r="F95" s="1">
        <f>IFERROR(__xludf.DUMMYFUNCTION("""COMPUTED_VALUE"""),702490.0)</f>
        <v>702490</v>
      </c>
      <c r="G95" s="2" t="s">
        <v>14</v>
      </c>
    </row>
    <row r="96">
      <c r="A96" s="3">
        <f>IFERROR(__xludf.DUMMYFUNCTION("""COMPUTED_VALUE"""),44698.72916666667)</f>
        <v>44698.72917</v>
      </c>
      <c r="B96" s="1">
        <f>IFERROR(__xludf.DUMMYFUNCTION("""COMPUTED_VALUE"""),146.18)</f>
        <v>146.18</v>
      </c>
      <c r="C96" s="1">
        <f>IFERROR(__xludf.DUMMYFUNCTION("""COMPUTED_VALUE"""),147.8)</f>
        <v>147.8</v>
      </c>
      <c r="D96" s="1">
        <f>IFERROR(__xludf.DUMMYFUNCTION("""COMPUTED_VALUE"""),145.04)</f>
        <v>145.04</v>
      </c>
      <c r="E96" s="1">
        <f>IFERROR(__xludf.DUMMYFUNCTION("""COMPUTED_VALUE"""),145.92)</f>
        <v>145.92</v>
      </c>
      <c r="F96" s="1">
        <f>IFERROR(__xludf.DUMMYFUNCTION("""COMPUTED_VALUE"""),760147.0)</f>
        <v>760147</v>
      </c>
      <c r="G96" s="2" t="s">
        <v>14</v>
      </c>
    </row>
    <row r="97">
      <c r="A97" s="3">
        <f>IFERROR(__xludf.DUMMYFUNCTION("""COMPUTED_VALUE"""),44699.72916666667)</f>
        <v>44699.72917</v>
      </c>
      <c r="B97" s="1">
        <f>IFERROR(__xludf.DUMMYFUNCTION("""COMPUTED_VALUE"""),146.82)</f>
        <v>146.82</v>
      </c>
      <c r="C97" s="1">
        <f>IFERROR(__xludf.DUMMYFUNCTION("""COMPUTED_VALUE"""),147.76)</f>
        <v>147.76</v>
      </c>
      <c r="D97" s="1">
        <f>IFERROR(__xludf.DUMMYFUNCTION("""COMPUTED_VALUE"""),145.5)</f>
        <v>145.5</v>
      </c>
      <c r="E97" s="1">
        <f>IFERROR(__xludf.DUMMYFUNCTION("""COMPUTED_VALUE"""),145.98)</f>
        <v>145.98</v>
      </c>
      <c r="F97" s="1">
        <f>IFERROR(__xludf.DUMMYFUNCTION("""COMPUTED_VALUE"""),724823.0)</f>
        <v>724823</v>
      </c>
      <c r="G97" s="2" t="s">
        <v>14</v>
      </c>
    </row>
    <row r="98">
      <c r="A98" s="3">
        <f>IFERROR(__xludf.DUMMYFUNCTION("""COMPUTED_VALUE"""),44700.72916666667)</f>
        <v>44700.72917</v>
      </c>
      <c r="B98" s="1">
        <f>IFERROR(__xludf.DUMMYFUNCTION("""COMPUTED_VALUE"""),144.02)</f>
        <v>144.02</v>
      </c>
      <c r="C98" s="1">
        <f>IFERROR(__xludf.DUMMYFUNCTION("""COMPUTED_VALUE"""),145.32)</f>
        <v>145.32</v>
      </c>
      <c r="D98" s="1">
        <f>IFERROR(__xludf.DUMMYFUNCTION("""COMPUTED_VALUE"""),141.64)</f>
        <v>141.64</v>
      </c>
      <c r="E98" s="1">
        <f>IFERROR(__xludf.DUMMYFUNCTION("""COMPUTED_VALUE"""),145.32)</f>
        <v>145.32</v>
      </c>
      <c r="F98" s="1">
        <f>IFERROR(__xludf.DUMMYFUNCTION("""COMPUTED_VALUE"""),879851.0)</f>
        <v>879851</v>
      </c>
      <c r="G98" s="2" t="s">
        <v>14</v>
      </c>
    </row>
    <row r="99">
      <c r="A99" s="3">
        <f>IFERROR(__xludf.DUMMYFUNCTION("""COMPUTED_VALUE"""),44701.72916666667)</f>
        <v>44701.72917</v>
      </c>
      <c r="B99" s="1">
        <f>IFERROR(__xludf.DUMMYFUNCTION("""COMPUTED_VALUE"""),146.48)</f>
        <v>146.48</v>
      </c>
      <c r="C99" s="1">
        <f>IFERROR(__xludf.DUMMYFUNCTION("""COMPUTED_VALUE"""),149.92)</f>
        <v>149.92</v>
      </c>
      <c r="D99" s="1">
        <f>IFERROR(__xludf.DUMMYFUNCTION("""COMPUTED_VALUE"""),145.02)</f>
        <v>145.02</v>
      </c>
      <c r="E99" s="1">
        <f>IFERROR(__xludf.DUMMYFUNCTION("""COMPUTED_VALUE"""),145.68)</f>
        <v>145.68</v>
      </c>
      <c r="F99" s="1">
        <f>IFERROR(__xludf.DUMMYFUNCTION("""COMPUTED_VALUE"""),1108414.0)</f>
        <v>1108414</v>
      </c>
      <c r="G99" s="2" t="s">
        <v>14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IFERROR(__xludf.DUMMYFUNCTION("""COMPUTED_VALUE"""),148.0)</f>
        <v>148</v>
      </c>
      <c r="C100" s="1">
        <f>IFERROR(__xludf.DUMMYFUNCTION("""COMPUTED_VALUE"""),149.46)</f>
        <v>149.46</v>
      </c>
      <c r="D100" s="1">
        <f>IFERROR(__xludf.DUMMYFUNCTION("""COMPUTED_VALUE"""),145.52)</f>
        <v>145.52</v>
      </c>
      <c r="E100" s="1">
        <f>IFERROR(__xludf.DUMMYFUNCTION("""COMPUTED_VALUE"""),147.82)</f>
        <v>147.82</v>
      </c>
      <c r="F100" s="1">
        <f>IFERROR(__xludf.DUMMYFUNCTION("""COMPUTED_VALUE"""),765952.0)</f>
        <v>765952</v>
      </c>
      <c r="G100" s="2" t="s">
        <v>14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IFERROR(__xludf.DUMMYFUNCTION("""COMPUTED_VALUE"""),146.5)</f>
        <v>146.5</v>
      </c>
      <c r="C101" s="1">
        <f>IFERROR(__xludf.DUMMYFUNCTION("""COMPUTED_VALUE"""),148.92)</f>
        <v>148.92</v>
      </c>
      <c r="D101" s="1">
        <f>IFERROR(__xludf.DUMMYFUNCTION("""COMPUTED_VALUE"""),144.68)</f>
        <v>144.68</v>
      </c>
      <c r="E101" s="1">
        <f>IFERROR(__xludf.DUMMYFUNCTION("""COMPUTED_VALUE"""),145.44)</f>
        <v>145.44</v>
      </c>
      <c r="F101" s="1">
        <f>IFERROR(__xludf.DUMMYFUNCTION("""COMPUTED_VALUE"""),810939.0)</f>
        <v>810939</v>
      </c>
      <c r="G101" s="2" t="s">
        <v>14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IFERROR(__xludf.DUMMYFUNCTION("""COMPUTED_VALUE"""),147.2)</f>
        <v>147.2</v>
      </c>
      <c r="C102" s="1">
        <f>IFERROR(__xludf.DUMMYFUNCTION("""COMPUTED_VALUE"""),147.86)</f>
        <v>147.86</v>
      </c>
      <c r="D102" s="1">
        <f>IFERROR(__xludf.DUMMYFUNCTION("""COMPUTED_VALUE"""),144.38)</f>
        <v>144.38</v>
      </c>
      <c r="E102" s="1">
        <f>IFERROR(__xludf.DUMMYFUNCTION("""COMPUTED_VALUE"""),147.78)</f>
        <v>147.78</v>
      </c>
      <c r="F102" s="1">
        <f>IFERROR(__xludf.DUMMYFUNCTION("""COMPUTED_VALUE"""),796983.0)</f>
        <v>796983</v>
      </c>
      <c r="G102" s="2" t="s">
        <v>14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IFERROR(__xludf.DUMMYFUNCTION("""COMPUTED_VALUE"""),148.3)</f>
        <v>148.3</v>
      </c>
      <c r="C103" s="1">
        <f>IFERROR(__xludf.DUMMYFUNCTION("""COMPUTED_VALUE"""),151.46)</f>
        <v>151.46</v>
      </c>
      <c r="D103" s="1">
        <f>IFERROR(__xludf.DUMMYFUNCTION("""COMPUTED_VALUE"""),146.06)</f>
        <v>146.06</v>
      </c>
      <c r="E103" s="1">
        <f>IFERROR(__xludf.DUMMYFUNCTION("""COMPUTED_VALUE"""),151.34)</f>
        <v>151.34</v>
      </c>
      <c r="F103" s="1">
        <f>IFERROR(__xludf.DUMMYFUNCTION("""COMPUTED_VALUE"""),884473.0)</f>
        <v>884473</v>
      </c>
      <c r="G103" s="2" t="s">
        <v>14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IFERROR(__xludf.DUMMYFUNCTION("""COMPUTED_VALUE"""),151.14)</f>
        <v>151.14</v>
      </c>
      <c r="C104" s="1">
        <f>IFERROR(__xludf.DUMMYFUNCTION("""COMPUTED_VALUE"""),152.78)</f>
        <v>152.78</v>
      </c>
      <c r="D104" s="1">
        <f>IFERROR(__xludf.DUMMYFUNCTION("""COMPUTED_VALUE"""),149.6)</f>
        <v>149.6</v>
      </c>
      <c r="E104" s="1">
        <f>IFERROR(__xludf.DUMMYFUNCTION("""COMPUTED_VALUE"""),152.24)</f>
        <v>152.24</v>
      </c>
      <c r="F104" s="1">
        <f>IFERROR(__xludf.DUMMYFUNCTION("""COMPUTED_VALUE"""),855870.0)</f>
        <v>855870</v>
      </c>
      <c r="G104" s="2" t="s">
        <v>14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IFERROR(__xludf.DUMMYFUNCTION("""COMPUTED_VALUE"""),153.4)</f>
        <v>153.4</v>
      </c>
      <c r="C105" s="1">
        <f>IFERROR(__xludf.DUMMYFUNCTION("""COMPUTED_VALUE"""),154.78)</f>
        <v>154.78</v>
      </c>
      <c r="D105" s="1">
        <f>IFERROR(__xludf.DUMMYFUNCTION("""COMPUTED_VALUE"""),152.5)</f>
        <v>152.5</v>
      </c>
      <c r="E105" s="1">
        <f>IFERROR(__xludf.DUMMYFUNCTION("""COMPUTED_VALUE"""),153.96)</f>
        <v>153.96</v>
      </c>
      <c r="F105" s="1">
        <f>IFERROR(__xludf.DUMMYFUNCTION("""COMPUTED_VALUE"""),647158.0)</f>
        <v>647158</v>
      </c>
      <c r="G105" s="2" t="s">
        <v>14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IFERROR(__xludf.DUMMYFUNCTION("""COMPUTED_VALUE"""),154.5)</f>
        <v>154.5</v>
      </c>
      <c r="C106" s="1">
        <f>IFERROR(__xludf.DUMMYFUNCTION("""COMPUTED_VALUE"""),155.88)</f>
        <v>155.88</v>
      </c>
      <c r="D106" s="1">
        <f>IFERROR(__xludf.DUMMYFUNCTION("""COMPUTED_VALUE"""),152.62)</f>
        <v>152.62</v>
      </c>
      <c r="E106" s="1">
        <f>IFERROR(__xludf.DUMMYFUNCTION("""COMPUTED_VALUE"""),154.68)</f>
        <v>154.68</v>
      </c>
      <c r="F106" s="1">
        <f>IFERROR(__xludf.DUMMYFUNCTION("""COMPUTED_VALUE"""),1193371.0)</f>
        <v>1193371</v>
      </c>
      <c r="G106" s="2" t="s">
        <v>14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IFERROR(__xludf.DUMMYFUNCTION("""COMPUTED_VALUE"""),155.88)</f>
        <v>155.88</v>
      </c>
      <c r="C107" s="1">
        <f>IFERROR(__xludf.DUMMYFUNCTION("""COMPUTED_VALUE"""),160.74)</f>
        <v>160.74</v>
      </c>
      <c r="D107" s="1">
        <f>IFERROR(__xludf.DUMMYFUNCTION("""COMPUTED_VALUE"""),155.66)</f>
        <v>155.66</v>
      </c>
      <c r="E107" s="1">
        <f>IFERROR(__xludf.DUMMYFUNCTION("""COMPUTED_VALUE"""),157.8)</f>
        <v>157.8</v>
      </c>
      <c r="F107" s="1">
        <f>IFERROR(__xludf.DUMMYFUNCTION("""COMPUTED_VALUE"""),1178089.0)</f>
        <v>1178089</v>
      </c>
      <c r="G107" s="2" t="s">
        <v>14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IFERROR(__xludf.DUMMYFUNCTION("""COMPUTED_VALUE"""),158.08)</f>
        <v>158.08</v>
      </c>
      <c r="C108" s="1">
        <f>IFERROR(__xludf.DUMMYFUNCTION("""COMPUTED_VALUE"""),160.04)</f>
        <v>160.04</v>
      </c>
      <c r="D108" s="1">
        <f>IFERROR(__xludf.DUMMYFUNCTION("""COMPUTED_VALUE"""),157.26)</f>
        <v>157.26</v>
      </c>
      <c r="E108" s="1">
        <f>IFERROR(__xludf.DUMMYFUNCTION("""COMPUTED_VALUE"""),158.96)</f>
        <v>158.96</v>
      </c>
      <c r="F108" s="1">
        <f>IFERROR(__xludf.DUMMYFUNCTION("""COMPUTED_VALUE"""),582406.0)</f>
        <v>582406</v>
      </c>
      <c r="G108" s="2" t="s">
        <v>14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IFERROR(__xludf.DUMMYFUNCTION("""COMPUTED_VALUE"""),160.18)</f>
        <v>160.18</v>
      </c>
      <c r="C109" s="1">
        <f>IFERROR(__xludf.DUMMYFUNCTION("""COMPUTED_VALUE"""),160.86)</f>
        <v>160.86</v>
      </c>
      <c r="D109" s="1">
        <f>IFERROR(__xludf.DUMMYFUNCTION("""COMPUTED_VALUE"""),156.68)</f>
        <v>156.68</v>
      </c>
      <c r="E109" s="1">
        <f>IFERROR(__xludf.DUMMYFUNCTION("""COMPUTED_VALUE"""),156.68)</f>
        <v>156.68</v>
      </c>
      <c r="F109" s="1">
        <f>IFERROR(__xludf.DUMMYFUNCTION("""COMPUTED_VALUE"""),576842.0)</f>
        <v>576842</v>
      </c>
      <c r="G109" s="2" t="s">
        <v>14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IFERROR(__xludf.DUMMYFUNCTION("""COMPUTED_VALUE"""),158.44)</f>
        <v>158.44</v>
      </c>
      <c r="C110" s="1">
        <f>IFERROR(__xludf.DUMMYFUNCTION("""COMPUTED_VALUE"""),159.88)</f>
        <v>159.88</v>
      </c>
      <c r="D110" s="1">
        <f>IFERROR(__xludf.DUMMYFUNCTION("""COMPUTED_VALUE"""),157.16)</f>
        <v>157.16</v>
      </c>
      <c r="E110" s="1">
        <f>IFERROR(__xludf.DUMMYFUNCTION("""COMPUTED_VALUE"""),158.6)</f>
        <v>158.6</v>
      </c>
      <c r="F110" s="1">
        <f>IFERROR(__xludf.DUMMYFUNCTION("""COMPUTED_VALUE"""),478241.0)</f>
        <v>478241</v>
      </c>
      <c r="G110" s="2" t="s">
        <v>14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IFERROR(__xludf.DUMMYFUNCTION("""COMPUTED_VALUE"""),156.84)</f>
        <v>156.84</v>
      </c>
      <c r="C111" s="1">
        <f>IFERROR(__xludf.DUMMYFUNCTION("""COMPUTED_VALUE"""),157.94)</f>
        <v>157.94</v>
      </c>
      <c r="D111" s="1">
        <f>IFERROR(__xludf.DUMMYFUNCTION("""COMPUTED_VALUE"""),156.14)</f>
        <v>156.14</v>
      </c>
      <c r="E111" s="1">
        <f>IFERROR(__xludf.DUMMYFUNCTION("""COMPUTED_VALUE"""),157.66)</f>
        <v>157.66</v>
      </c>
      <c r="F111" s="1">
        <f>IFERROR(__xludf.DUMMYFUNCTION("""COMPUTED_VALUE"""),537813.0)</f>
        <v>537813</v>
      </c>
      <c r="G111" s="2" t="s">
        <v>14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IFERROR(__xludf.DUMMYFUNCTION("""COMPUTED_VALUE"""),158.7)</f>
        <v>158.7</v>
      </c>
      <c r="C112" s="1">
        <f>IFERROR(__xludf.DUMMYFUNCTION("""COMPUTED_VALUE"""),159.8)</f>
        <v>159.8</v>
      </c>
      <c r="D112" s="1">
        <f>IFERROR(__xludf.DUMMYFUNCTION("""COMPUTED_VALUE"""),157.0)</f>
        <v>157</v>
      </c>
      <c r="E112" s="1">
        <f>IFERROR(__xludf.DUMMYFUNCTION("""COMPUTED_VALUE"""),159.8)</f>
        <v>159.8</v>
      </c>
      <c r="F112" s="1">
        <f>IFERROR(__xludf.DUMMYFUNCTION("""COMPUTED_VALUE"""),603921.0)</f>
        <v>603921</v>
      </c>
      <c r="G112" s="2" t="s">
        <v>14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IFERROR(__xludf.DUMMYFUNCTION("""COMPUTED_VALUE"""),158.12)</f>
        <v>158.12</v>
      </c>
      <c r="C113" s="1">
        <f>IFERROR(__xludf.DUMMYFUNCTION("""COMPUTED_VALUE"""),159.56)</f>
        <v>159.56</v>
      </c>
      <c r="D113" s="1">
        <f>IFERROR(__xludf.DUMMYFUNCTION("""COMPUTED_VALUE"""),155.6)</f>
        <v>155.6</v>
      </c>
      <c r="E113" s="1">
        <f>IFERROR(__xludf.DUMMYFUNCTION("""COMPUTED_VALUE"""),157.2)</f>
        <v>157.2</v>
      </c>
      <c r="F113" s="1">
        <f>IFERROR(__xludf.DUMMYFUNCTION("""COMPUTED_VALUE"""),700570.0)</f>
        <v>700570</v>
      </c>
      <c r="G113" s="2" t="s">
        <v>14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IFERROR(__xludf.DUMMYFUNCTION("""COMPUTED_VALUE"""),156.3)</f>
        <v>156.3</v>
      </c>
      <c r="C114" s="1">
        <f>IFERROR(__xludf.DUMMYFUNCTION("""COMPUTED_VALUE"""),156.7)</f>
        <v>156.7</v>
      </c>
      <c r="D114" s="1">
        <f>IFERROR(__xludf.DUMMYFUNCTION("""COMPUTED_VALUE"""),151.34)</f>
        <v>151.34</v>
      </c>
      <c r="E114" s="1">
        <f>IFERROR(__xludf.DUMMYFUNCTION("""COMPUTED_VALUE"""),152.28)</f>
        <v>152.28</v>
      </c>
      <c r="F114" s="1">
        <f>IFERROR(__xludf.DUMMYFUNCTION("""COMPUTED_VALUE"""),886515.0)</f>
        <v>886515</v>
      </c>
      <c r="G114" s="2" t="s">
        <v>14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IFERROR(__xludf.DUMMYFUNCTION("""COMPUTED_VALUE"""),148.32)</f>
        <v>148.32</v>
      </c>
      <c r="C115" s="1">
        <f>IFERROR(__xludf.DUMMYFUNCTION("""COMPUTED_VALUE"""),149.34)</f>
        <v>149.34</v>
      </c>
      <c r="D115" s="1">
        <f>IFERROR(__xludf.DUMMYFUNCTION("""COMPUTED_VALUE"""),144.0)</f>
        <v>144</v>
      </c>
      <c r="E115" s="1">
        <f>IFERROR(__xludf.DUMMYFUNCTION("""COMPUTED_VALUE"""),145.18)</f>
        <v>145.18</v>
      </c>
      <c r="F115" s="1">
        <f>IFERROR(__xludf.DUMMYFUNCTION("""COMPUTED_VALUE"""),1318580.0)</f>
        <v>1318580</v>
      </c>
      <c r="G115" s="2" t="s">
        <v>14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IFERROR(__xludf.DUMMYFUNCTION("""COMPUTED_VALUE"""),146.84)</f>
        <v>146.84</v>
      </c>
      <c r="C116" s="1">
        <f>IFERROR(__xludf.DUMMYFUNCTION("""COMPUTED_VALUE"""),146.88)</f>
        <v>146.88</v>
      </c>
      <c r="D116" s="1">
        <f>IFERROR(__xludf.DUMMYFUNCTION("""COMPUTED_VALUE"""),142.72)</f>
        <v>142.72</v>
      </c>
      <c r="E116" s="1">
        <f>IFERROR(__xludf.DUMMYFUNCTION("""COMPUTED_VALUE"""),144.16)</f>
        <v>144.16</v>
      </c>
      <c r="F116" s="1">
        <f>IFERROR(__xludf.DUMMYFUNCTION("""COMPUTED_VALUE"""),831584.0)</f>
        <v>831584</v>
      </c>
      <c r="G116" s="2" t="s">
        <v>14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IFERROR(__xludf.DUMMYFUNCTION("""COMPUTED_VALUE"""),146.3)</f>
        <v>146.3</v>
      </c>
      <c r="C117" s="1">
        <f>IFERROR(__xludf.DUMMYFUNCTION("""COMPUTED_VALUE"""),148.08)</f>
        <v>148.08</v>
      </c>
      <c r="D117" s="1">
        <f>IFERROR(__xludf.DUMMYFUNCTION("""COMPUTED_VALUE"""),145.6)</f>
        <v>145.6</v>
      </c>
      <c r="E117" s="1">
        <f>IFERROR(__xludf.DUMMYFUNCTION("""COMPUTED_VALUE"""),147.06)</f>
        <v>147.06</v>
      </c>
      <c r="F117" s="1">
        <f>IFERROR(__xludf.DUMMYFUNCTION("""COMPUTED_VALUE"""),864342.0)</f>
        <v>864342</v>
      </c>
      <c r="G117" s="2" t="s">
        <v>14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IFERROR(__xludf.DUMMYFUNCTION("""COMPUTED_VALUE"""),146.8)</f>
        <v>146.8</v>
      </c>
      <c r="C118" s="1">
        <f>IFERROR(__xludf.DUMMYFUNCTION("""COMPUTED_VALUE"""),146.84)</f>
        <v>146.84</v>
      </c>
      <c r="D118" s="1">
        <f>IFERROR(__xludf.DUMMYFUNCTION("""COMPUTED_VALUE"""),142.22)</f>
        <v>142.22</v>
      </c>
      <c r="E118" s="1">
        <f>IFERROR(__xludf.DUMMYFUNCTION("""COMPUTED_VALUE"""),142.8)</f>
        <v>142.8</v>
      </c>
      <c r="F118" s="1">
        <f>IFERROR(__xludf.DUMMYFUNCTION("""COMPUTED_VALUE"""),842607.0)</f>
        <v>842607</v>
      </c>
      <c r="G118" s="2" t="s">
        <v>14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IFERROR(__xludf.DUMMYFUNCTION("""COMPUTED_VALUE"""),143.48)</f>
        <v>143.48</v>
      </c>
      <c r="C119" s="1">
        <f>IFERROR(__xludf.DUMMYFUNCTION("""COMPUTED_VALUE"""),144.04)</f>
        <v>144.04</v>
      </c>
      <c r="D119" s="1">
        <f>IFERROR(__xludf.DUMMYFUNCTION("""COMPUTED_VALUE"""),140.8)</f>
        <v>140.8</v>
      </c>
      <c r="E119" s="1">
        <f>IFERROR(__xludf.DUMMYFUNCTION("""COMPUTED_VALUE"""),141.66)</f>
        <v>141.66</v>
      </c>
      <c r="F119" s="1">
        <f>IFERROR(__xludf.DUMMYFUNCTION("""COMPUTED_VALUE"""),2127352.0)</f>
        <v>2127352</v>
      </c>
      <c r="G119" s="2" t="s">
        <v>14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IFERROR(__xludf.DUMMYFUNCTION("""COMPUTED_VALUE"""),142.1)</f>
        <v>142.1</v>
      </c>
      <c r="C120" s="1">
        <f>IFERROR(__xludf.DUMMYFUNCTION("""COMPUTED_VALUE"""),144.72)</f>
        <v>144.72</v>
      </c>
      <c r="D120" s="1">
        <f>IFERROR(__xludf.DUMMYFUNCTION("""COMPUTED_VALUE"""),141.3)</f>
        <v>141.3</v>
      </c>
      <c r="E120" s="1">
        <f>IFERROR(__xludf.DUMMYFUNCTION("""COMPUTED_VALUE"""),143.8)</f>
        <v>143.8</v>
      </c>
      <c r="F120" s="1">
        <f>IFERROR(__xludf.DUMMYFUNCTION("""COMPUTED_VALUE"""),598309.0)</f>
        <v>598309</v>
      </c>
      <c r="G120" s="2" t="s">
        <v>14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IFERROR(__xludf.DUMMYFUNCTION("""COMPUTED_VALUE"""),144.2)</f>
        <v>144.2</v>
      </c>
      <c r="C121" s="1">
        <f>IFERROR(__xludf.DUMMYFUNCTION("""COMPUTED_VALUE"""),147.2)</f>
        <v>147.2</v>
      </c>
      <c r="D121" s="1">
        <f>IFERROR(__xludf.DUMMYFUNCTION("""COMPUTED_VALUE"""),143.6)</f>
        <v>143.6</v>
      </c>
      <c r="E121" s="1">
        <f>IFERROR(__xludf.DUMMYFUNCTION("""COMPUTED_VALUE"""),146.48)</f>
        <v>146.48</v>
      </c>
      <c r="F121" s="1">
        <f>IFERROR(__xludf.DUMMYFUNCTION("""COMPUTED_VALUE"""),639999.0)</f>
        <v>639999</v>
      </c>
      <c r="G121" s="2" t="s">
        <v>14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IFERROR(__xludf.DUMMYFUNCTION("""COMPUTED_VALUE"""),144.1)</f>
        <v>144.1</v>
      </c>
      <c r="C122" s="1">
        <f>IFERROR(__xludf.DUMMYFUNCTION("""COMPUTED_VALUE"""),145.46)</f>
        <v>145.46</v>
      </c>
      <c r="D122" s="1">
        <f>IFERROR(__xludf.DUMMYFUNCTION("""COMPUTED_VALUE"""),141.32)</f>
        <v>141.32</v>
      </c>
      <c r="E122" s="1">
        <f>IFERROR(__xludf.DUMMYFUNCTION("""COMPUTED_VALUE"""),144.4)</f>
        <v>144.4</v>
      </c>
      <c r="F122" s="1">
        <f>IFERROR(__xludf.DUMMYFUNCTION("""COMPUTED_VALUE"""),955349.0)</f>
        <v>955349</v>
      </c>
      <c r="G122" s="2" t="s">
        <v>14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IFERROR(__xludf.DUMMYFUNCTION("""COMPUTED_VALUE"""),143.86)</f>
        <v>143.86</v>
      </c>
      <c r="C123" s="1">
        <f>IFERROR(__xludf.DUMMYFUNCTION("""COMPUTED_VALUE"""),144.68)</f>
        <v>144.68</v>
      </c>
      <c r="D123" s="1">
        <f>IFERROR(__xludf.DUMMYFUNCTION("""COMPUTED_VALUE"""),138.82)</f>
        <v>138.82</v>
      </c>
      <c r="E123" s="1">
        <f>IFERROR(__xludf.DUMMYFUNCTION("""COMPUTED_VALUE"""),139.06)</f>
        <v>139.06</v>
      </c>
      <c r="F123" s="1">
        <f>IFERROR(__xludf.DUMMYFUNCTION("""COMPUTED_VALUE"""),1082669.0)</f>
        <v>1082669</v>
      </c>
      <c r="G123" s="2" t="s">
        <v>14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IFERROR(__xludf.DUMMYFUNCTION("""COMPUTED_VALUE"""),140.0)</f>
        <v>140</v>
      </c>
      <c r="C124" s="1">
        <f>IFERROR(__xludf.DUMMYFUNCTION("""COMPUTED_VALUE"""),140.4)</f>
        <v>140.4</v>
      </c>
      <c r="D124" s="1">
        <f>IFERROR(__xludf.DUMMYFUNCTION("""COMPUTED_VALUE"""),135.82)</f>
        <v>135.82</v>
      </c>
      <c r="E124" s="1">
        <f>IFERROR(__xludf.DUMMYFUNCTION("""COMPUTED_VALUE"""),139.18)</f>
        <v>139.18</v>
      </c>
      <c r="F124" s="1">
        <f>IFERROR(__xludf.DUMMYFUNCTION("""COMPUTED_VALUE"""),1384827.0)</f>
        <v>1384827</v>
      </c>
      <c r="G124" s="2" t="s">
        <v>14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IFERROR(__xludf.DUMMYFUNCTION("""COMPUTED_VALUE"""),140.18)</f>
        <v>140.18</v>
      </c>
      <c r="C125" s="1">
        <f>IFERROR(__xludf.DUMMYFUNCTION("""COMPUTED_VALUE"""),141.96)</f>
        <v>141.96</v>
      </c>
      <c r="D125" s="1">
        <f>IFERROR(__xludf.DUMMYFUNCTION("""COMPUTED_VALUE"""),138.5)</f>
        <v>138.5</v>
      </c>
      <c r="E125" s="1">
        <f>IFERROR(__xludf.DUMMYFUNCTION("""COMPUTED_VALUE"""),138.88)</f>
        <v>138.88</v>
      </c>
      <c r="F125" s="1">
        <f>IFERROR(__xludf.DUMMYFUNCTION("""COMPUTED_VALUE"""),913070.0)</f>
        <v>913070</v>
      </c>
      <c r="G125" s="2" t="s">
        <v>14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IFERROR(__xludf.DUMMYFUNCTION("""COMPUTED_VALUE"""),140.5)</f>
        <v>140.5</v>
      </c>
      <c r="C126" s="1">
        <f>IFERROR(__xludf.DUMMYFUNCTION("""COMPUTED_VALUE"""),142.46)</f>
        <v>142.46</v>
      </c>
      <c r="D126" s="1">
        <f>IFERROR(__xludf.DUMMYFUNCTION("""COMPUTED_VALUE"""),139.1)</f>
        <v>139.1</v>
      </c>
      <c r="E126" s="1">
        <f>IFERROR(__xludf.DUMMYFUNCTION("""COMPUTED_VALUE"""),140.82)</f>
        <v>140.82</v>
      </c>
      <c r="F126" s="1">
        <f>IFERROR(__xludf.DUMMYFUNCTION("""COMPUTED_VALUE"""),865477.0)</f>
        <v>865477</v>
      </c>
      <c r="G126" s="2" t="s">
        <v>14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IFERROR(__xludf.DUMMYFUNCTION("""COMPUTED_VALUE"""),138.3)</f>
        <v>138.3</v>
      </c>
      <c r="C127" s="1">
        <f>IFERROR(__xludf.DUMMYFUNCTION("""COMPUTED_VALUE"""),138.58)</f>
        <v>138.58</v>
      </c>
      <c r="D127" s="1">
        <f>IFERROR(__xludf.DUMMYFUNCTION("""COMPUTED_VALUE"""),134.44)</f>
        <v>134.44</v>
      </c>
      <c r="E127" s="1">
        <f>IFERROR(__xludf.DUMMYFUNCTION("""COMPUTED_VALUE"""),134.46)</f>
        <v>134.46</v>
      </c>
      <c r="F127" s="1">
        <f>IFERROR(__xludf.DUMMYFUNCTION("""COMPUTED_VALUE"""),1406189.0)</f>
        <v>1406189</v>
      </c>
      <c r="G127" s="2" t="s">
        <v>14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IFERROR(__xludf.DUMMYFUNCTION("""COMPUTED_VALUE"""),133.0)</f>
        <v>133</v>
      </c>
      <c r="C128" s="1">
        <f>IFERROR(__xludf.DUMMYFUNCTION("""COMPUTED_VALUE"""),133.08)</f>
        <v>133.08</v>
      </c>
      <c r="D128" s="1">
        <f>IFERROR(__xludf.DUMMYFUNCTION("""COMPUTED_VALUE"""),124.62)</f>
        <v>124.62</v>
      </c>
      <c r="E128" s="1">
        <f>IFERROR(__xludf.DUMMYFUNCTION("""COMPUTED_VALUE"""),127.42)</f>
        <v>127.42</v>
      </c>
      <c r="F128" s="1">
        <f>IFERROR(__xludf.DUMMYFUNCTION("""COMPUTED_VALUE"""),2514846.0)</f>
        <v>2514846</v>
      </c>
      <c r="G128" s="2" t="s">
        <v>14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IFERROR(__xludf.DUMMYFUNCTION("""COMPUTED_VALUE"""),126.1)</f>
        <v>126.1</v>
      </c>
      <c r="C129" s="1">
        <f>IFERROR(__xludf.DUMMYFUNCTION("""COMPUTED_VALUE"""),129.2)</f>
        <v>129.2</v>
      </c>
      <c r="D129" s="1">
        <f>IFERROR(__xludf.DUMMYFUNCTION("""COMPUTED_VALUE"""),124.94)</f>
        <v>124.94</v>
      </c>
      <c r="E129" s="1">
        <f>IFERROR(__xludf.DUMMYFUNCTION("""COMPUTED_VALUE"""),127.48)</f>
        <v>127.48</v>
      </c>
      <c r="F129" s="1">
        <f>IFERROR(__xludf.DUMMYFUNCTION("""COMPUTED_VALUE"""),1052751.0)</f>
        <v>1052751</v>
      </c>
      <c r="G129" s="2" t="s">
        <v>14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IFERROR(__xludf.DUMMYFUNCTION("""COMPUTED_VALUE"""),129.02)</f>
        <v>129.02</v>
      </c>
      <c r="C130" s="1">
        <f>IFERROR(__xludf.DUMMYFUNCTION("""COMPUTED_VALUE"""),129.32)</f>
        <v>129.32</v>
      </c>
      <c r="D130" s="1">
        <f>IFERROR(__xludf.DUMMYFUNCTION("""COMPUTED_VALUE"""),125.96)</f>
        <v>125.96</v>
      </c>
      <c r="E130" s="1">
        <f>IFERROR(__xludf.DUMMYFUNCTION("""COMPUTED_VALUE"""),127.0)</f>
        <v>127</v>
      </c>
      <c r="F130" s="1">
        <f>IFERROR(__xludf.DUMMYFUNCTION("""COMPUTED_VALUE"""),629835.0)</f>
        <v>629835</v>
      </c>
      <c r="G130" s="2" t="s">
        <v>14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IFERROR(__xludf.DUMMYFUNCTION("""COMPUTED_VALUE"""),127.98)</f>
        <v>127.98</v>
      </c>
      <c r="C131" s="1">
        <f>IFERROR(__xludf.DUMMYFUNCTION("""COMPUTED_VALUE"""),128.46)</f>
        <v>128.46</v>
      </c>
      <c r="D131" s="1">
        <f>IFERROR(__xludf.DUMMYFUNCTION("""COMPUTED_VALUE"""),120.56)</f>
        <v>120.56</v>
      </c>
      <c r="E131" s="1">
        <f>IFERROR(__xludf.DUMMYFUNCTION("""COMPUTED_VALUE"""),120.8)</f>
        <v>120.8</v>
      </c>
      <c r="F131" s="1">
        <f>IFERROR(__xludf.DUMMYFUNCTION("""COMPUTED_VALUE"""),1552480.0)</f>
        <v>1552480</v>
      </c>
      <c r="G131" s="2" t="s">
        <v>14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IFERROR(__xludf.DUMMYFUNCTION("""COMPUTED_VALUE"""),122.74)</f>
        <v>122.74</v>
      </c>
      <c r="C132" s="1">
        <f>IFERROR(__xludf.DUMMYFUNCTION("""COMPUTED_VALUE"""),124.16)</f>
        <v>124.16</v>
      </c>
      <c r="D132" s="1">
        <f>IFERROR(__xludf.DUMMYFUNCTION("""COMPUTED_VALUE"""),120.64)</f>
        <v>120.64</v>
      </c>
      <c r="E132" s="1">
        <f>IFERROR(__xludf.DUMMYFUNCTION("""COMPUTED_VALUE"""),120.64)</f>
        <v>120.64</v>
      </c>
      <c r="F132" s="1">
        <f>IFERROR(__xludf.DUMMYFUNCTION("""COMPUTED_VALUE"""),1017681.0)</f>
        <v>1017681</v>
      </c>
      <c r="G132" s="2" t="s">
        <v>14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IFERROR(__xludf.DUMMYFUNCTION("""COMPUTED_VALUE"""),122.48)</f>
        <v>122.48</v>
      </c>
      <c r="C133" s="1">
        <f>IFERROR(__xludf.DUMMYFUNCTION("""COMPUTED_VALUE"""),127.66)</f>
        <v>127.66</v>
      </c>
      <c r="D133" s="1">
        <f>IFERROR(__xludf.DUMMYFUNCTION("""COMPUTED_VALUE"""),122.34)</f>
        <v>122.34</v>
      </c>
      <c r="E133" s="1">
        <f>IFERROR(__xludf.DUMMYFUNCTION("""COMPUTED_VALUE"""),126.96)</f>
        <v>126.96</v>
      </c>
      <c r="F133" s="1">
        <f>IFERROR(__xludf.DUMMYFUNCTION("""COMPUTED_VALUE"""),1455281.0)</f>
        <v>1455281</v>
      </c>
      <c r="G133" s="2" t="s">
        <v>14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IFERROR(__xludf.DUMMYFUNCTION("""COMPUTED_VALUE"""),126.88)</f>
        <v>126.88</v>
      </c>
      <c r="C134" s="1">
        <f>IFERROR(__xludf.DUMMYFUNCTION("""COMPUTED_VALUE"""),134.8)</f>
        <v>134.8</v>
      </c>
      <c r="D134" s="1">
        <f>IFERROR(__xludf.DUMMYFUNCTION("""COMPUTED_VALUE"""),126.1)</f>
        <v>126.1</v>
      </c>
      <c r="E134" s="1">
        <f>IFERROR(__xludf.DUMMYFUNCTION("""COMPUTED_VALUE"""),134.46)</f>
        <v>134.46</v>
      </c>
      <c r="F134" s="1">
        <f>IFERROR(__xludf.DUMMYFUNCTION("""COMPUTED_VALUE"""),1834953.0)</f>
        <v>1834953</v>
      </c>
      <c r="G134" s="2" t="s">
        <v>14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IFERROR(__xludf.DUMMYFUNCTION("""COMPUTED_VALUE"""),130.18)</f>
        <v>130.18</v>
      </c>
      <c r="C135" s="1">
        <f>IFERROR(__xludf.DUMMYFUNCTION("""COMPUTED_VALUE"""),132.8)</f>
        <v>132.8</v>
      </c>
      <c r="D135" s="1">
        <f>IFERROR(__xludf.DUMMYFUNCTION("""COMPUTED_VALUE"""),129.26)</f>
        <v>129.26</v>
      </c>
      <c r="E135" s="1">
        <f>IFERROR(__xludf.DUMMYFUNCTION("""COMPUTED_VALUE"""),130.28)</f>
        <v>130.28</v>
      </c>
      <c r="F135" s="1">
        <f>IFERROR(__xludf.DUMMYFUNCTION("""COMPUTED_VALUE"""),901885.0)</f>
        <v>901885</v>
      </c>
      <c r="G135" s="2" t="s">
        <v>14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IFERROR(__xludf.DUMMYFUNCTION("""COMPUTED_VALUE"""),128.22)</f>
        <v>128.22</v>
      </c>
      <c r="C136" s="1">
        <f>IFERROR(__xludf.DUMMYFUNCTION("""COMPUTED_VALUE"""),130.9)</f>
        <v>130.9</v>
      </c>
      <c r="D136" s="1">
        <f>IFERROR(__xludf.DUMMYFUNCTION("""COMPUTED_VALUE"""),127.1)</f>
        <v>127.1</v>
      </c>
      <c r="E136" s="1">
        <f>IFERROR(__xludf.DUMMYFUNCTION("""COMPUTED_VALUE"""),130.62)</f>
        <v>130.62</v>
      </c>
      <c r="F136" s="1">
        <f>IFERROR(__xludf.DUMMYFUNCTION("""COMPUTED_VALUE"""),913883.0)</f>
        <v>913883</v>
      </c>
      <c r="G136" s="2" t="s">
        <v>14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IFERROR(__xludf.DUMMYFUNCTION("""COMPUTED_VALUE"""),129.58)</f>
        <v>129.58</v>
      </c>
      <c r="C137" s="1">
        <f>IFERROR(__xludf.DUMMYFUNCTION("""COMPUTED_VALUE"""),130.1)</f>
        <v>130.1</v>
      </c>
      <c r="D137" s="1">
        <f>IFERROR(__xludf.DUMMYFUNCTION("""COMPUTED_VALUE"""),126.68)</f>
        <v>126.68</v>
      </c>
      <c r="E137" s="1">
        <f>IFERROR(__xludf.DUMMYFUNCTION("""COMPUTED_VALUE"""),128.34)</f>
        <v>128.34</v>
      </c>
      <c r="F137" s="1">
        <f>IFERROR(__xludf.DUMMYFUNCTION("""COMPUTED_VALUE"""),821090.0)</f>
        <v>821090</v>
      </c>
      <c r="G137" s="2" t="s">
        <v>14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IFERROR(__xludf.DUMMYFUNCTION("""COMPUTED_VALUE"""),127.82)</f>
        <v>127.82</v>
      </c>
      <c r="C138" s="1">
        <f>IFERROR(__xludf.DUMMYFUNCTION("""COMPUTED_VALUE"""),130.46)</f>
        <v>130.46</v>
      </c>
      <c r="D138" s="1">
        <f>IFERROR(__xludf.DUMMYFUNCTION("""COMPUTED_VALUE"""),125.02)</f>
        <v>125.02</v>
      </c>
      <c r="E138" s="1">
        <f>IFERROR(__xludf.DUMMYFUNCTION("""COMPUTED_VALUE"""),126.3)</f>
        <v>126.3</v>
      </c>
      <c r="F138" s="1">
        <f>IFERROR(__xludf.DUMMYFUNCTION("""COMPUTED_VALUE"""),904417.0)</f>
        <v>904417</v>
      </c>
      <c r="G138" s="2" t="s">
        <v>14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IFERROR(__xludf.DUMMYFUNCTION("""COMPUTED_VALUE"""),127.42)</f>
        <v>127.42</v>
      </c>
      <c r="C139" s="1">
        <f>IFERROR(__xludf.DUMMYFUNCTION("""COMPUTED_VALUE"""),133.14)</f>
        <v>133.14</v>
      </c>
      <c r="D139" s="1">
        <f>IFERROR(__xludf.DUMMYFUNCTION("""COMPUTED_VALUE"""),126.1)</f>
        <v>126.1</v>
      </c>
      <c r="E139" s="1">
        <f>IFERROR(__xludf.DUMMYFUNCTION("""COMPUTED_VALUE"""),132.24)</f>
        <v>132.24</v>
      </c>
      <c r="F139" s="1">
        <f>IFERROR(__xludf.DUMMYFUNCTION("""COMPUTED_VALUE"""),1425117.0)</f>
        <v>1425117</v>
      </c>
      <c r="G139" s="2" t="s">
        <v>14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IFERROR(__xludf.DUMMYFUNCTION("""COMPUTED_VALUE"""),133.74)</f>
        <v>133.74</v>
      </c>
      <c r="C140" s="1">
        <f>IFERROR(__xludf.DUMMYFUNCTION("""COMPUTED_VALUE"""),138.98)</f>
        <v>138.98</v>
      </c>
      <c r="D140" s="1">
        <f>IFERROR(__xludf.DUMMYFUNCTION("""COMPUTED_VALUE"""),133.7)</f>
        <v>133.7</v>
      </c>
      <c r="E140" s="1">
        <f>IFERROR(__xludf.DUMMYFUNCTION("""COMPUTED_VALUE"""),135.96)</f>
        <v>135.96</v>
      </c>
      <c r="F140" s="1">
        <f>IFERROR(__xludf.DUMMYFUNCTION("""COMPUTED_VALUE"""),946695.0)</f>
        <v>946695</v>
      </c>
      <c r="G140" s="2" t="s">
        <v>14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IFERROR(__xludf.DUMMYFUNCTION("""COMPUTED_VALUE"""),134.7)</f>
        <v>134.7</v>
      </c>
      <c r="C141" s="1">
        <f>IFERROR(__xludf.DUMMYFUNCTION("""COMPUTED_VALUE"""),143.12)</f>
        <v>143.12</v>
      </c>
      <c r="D141" s="1">
        <f>IFERROR(__xludf.DUMMYFUNCTION("""COMPUTED_VALUE"""),134.46)</f>
        <v>134.46</v>
      </c>
      <c r="E141" s="1">
        <f>IFERROR(__xludf.DUMMYFUNCTION("""COMPUTED_VALUE"""),141.22)</f>
        <v>141.22</v>
      </c>
      <c r="F141" s="1">
        <f>IFERROR(__xludf.DUMMYFUNCTION("""COMPUTED_VALUE"""),1164283.0)</f>
        <v>1164283</v>
      </c>
      <c r="G141" s="2" t="s">
        <v>14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IFERROR(__xludf.DUMMYFUNCTION("""COMPUTED_VALUE"""),142.28)</f>
        <v>142.28</v>
      </c>
      <c r="C142" s="1">
        <f>IFERROR(__xludf.DUMMYFUNCTION("""COMPUTED_VALUE"""),142.94)</f>
        <v>142.94</v>
      </c>
      <c r="D142" s="1">
        <f>IFERROR(__xludf.DUMMYFUNCTION("""COMPUTED_VALUE"""),135.54)</f>
        <v>135.54</v>
      </c>
      <c r="E142" s="1">
        <f>IFERROR(__xludf.DUMMYFUNCTION("""COMPUTED_VALUE"""),139.62)</f>
        <v>139.62</v>
      </c>
      <c r="F142" s="1">
        <f>IFERROR(__xludf.DUMMYFUNCTION("""COMPUTED_VALUE"""),1211232.0)</f>
        <v>1211232</v>
      </c>
      <c r="G142" s="2" t="s">
        <v>14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IFERROR(__xludf.DUMMYFUNCTION("""COMPUTED_VALUE"""),139.92)</f>
        <v>139.92</v>
      </c>
      <c r="C143" s="1">
        <f>IFERROR(__xludf.DUMMYFUNCTION("""COMPUTED_VALUE"""),141.12)</f>
        <v>141.12</v>
      </c>
      <c r="D143" s="1">
        <f>IFERROR(__xludf.DUMMYFUNCTION("""COMPUTED_VALUE"""),134.7)</f>
        <v>134.7</v>
      </c>
      <c r="E143" s="1">
        <f>IFERROR(__xludf.DUMMYFUNCTION("""COMPUTED_VALUE"""),135.88)</f>
        <v>135.88</v>
      </c>
      <c r="F143" s="1">
        <f>IFERROR(__xludf.DUMMYFUNCTION("""COMPUTED_VALUE"""),1119780.0)</f>
        <v>1119780</v>
      </c>
      <c r="G143" s="2" t="s">
        <v>14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IFERROR(__xludf.DUMMYFUNCTION("""COMPUTED_VALUE"""),135.5)</f>
        <v>135.5</v>
      </c>
      <c r="C144" s="1">
        <f>IFERROR(__xludf.DUMMYFUNCTION("""COMPUTED_VALUE"""),135.8)</f>
        <v>135.8</v>
      </c>
      <c r="D144" s="1">
        <f>IFERROR(__xludf.DUMMYFUNCTION("""COMPUTED_VALUE"""),133.92)</f>
        <v>133.92</v>
      </c>
      <c r="E144" s="1">
        <f>IFERROR(__xludf.DUMMYFUNCTION("""COMPUTED_VALUE"""),134.32)</f>
        <v>134.32</v>
      </c>
      <c r="F144" s="1">
        <f>IFERROR(__xludf.DUMMYFUNCTION("""COMPUTED_VALUE"""),737584.0)</f>
        <v>737584</v>
      </c>
      <c r="G144" s="2" t="s">
        <v>14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IFERROR(__xludf.DUMMYFUNCTION("""COMPUTED_VALUE"""),132.5)</f>
        <v>132.5</v>
      </c>
      <c r="C145" s="1">
        <f>IFERROR(__xludf.DUMMYFUNCTION("""COMPUTED_VALUE"""),133.38)</f>
        <v>133.38</v>
      </c>
      <c r="D145" s="1">
        <f>IFERROR(__xludf.DUMMYFUNCTION("""COMPUTED_VALUE"""),128.1)</f>
        <v>128.1</v>
      </c>
      <c r="E145" s="1">
        <f>IFERROR(__xludf.DUMMYFUNCTION("""COMPUTED_VALUE"""),132.64)</f>
        <v>132.64</v>
      </c>
      <c r="F145" s="1">
        <f>IFERROR(__xludf.DUMMYFUNCTION("""COMPUTED_VALUE"""),1680360.0)</f>
        <v>1680360</v>
      </c>
      <c r="G145" s="2" t="s">
        <v>14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IFERROR(__xludf.DUMMYFUNCTION("""COMPUTED_VALUE"""),131.9)</f>
        <v>131.9</v>
      </c>
      <c r="C146" s="1">
        <f>IFERROR(__xludf.DUMMYFUNCTION("""COMPUTED_VALUE"""),132.02)</f>
        <v>132.02</v>
      </c>
      <c r="D146" s="1">
        <f>IFERROR(__xludf.DUMMYFUNCTION("""COMPUTED_VALUE"""),129.16)</f>
        <v>129.16</v>
      </c>
      <c r="E146" s="1">
        <f>IFERROR(__xludf.DUMMYFUNCTION("""COMPUTED_VALUE"""),130.42)</f>
        <v>130.42</v>
      </c>
      <c r="F146" s="1">
        <f>IFERROR(__xludf.DUMMYFUNCTION("""COMPUTED_VALUE"""),870635.0)</f>
        <v>870635</v>
      </c>
      <c r="G146" s="2" t="s">
        <v>14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IFERROR(__xludf.DUMMYFUNCTION("""COMPUTED_VALUE"""),131.06)</f>
        <v>131.06</v>
      </c>
      <c r="C147" s="1">
        <f>IFERROR(__xludf.DUMMYFUNCTION("""COMPUTED_VALUE"""),132.5)</f>
        <v>132.5</v>
      </c>
      <c r="D147" s="1">
        <f>IFERROR(__xludf.DUMMYFUNCTION("""COMPUTED_VALUE"""),129.76)</f>
        <v>129.76</v>
      </c>
      <c r="E147" s="1">
        <f>IFERROR(__xludf.DUMMYFUNCTION("""COMPUTED_VALUE"""),130.8)</f>
        <v>130.8</v>
      </c>
      <c r="F147" s="1">
        <f>IFERROR(__xludf.DUMMYFUNCTION("""COMPUTED_VALUE"""),931454.0)</f>
        <v>931454</v>
      </c>
      <c r="G147" s="2" t="s">
        <v>14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IFERROR(__xludf.DUMMYFUNCTION("""COMPUTED_VALUE"""),133.0)</f>
        <v>133</v>
      </c>
      <c r="C148" s="1">
        <f>IFERROR(__xludf.DUMMYFUNCTION("""COMPUTED_VALUE"""),136.36)</f>
        <v>136.36</v>
      </c>
      <c r="D148" s="1">
        <f>IFERROR(__xludf.DUMMYFUNCTION("""COMPUTED_VALUE"""),132.5)</f>
        <v>132.5</v>
      </c>
      <c r="E148" s="1">
        <f>IFERROR(__xludf.DUMMYFUNCTION("""COMPUTED_VALUE"""),135.6)</f>
        <v>135.6</v>
      </c>
      <c r="F148" s="1">
        <f>IFERROR(__xludf.DUMMYFUNCTION("""COMPUTED_VALUE"""),985513.0)</f>
        <v>985513</v>
      </c>
      <c r="G148" s="2" t="s">
        <v>14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IFERROR(__xludf.DUMMYFUNCTION("""COMPUTED_VALUE"""),137.4)</f>
        <v>137.4</v>
      </c>
      <c r="C149" s="1">
        <f>IFERROR(__xludf.DUMMYFUNCTION("""COMPUTED_VALUE"""),139.0)</f>
        <v>139</v>
      </c>
      <c r="D149" s="1">
        <f>IFERROR(__xludf.DUMMYFUNCTION("""COMPUTED_VALUE"""),134.72)</f>
        <v>134.72</v>
      </c>
      <c r="E149" s="1">
        <f>IFERROR(__xludf.DUMMYFUNCTION("""COMPUTED_VALUE"""),137.3)</f>
        <v>137.3</v>
      </c>
      <c r="F149" s="1">
        <f>IFERROR(__xludf.DUMMYFUNCTION("""COMPUTED_VALUE"""),1079154.0)</f>
        <v>1079154</v>
      </c>
      <c r="G149" s="2" t="s">
        <v>14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IFERROR(__xludf.DUMMYFUNCTION("""COMPUTED_VALUE"""),138.44)</f>
        <v>138.44</v>
      </c>
      <c r="C150" s="1">
        <f>IFERROR(__xludf.DUMMYFUNCTION("""COMPUTED_VALUE"""),139.5)</f>
        <v>139.5</v>
      </c>
      <c r="D150" s="1">
        <f>IFERROR(__xludf.DUMMYFUNCTION("""COMPUTED_VALUE"""),137.1)</f>
        <v>137.1</v>
      </c>
      <c r="E150" s="1">
        <f>IFERROR(__xludf.DUMMYFUNCTION("""COMPUTED_VALUE"""),138.62)</f>
        <v>138.62</v>
      </c>
      <c r="F150" s="1">
        <f>IFERROR(__xludf.DUMMYFUNCTION("""COMPUTED_VALUE"""),1042802.0)</f>
        <v>1042802</v>
      </c>
      <c r="G150" s="2" t="s">
        <v>14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IFERROR(__xludf.DUMMYFUNCTION("""COMPUTED_VALUE"""),137.8)</f>
        <v>137.8</v>
      </c>
      <c r="C151" s="1">
        <f>IFERROR(__xludf.DUMMYFUNCTION("""COMPUTED_VALUE"""),142.62)</f>
        <v>142.62</v>
      </c>
      <c r="D151" s="1">
        <f>IFERROR(__xludf.DUMMYFUNCTION("""COMPUTED_VALUE"""),137.16)</f>
        <v>137.16</v>
      </c>
      <c r="E151" s="1">
        <f>IFERROR(__xludf.DUMMYFUNCTION("""COMPUTED_VALUE"""),141.52)</f>
        <v>141.52</v>
      </c>
      <c r="F151" s="1">
        <f>IFERROR(__xludf.DUMMYFUNCTION("""COMPUTED_VALUE"""),1226804.0)</f>
        <v>1226804</v>
      </c>
      <c r="G151" s="2" t="s">
        <v>14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IFERROR(__xludf.DUMMYFUNCTION("""COMPUTED_VALUE"""),140.12)</f>
        <v>140.12</v>
      </c>
      <c r="C152" s="1">
        <f>IFERROR(__xludf.DUMMYFUNCTION("""COMPUTED_VALUE"""),144.48)</f>
        <v>144.48</v>
      </c>
      <c r="D152" s="1">
        <f>IFERROR(__xludf.DUMMYFUNCTION("""COMPUTED_VALUE"""),139.72)</f>
        <v>139.72</v>
      </c>
      <c r="E152" s="1">
        <f>IFERROR(__xludf.DUMMYFUNCTION("""COMPUTED_VALUE"""),144.48)</f>
        <v>144.48</v>
      </c>
      <c r="F152" s="1">
        <f>IFERROR(__xludf.DUMMYFUNCTION("""COMPUTED_VALUE"""),1004948.0)</f>
        <v>1004948</v>
      </c>
      <c r="G152" s="2" t="s">
        <v>14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IFERROR(__xludf.DUMMYFUNCTION("""COMPUTED_VALUE"""),144.48)</f>
        <v>144.48</v>
      </c>
      <c r="C153" s="1">
        <f>IFERROR(__xludf.DUMMYFUNCTION("""COMPUTED_VALUE"""),148.9)</f>
        <v>148.9</v>
      </c>
      <c r="D153" s="1">
        <f>IFERROR(__xludf.DUMMYFUNCTION("""COMPUTED_VALUE"""),143.6)</f>
        <v>143.6</v>
      </c>
      <c r="E153" s="1">
        <f>IFERROR(__xludf.DUMMYFUNCTION("""COMPUTED_VALUE"""),143.6)</f>
        <v>143.6</v>
      </c>
      <c r="F153" s="1">
        <f>IFERROR(__xludf.DUMMYFUNCTION("""COMPUTED_VALUE"""),1155393.0)</f>
        <v>1155393</v>
      </c>
      <c r="G153" s="2" t="s">
        <v>14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IFERROR(__xludf.DUMMYFUNCTION("""COMPUTED_VALUE"""),143.8)</f>
        <v>143.8</v>
      </c>
      <c r="C154" s="1">
        <f>IFERROR(__xludf.DUMMYFUNCTION("""COMPUTED_VALUE"""),145.54)</f>
        <v>145.54</v>
      </c>
      <c r="D154" s="1">
        <f>IFERROR(__xludf.DUMMYFUNCTION("""COMPUTED_VALUE"""),143.3)</f>
        <v>143.3</v>
      </c>
      <c r="E154" s="1">
        <f>IFERROR(__xludf.DUMMYFUNCTION("""COMPUTED_VALUE"""),143.44)</f>
        <v>143.44</v>
      </c>
      <c r="F154" s="1">
        <f>IFERROR(__xludf.DUMMYFUNCTION("""COMPUTED_VALUE"""),628748.0)</f>
        <v>628748</v>
      </c>
      <c r="G154" s="2" t="s">
        <v>14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IFERROR(__xludf.DUMMYFUNCTION("""COMPUTED_VALUE"""),145.0)</f>
        <v>145</v>
      </c>
      <c r="C155" s="1">
        <f>IFERROR(__xludf.DUMMYFUNCTION("""COMPUTED_VALUE"""),146.0)</f>
        <v>146</v>
      </c>
      <c r="D155" s="1">
        <f>IFERROR(__xludf.DUMMYFUNCTION("""COMPUTED_VALUE"""),143.44)</f>
        <v>143.44</v>
      </c>
      <c r="E155" s="1">
        <f>IFERROR(__xludf.DUMMYFUNCTION("""COMPUTED_VALUE"""),145.7)</f>
        <v>145.7</v>
      </c>
      <c r="F155" s="1">
        <f>IFERROR(__xludf.DUMMYFUNCTION("""COMPUTED_VALUE"""),678735.0)</f>
        <v>678735</v>
      </c>
      <c r="G155" s="2" t="s">
        <v>14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IFERROR(__xludf.DUMMYFUNCTION("""COMPUTED_VALUE"""),145.3)</f>
        <v>145.3</v>
      </c>
      <c r="C156" s="1">
        <f>IFERROR(__xludf.DUMMYFUNCTION("""COMPUTED_VALUE"""),145.84)</f>
        <v>145.84</v>
      </c>
      <c r="D156" s="1">
        <f>IFERROR(__xludf.DUMMYFUNCTION("""COMPUTED_VALUE"""),142.68)</f>
        <v>142.68</v>
      </c>
      <c r="E156" s="1">
        <f>IFERROR(__xludf.DUMMYFUNCTION("""COMPUTED_VALUE"""),142.86)</f>
        <v>142.86</v>
      </c>
      <c r="F156" s="1">
        <f>IFERROR(__xludf.DUMMYFUNCTION("""COMPUTED_VALUE"""),614326.0)</f>
        <v>614326</v>
      </c>
      <c r="G156" s="2" t="s">
        <v>14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IFERROR(__xludf.DUMMYFUNCTION("""COMPUTED_VALUE"""),142.0)</f>
        <v>142</v>
      </c>
      <c r="C157" s="1">
        <f>IFERROR(__xludf.DUMMYFUNCTION("""COMPUTED_VALUE"""),146.54)</f>
        <v>146.54</v>
      </c>
      <c r="D157" s="1">
        <f>IFERROR(__xludf.DUMMYFUNCTION("""COMPUTED_VALUE"""),140.84)</f>
        <v>140.84</v>
      </c>
      <c r="E157" s="1">
        <f>IFERROR(__xludf.DUMMYFUNCTION("""COMPUTED_VALUE"""),145.92)</f>
        <v>145.92</v>
      </c>
      <c r="F157" s="1">
        <f>IFERROR(__xludf.DUMMYFUNCTION("""COMPUTED_VALUE"""),694655.0)</f>
        <v>694655</v>
      </c>
      <c r="G157" s="2" t="s">
        <v>14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IFERROR(__xludf.DUMMYFUNCTION("""COMPUTED_VALUE"""),147.14)</f>
        <v>147.14</v>
      </c>
      <c r="C158" s="1">
        <f>IFERROR(__xludf.DUMMYFUNCTION("""COMPUTED_VALUE"""),147.56)</f>
        <v>147.56</v>
      </c>
      <c r="D158" s="1">
        <f>IFERROR(__xludf.DUMMYFUNCTION("""COMPUTED_VALUE"""),145.02)</f>
        <v>145.02</v>
      </c>
      <c r="E158" s="1">
        <f>IFERROR(__xludf.DUMMYFUNCTION("""COMPUTED_VALUE"""),146.94)</f>
        <v>146.94</v>
      </c>
      <c r="F158" s="1">
        <f>IFERROR(__xludf.DUMMYFUNCTION("""COMPUTED_VALUE"""),613452.0)</f>
        <v>613452</v>
      </c>
      <c r="G158" s="2" t="s">
        <v>14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IFERROR(__xludf.DUMMYFUNCTION("""COMPUTED_VALUE"""),147.5)</f>
        <v>147.5</v>
      </c>
      <c r="C159" s="1">
        <f>IFERROR(__xludf.DUMMYFUNCTION("""COMPUTED_VALUE"""),148.54)</f>
        <v>148.54</v>
      </c>
      <c r="D159" s="1">
        <f>IFERROR(__xludf.DUMMYFUNCTION("""COMPUTED_VALUE"""),146.68)</f>
        <v>146.68</v>
      </c>
      <c r="E159" s="1">
        <f>IFERROR(__xludf.DUMMYFUNCTION("""COMPUTED_VALUE"""),148.32)</f>
        <v>148.32</v>
      </c>
      <c r="F159" s="1">
        <f>IFERROR(__xludf.DUMMYFUNCTION("""COMPUTED_VALUE"""),785771.0)</f>
        <v>785771</v>
      </c>
      <c r="G159" s="2" t="s">
        <v>14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IFERROR(__xludf.DUMMYFUNCTION("""COMPUTED_VALUE"""),148.6)</f>
        <v>148.6</v>
      </c>
      <c r="C160" s="1">
        <f>IFERROR(__xludf.DUMMYFUNCTION("""COMPUTED_VALUE"""),150.02)</f>
        <v>150.02</v>
      </c>
      <c r="D160" s="1">
        <f>IFERROR(__xludf.DUMMYFUNCTION("""COMPUTED_VALUE"""),147.08)</f>
        <v>147.08</v>
      </c>
      <c r="E160" s="1">
        <f>IFERROR(__xludf.DUMMYFUNCTION("""COMPUTED_VALUE"""),150.02)</f>
        <v>150.02</v>
      </c>
      <c r="F160" s="1">
        <f>IFERROR(__xludf.DUMMYFUNCTION("""COMPUTED_VALUE"""),693036.0)</f>
        <v>693036</v>
      </c>
      <c r="G160" s="2" t="s">
        <v>14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IFERROR(__xludf.DUMMYFUNCTION("""COMPUTED_VALUE"""),150.4)</f>
        <v>150.4</v>
      </c>
      <c r="C161" s="1">
        <f>IFERROR(__xludf.DUMMYFUNCTION("""COMPUTED_VALUE"""),151.5)</f>
        <v>151.5</v>
      </c>
      <c r="D161" s="1">
        <f>IFERROR(__xludf.DUMMYFUNCTION("""COMPUTED_VALUE"""),149.24)</f>
        <v>149.24</v>
      </c>
      <c r="E161" s="1">
        <f>IFERROR(__xludf.DUMMYFUNCTION("""COMPUTED_VALUE"""),150.6)</f>
        <v>150.6</v>
      </c>
      <c r="F161" s="1">
        <f>IFERROR(__xludf.DUMMYFUNCTION("""COMPUTED_VALUE"""),559821.0)</f>
        <v>559821</v>
      </c>
      <c r="G161" s="2" t="s">
        <v>14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IFERROR(__xludf.DUMMYFUNCTION("""COMPUTED_VALUE"""),150.92)</f>
        <v>150.92</v>
      </c>
      <c r="C162" s="1">
        <f>IFERROR(__xludf.DUMMYFUNCTION("""COMPUTED_VALUE"""),151.42)</f>
        <v>151.42</v>
      </c>
      <c r="D162" s="1">
        <f>IFERROR(__xludf.DUMMYFUNCTION("""COMPUTED_VALUE"""),146.8)</f>
        <v>146.8</v>
      </c>
      <c r="E162" s="1">
        <f>IFERROR(__xludf.DUMMYFUNCTION("""COMPUTED_VALUE"""),147.0)</f>
        <v>147</v>
      </c>
      <c r="F162" s="1">
        <f>IFERROR(__xludf.DUMMYFUNCTION("""COMPUTED_VALUE"""),726836.0)</f>
        <v>726836</v>
      </c>
      <c r="G162" s="2" t="s">
        <v>14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IFERROR(__xludf.DUMMYFUNCTION("""COMPUTED_VALUE"""),147.3)</f>
        <v>147.3</v>
      </c>
      <c r="C163" s="1">
        <f>IFERROR(__xludf.DUMMYFUNCTION("""COMPUTED_VALUE"""),149.5)</f>
        <v>149.5</v>
      </c>
      <c r="D163" s="1">
        <f>IFERROR(__xludf.DUMMYFUNCTION("""COMPUTED_VALUE"""),146.82)</f>
        <v>146.82</v>
      </c>
      <c r="E163" s="1">
        <f>IFERROR(__xludf.DUMMYFUNCTION("""COMPUTED_VALUE"""),148.92)</f>
        <v>148.92</v>
      </c>
      <c r="F163" s="1">
        <f>IFERROR(__xludf.DUMMYFUNCTION("""COMPUTED_VALUE"""),464479.0)</f>
        <v>464479</v>
      </c>
      <c r="G163" s="2" t="s">
        <v>14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IFERROR(__xludf.DUMMYFUNCTION("""COMPUTED_VALUE"""),147.54)</f>
        <v>147.54</v>
      </c>
      <c r="C164" s="1">
        <f>IFERROR(__xludf.DUMMYFUNCTION("""COMPUTED_VALUE"""),148.94)</f>
        <v>148.94</v>
      </c>
      <c r="D164" s="1">
        <f>IFERROR(__xludf.DUMMYFUNCTION("""COMPUTED_VALUE"""),145.46)</f>
        <v>145.46</v>
      </c>
      <c r="E164" s="1">
        <f>IFERROR(__xludf.DUMMYFUNCTION("""COMPUTED_VALUE"""),145.76)</f>
        <v>145.76</v>
      </c>
      <c r="F164" s="1">
        <f>IFERROR(__xludf.DUMMYFUNCTION("""COMPUTED_VALUE"""),750015.0)</f>
        <v>750015</v>
      </c>
      <c r="G164" s="2" t="s">
        <v>14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IFERROR(__xludf.DUMMYFUNCTION("""COMPUTED_VALUE"""),145.0)</f>
        <v>145</v>
      </c>
      <c r="C165" s="1">
        <f>IFERROR(__xludf.DUMMYFUNCTION("""COMPUTED_VALUE"""),145.02)</f>
        <v>145.02</v>
      </c>
      <c r="D165" s="1">
        <f>IFERROR(__xludf.DUMMYFUNCTION("""COMPUTED_VALUE"""),137.68)</f>
        <v>137.68</v>
      </c>
      <c r="E165" s="1">
        <f>IFERROR(__xludf.DUMMYFUNCTION("""COMPUTED_VALUE"""),139.4)</f>
        <v>139.4</v>
      </c>
      <c r="F165" s="1">
        <f>IFERROR(__xludf.DUMMYFUNCTION("""COMPUTED_VALUE"""),1190120.0)</f>
        <v>1190120</v>
      </c>
      <c r="G165" s="2" t="s">
        <v>14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IFERROR(__xludf.DUMMYFUNCTION("""COMPUTED_VALUE"""),138.02)</f>
        <v>138.02</v>
      </c>
      <c r="C166" s="1">
        <f>IFERROR(__xludf.DUMMYFUNCTION("""COMPUTED_VALUE"""),142.72)</f>
        <v>142.72</v>
      </c>
      <c r="D166" s="1">
        <f>IFERROR(__xludf.DUMMYFUNCTION("""COMPUTED_VALUE"""),137.84)</f>
        <v>137.84</v>
      </c>
      <c r="E166" s="1">
        <f>IFERROR(__xludf.DUMMYFUNCTION("""COMPUTED_VALUE"""),142.0)</f>
        <v>142</v>
      </c>
      <c r="F166" s="1">
        <f>IFERROR(__xludf.DUMMYFUNCTION("""COMPUTED_VALUE"""),856180.0)</f>
        <v>856180</v>
      </c>
      <c r="G166" s="2" t="s">
        <v>14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IFERROR(__xludf.DUMMYFUNCTION("""COMPUTED_VALUE"""),141.42)</f>
        <v>141.42</v>
      </c>
      <c r="C167" s="1">
        <f>IFERROR(__xludf.DUMMYFUNCTION("""COMPUTED_VALUE"""),142.12)</f>
        <v>142.12</v>
      </c>
      <c r="D167" s="1">
        <f>IFERROR(__xludf.DUMMYFUNCTION("""COMPUTED_VALUE"""),139.14)</f>
        <v>139.14</v>
      </c>
      <c r="E167" s="1">
        <f>IFERROR(__xludf.DUMMYFUNCTION("""COMPUTED_VALUE"""),141.38)</f>
        <v>141.38</v>
      </c>
      <c r="F167" s="1">
        <f>IFERROR(__xludf.DUMMYFUNCTION("""COMPUTED_VALUE"""),594068.0)</f>
        <v>594068</v>
      </c>
      <c r="G167" s="2" t="s">
        <v>14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IFERROR(__xludf.DUMMYFUNCTION("""COMPUTED_VALUE"""),142.8)</f>
        <v>142.8</v>
      </c>
      <c r="C168" s="1">
        <f>IFERROR(__xludf.DUMMYFUNCTION("""COMPUTED_VALUE"""),144.02)</f>
        <v>144.02</v>
      </c>
      <c r="D168" s="1">
        <f>IFERROR(__xludf.DUMMYFUNCTION("""COMPUTED_VALUE"""),140.2)</f>
        <v>140.2</v>
      </c>
      <c r="E168" s="1">
        <f>IFERROR(__xludf.DUMMYFUNCTION("""COMPUTED_VALUE"""),141.88)</f>
        <v>141.88</v>
      </c>
      <c r="F168" s="1">
        <f>IFERROR(__xludf.DUMMYFUNCTION("""COMPUTED_VALUE"""),488051.0)</f>
        <v>488051</v>
      </c>
      <c r="G168" s="2" t="s">
        <v>14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IFERROR(__xludf.DUMMYFUNCTION("""COMPUTED_VALUE"""),142.68)</f>
        <v>142.68</v>
      </c>
      <c r="C169" s="1">
        <f>IFERROR(__xludf.DUMMYFUNCTION("""COMPUTED_VALUE"""),148.14)</f>
        <v>148.14</v>
      </c>
      <c r="D169" s="1">
        <f>IFERROR(__xludf.DUMMYFUNCTION("""COMPUTED_VALUE"""),140.34)</f>
        <v>140.34</v>
      </c>
      <c r="E169" s="1">
        <f>IFERROR(__xludf.DUMMYFUNCTION("""COMPUTED_VALUE"""),140.94)</f>
        <v>140.94</v>
      </c>
      <c r="F169" s="1">
        <f>IFERROR(__xludf.DUMMYFUNCTION("""COMPUTED_VALUE"""),1325939.0)</f>
        <v>1325939</v>
      </c>
      <c r="G169" s="2" t="s">
        <v>14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IFERROR(__xludf.DUMMYFUNCTION("""COMPUTED_VALUE"""),139.8)</f>
        <v>139.8</v>
      </c>
      <c r="C170" s="1">
        <f>IFERROR(__xludf.DUMMYFUNCTION("""COMPUTED_VALUE"""),144.2)</f>
        <v>144.2</v>
      </c>
      <c r="D170" s="1">
        <f>IFERROR(__xludf.DUMMYFUNCTION("""COMPUTED_VALUE"""),138.56)</f>
        <v>138.56</v>
      </c>
      <c r="E170" s="1">
        <f>IFERROR(__xludf.DUMMYFUNCTION("""COMPUTED_VALUE"""),142.6)</f>
        <v>142.6</v>
      </c>
      <c r="F170" s="1">
        <f>IFERROR(__xludf.DUMMYFUNCTION("""COMPUTED_VALUE"""),704840.0)</f>
        <v>704840</v>
      </c>
      <c r="G170" s="2" t="s">
        <v>14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IFERROR(__xludf.DUMMYFUNCTION("""COMPUTED_VALUE"""),143.3)</f>
        <v>143.3</v>
      </c>
      <c r="C171" s="1">
        <f>IFERROR(__xludf.DUMMYFUNCTION("""COMPUTED_VALUE"""),148.74)</f>
        <v>148.74</v>
      </c>
      <c r="D171" s="1">
        <f>IFERROR(__xludf.DUMMYFUNCTION("""COMPUTED_VALUE"""),142.94)</f>
        <v>142.94</v>
      </c>
      <c r="E171" s="1">
        <f>IFERROR(__xludf.DUMMYFUNCTION("""COMPUTED_VALUE"""),145.9)</f>
        <v>145.9</v>
      </c>
      <c r="F171" s="1">
        <f>IFERROR(__xludf.DUMMYFUNCTION("""COMPUTED_VALUE"""),1055228.0)</f>
        <v>1055228</v>
      </c>
      <c r="G171" s="2" t="s">
        <v>14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IFERROR(__xludf.DUMMYFUNCTION("""COMPUTED_VALUE"""),148.64)</f>
        <v>148.64</v>
      </c>
      <c r="C172" s="1">
        <f>IFERROR(__xludf.DUMMYFUNCTION("""COMPUTED_VALUE"""),149.32)</f>
        <v>149.32</v>
      </c>
      <c r="D172" s="1">
        <f>IFERROR(__xludf.DUMMYFUNCTION("""COMPUTED_VALUE"""),142.14)</f>
        <v>142.14</v>
      </c>
      <c r="E172" s="1">
        <f>IFERROR(__xludf.DUMMYFUNCTION("""COMPUTED_VALUE"""),142.14)</f>
        <v>142.14</v>
      </c>
      <c r="F172" s="1">
        <f>IFERROR(__xludf.DUMMYFUNCTION("""COMPUTED_VALUE"""),1251472.0)</f>
        <v>1251472</v>
      </c>
      <c r="G172" s="2" t="s">
        <v>14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IFERROR(__xludf.DUMMYFUNCTION("""COMPUTED_VALUE"""),137.48)</f>
        <v>137.48</v>
      </c>
      <c r="C173" s="1">
        <f>IFERROR(__xludf.DUMMYFUNCTION("""COMPUTED_VALUE"""),141.62)</f>
        <v>141.62</v>
      </c>
      <c r="D173" s="1">
        <f>IFERROR(__xludf.DUMMYFUNCTION("""COMPUTED_VALUE"""),137.46)</f>
        <v>137.46</v>
      </c>
      <c r="E173" s="1">
        <f>IFERROR(__xludf.DUMMYFUNCTION("""COMPUTED_VALUE"""),139.62)</f>
        <v>139.62</v>
      </c>
      <c r="F173" s="1">
        <f>IFERROR(__xludf.DUMMYFUNCTION("""COMPUTED_VALUE"""),812479.0)</f>
        <v>812479</v>
      </c>
      <c r="G173" s="2" t="s">
        <v>14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IFERROR(__xludf.DUMMYFUNCTION("""COMPUTED_VALUE"""),142.32)</f>
        <v>142.32</v>
      </c>
      <c r="C174" s="1">
        <f>IFERROR(__xludf.DUMMYFUNCTION("""COMPUTED_VALUE"""),148.96)</f>
        <v>148.96</v>
      </c>
      <c r="D174" s="1">
        <f>IFERROR(__xludf.DUMMYFUNCTION("""COMPUTED_VALUE"""),141.38)</f>
        <v>141.38</v>
      </c>
      <c r="E174" s="1">
        <f>IFERROR(__xludf.DUMMYFUNCTION("""COMPUTED_VALUE"""),148.96)</f>
        <v>148.96</v>
      </c>
      <c r="F174" s="1">
        <f>IFERROR(__xludf.DUMMYFUNCTION("""COMPUTED_VALUE"""),1392840.0)</f>
        <v>1392840</v>
      </c>
      <c r="G174" s="2" t="s">
        <v>14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IFERROR(__xludf.DUMMYFUNCTION("""COMPUTED_VALUE"""),145.0)</f>
        <v>145</v>
      </c>
      <c r="C175" s="1">
        <f>IFERROR(__xludf.DUMMYFUNCTION("""COMPUTED_VALUE"""),146.42)</f>
        <v>146.42</v>
      </c>
      <c r="D175" s="1">
        <f>IFERROR(__xludf.DUMMYFUNCTION("""COMPUTED_VALUE"""),142.48)</f>
        <v>142.48</v>
      </c>
      <c r="E175" s="1">
        <f>IFERROR(__xludf.DUMMYFUNCTION("""COMPUTED_VALUE"""),143.5)</f>
        <v>143.5</v>
      </c>
      <c r="F175" s="1">
        <f>IFERROR(__xludf.DUMMYFUNCTION("""COMPUTED_VALUE"""),1108204.0)</f>
        <v>1108204</v>
      </c>
      <c r="G175" s="2" t="s">
        <v>14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IFERROR(__xludf.DUMMYFUNCTION("""COMPUTED_VALUE"""),144.94)</f>
        <v>144.94</v>
      </c>
      <c r="C176" s="1">
        <f>IFERROR(__xludf.DUMMYFUNCTION("""COMPUTED_VALUE"""),149.6)</f>
        <v>149.6</v>
      </c>
      <c r="D176" s="1">
        <f>IFERROR(__xludf.DUMMYFUNCTION("""COMPUTED_VALUE"""),144.62)</f>
        <v>144.62</v>
      </c>
      <c r="E176" s="1">
        <f>IFERROR(__xludf.DUMMYFUNCTION("""COMPUTED_VALUE"""),148.82)</f>
        <v>148.82</v>
      </c>
      <c r="F176" s="1">
        <f>IFERROR(__xludf.DUMMYFUNCTION("""COMPUTED_VALUE"""),1148858.0)</f>
        <v>1148858</v>
      </c>
      <c r="G176" s="2" t="s">
        <v>14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IFERROR(__xludf.DUMMYFUNCTION("""COMPUTED_VALUE"""),147.0)</f>
        <v>147</v>
      </c>
      <c r="C177" s="1">
        <f>IFERROR(__xludf.DUMMYFUNCTION("""COMPUTED_VALUE"""),150.32)</f>
        <v>150.32</v>
      </c>
      <c r="D177" s="1">
        <f>IFERROR(__xludf.DUMMYFUNCTION("""COMPUTED_VALUE"""),146.94)</f>
        <v>146.94</v>
      </c>
      <c r="E177" s="1">
        <f>IFERROR(__xludf.DUMMYFUNCTION("""COMPUTED_VALUE"""),148.72)</f>
        <v>148.72</v>
      </c>
      <c r="F177" s="1">
        <f>IFERROR(__xludf.DUMMYFUNCTION("""COMPUTED_VALUE"""),817314.0)</f>
        <v>817314</v>
      </c>
      <c r="G177" s="2" t="s">
        <v>14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IFERROR(__xludf.DUMMYFUNCTION("""COMPUTED_VALUE"""),149.5)</f>
        <v>149.5</v>
      </c>
      <c r="C178" s="1">
        <f>IFERROR(__xludf.DUMMYFUNCTION("""COMPUTED_VALUE"""),150.02)</f>
        <v>150.02</v>
      </c>
      <c r="D178" s="1">
        <f>IFERROR(__xludf.DUMMYFUNCTION("""COMPUTED_VALUE"""),143.7)</f>
        <v>143.7</v>
      </c>
      <c r="E178" s="1">
        <f>IFERROR(__xludf.DUMMYFUNCTION("""COMPUTED_VALUE"""),146.12)</f>
        <v>146.12</v>
      </c>
      <c r="F178" s="1">
        <f>IFERROR(__xludf.DUMMYFUNCTION("""COMPUTED_VALUE"""),1131469.0)</f>
        <v>1131469</v>
      </c>
      <c r="G178" s="2" t="s">
        <v>14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IFERROR(__xludf.DUMMYFUNCTION("""COMPUTED_VALUE"""),146.5)</f>
        <v>146.5</v>
      </c>
      <c r="C179" s="1">
        <f>IFERROR(__xludf.DUMMYFUNCTION("""COMPUTED_VALUE"""),148.54)</f>
        <v>148.54</v>
      </c>
      <c r="D179" s="1">
        <f>IFERROR(__xludf.DUMMYFUNCTION("""COMPUTED_VALUE"""),145.86)</f>
        <v>145.86</v>
      </c>
      <c r="E179" s="1">
        <f>IFERROR(__xludf.DUMMYFUNCTION("""COMPUTED_VALUE"""),146.98)</f>
        <v>146.98</v>
      </c>
      <c r="F179" s="1">
        <f>IFERROR(__xludf.DUMMYFUNCTION("""COMPUTED_VALUE"""),853184.0)</f>
        <v>853184</v>
      </c>
      <c r="G179" s="2" t="s">
        <v>14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IFERROR(__xludf.DUMMYFUNCTION("""COMPUTED_VALUE"""),149.28)</f>
        <v>149.28</v>
      </c>
      <c r="C180" s="1">
        <f>IFERROR(__xludf.DUMMYFUNCTION("""COMPUTED_VALUE"""),152.24)</f>
        <v>152.24</v>
      </c>
      <c r="D180" s="1">
        <f>IFERROR(__xludf.DUMMYFUNCTION("""COMPUTED_VALUE"""),149.14)</f>
        <v>149.14</v>
      </c>
      <c r="E180" s="1">
        <f>IFERROR(__xludf.DUMMYFUNCTION("""COMPUTED_VALUE"""),152.0)</f>
        <v>152</v>
      </c>
      <c r="F180" s="1">
        <f>IFERROR(__xludf.DUMMYFUNCTION("""COMPUTED_VALUE"""),1153285.0)</f>
        <v>1153285</v>
      </c>
      <c r="G180" s="2" t="s">
        <v>14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IFERROR(__xludf.DUMMYFUNCTION("""COMPUTED_VALUE"""),151.34)</f>
        <v>151.34</v>
      </c>
      <c r="C181" s="1">
        <f>IFERROR(__xludf.DUMMYFUNCTION("""COMPUTED_VALUE"""),153.74)</f>
        <v>153.74</v>
      </c>
      <c r="D181" s="1">
        <f>IFERROR(__xludf.DUMMYFUNCTION("""COMPUTED_VALUE"""),148.72)</f>
        <v>148.72</v>
      </c>
      <c r="E181" s="1">
        <f>IFERROR(__xludf.DUMMYFUNCTION("""COMPUTED_VALUE"""),148.72)</f>
        <v>148.72</v>
      </c>
      <c r="F181" s="1">
        <f>IFERROR(__xludf.DUMMYFUNCTION("""COMPUTED_VALUE"""),1013320.0)</f>
        <v>1013320</v>
      </c>
      <c r="G181" s="2" t="s">
        <v>14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IFERROR(__xludf.DUMMYFUNCTION("""COMPUTED_VALUE"""),149.0)</f>
        <v>149</v>
      </c>
      <c r="C182" s="1">
        <f>IFERROR(__xludf.DUMMYFUNCTION("""COMPUTED_VALUE"""),151.52)</f>
        <v>151.52</v>
      </c>
      <c r="D182" s="1">
        <f>IFERROR(__xludf.DUMMYFUNCTION("""COMPUTED_VALUE"""),148.66)</f>
        <v>148.66</v>
      </c>
      <c r="E182" s="1">
        <f>IFERROR(__xludf.DUMMYFUNCTION("""COMPUTED_VALUE"""),150.34)</f>
        <v>150.34</v>
      </c>
      <c r="F182" s="1">
        <f>IFERROR(__xludf.DUMMYFUNCTION("""COMPUTED_VALUE"""),1038184.0)</f>
        <v>1038184</v>
      </c>
      <c r="G182" s="2" t="s">
        <v>14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IFERROR(__xludf.DUMMYFUNCTION("""COMPUTED_VALUE"""),150.98)</f>
        <v>150.98</v>
      </c>
      <c r="C183" s="1">
        <f>IFERROR(__xludf.DUMMYFUNCTION("""COMPUTED_VALUE"""),151.5)</f>
        <v>151.5</v>
      </c>
      <c r="D183" s="1">
        <f>IFERROR(__xludf.DUMMYFUNCTION("""COMPUTED_VALUE"""),147.58)</f>
        <v>147.58</v>
      </c>
      <c r="E183" s="1">
        <f>IFERROR(__xludf.DUMMYFUNCTION("""COMPUTED_VALUE"""),149.3)</f>
        <v>149.3</v>
      </c>
      <c r="F183" s="1">
        <f>IFERROR(__xludf.DUMMYFUNCTION("""COMPUTED_VALUE"""),806818.0)</f>
        <v>806818</v>
      </c>
      <c r="G183" s="2" t="s">
        <v>14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IFERROR(__xludf.DUMMYFUNCTION("""COMPUTED_VALUE"""),147.5)</f>
        <v>147.5</v>
      </c>
      <c r="C184" s="1">
        <f>IFERROR(__xludf.DUMMYFUNCTION("""COMPUTED_VALUE"""),147.88)</f>
        <v>147.88</v>
      </c>
      <c r="D184" s="1">
        <f>IFERROR(__xludf.DUMMYFUNCTION("""COMPUTED_VALUE"""),144.7)</f>
        <v>144.7</v>
      </c>
      <c r="E184" s="1">
        <f>IFERROR(__xludf.DUMMYFUNCTION("""COMPUTED_VALUE"""),145.46)</f>
        <v>145.46</v>
      </c>
      <c r="F184" s="1">
        <f>IFERROR(__xludf.DUMMYFUNCTION("""COMPUTED_VALUE"""),3475980.0)</f>
        <v>3475980</v>
      </c>
      <c r="G184" s="2" t="s">
        <v>14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IFERROR(__xludf.DUMMYFUNCTION("""COMPUTED_VALUE"""),147.38)</f>
        <v>147.38</v>
      </c>
      <c r="C185" s="1">
        <f>IFERROR(__xludf.DUMMYFUNCTION("""COMPUTED_VALUE"""),148.42)</f>
        <v>148.42</v>
      </c>
      <c r="D185" s="1">
        <f>IFERROR(__xludf.DUMMYFUNCTION("""COMPUTED_VALUE"""),143.62)</f>
        <v>143.62</v>
      </c>
      <c r="E185" s="1">
        <f>IFERROR(__xludf.DUMMYFUNCTION("""COMPUTED_VALUE"""),147.0)</f>
        <v>147</v>
      </c>
      <c r="F185" s="1">
        <f>IFERROR(__xludf.DUMMYFUNCTION("""COMPUTED_VALUE"""),1057411.0)</f>
        <v>1057411</v>
      </c>
      <c r="G185" s="2" t="s">
        <v>14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IFERROR(__xludf.DUMMYFUNCTION("""COMPUTED_VALUE"""),148.38)</f>
        <v>148.38</v>
      </c>
      <c r="C186" s="1">
        <f>IFERROR(__xludf.DUMMYFUNCTION("""COMPUTED_VALUE"""),150.66)</f>
        <v>150.66</v>
      </c>
      <c r="D186" s="1">
        <f>IFERROR(__xludf.DUMMYFUNCTION("""COMPUTED_VALUE"""),146.48)</f>
        <v>146.48</v>
      </c>
      <c r="E186" s="1">
        <f>IFERROR(__xludf.DUMMYFUNCTION("""COMPUTED_VALUE"""),146.9)</f>
        <v>146.9</v>
      </c>
      <c r="F186" s="1">
        <f>IFERROR(__xludf.DUMMYFUNCTION("""COMPUTED_VALUE"""),1207387.0)</f>
        <v>1207387</v>
      </c>
      <c r="G186" s="2" t="s">
        <v>14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IFERROR(__xludf.DUMMYFUNCTION("""COMPUTED_VALUE"""),145.4)</f>
        <v>145.4</v>
      </c>
      <c r="C187" s="1">
        <f>IFERROR(__xludf.DUMMYFUNCTION("""COMPUTED_VALUE"""),148.26)</f>
        <v>148.26</v>
      </c>
      <c r="D187" s="1">
        <f>IFERROR(__xludf.DUMMYFUNCTION("""COMPUTED_VALUE"""),143.56)</f>
        <v>143.56</v>
      </c>
      <c r="E187" s="1">
        <f>IFERROR(__xludf.DUMMYFUNCTION("""COMPUTED_VALUE"""),147.94)</f>
        <v>147.94</v>
      </c>
      <c r="F187" s="1">
        <f>IFERROR(__xludf.DUMMYFUNCTION("""COMPUTED_VALUE"""),1217124.0)</f>
        <v>1217124</v>
      </c>
      <c r="G187" s="2" t="s">
        <v>14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IFERROR(__xludf.DUMMYFUNCTION("""COMPUTED_VALUE"""),145.44)</f>
        <v>145.44</v>
      </c>
      <c r="C188" s="1">
        <f>IFERROR(__xludf.DUMMYFUNCTION("""COMPUTED_VALUE"""),149.72)</f>
        <v>149.72</v>
      </c>
      <c r="D188" s="1">
        <f>IFERROR(__xludf.DUMMYFUNCTION("""COMPUTED_VALUE"""),145.16)</f>
        <v>145.16</v>
      </c>
      <c r="E188" s="1">
        <f>IFERROR(__xludf.DUMMYFUNCTION("""COMPUTED_VALUE"""),147.36)</f>
        <v>147.36</v>
      </c>
      <c r="F188" s="1">
        <f>IFERROR(__xludf.DUMMYFUNCTION("""COMPUTED_VALUE"""),916806.0)</f>
        <v>916806</v>
      </c>
      <c r="G188" s="2" t="s">
        <v>14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IFERROR(__xludf.DUMMYFUNCTION("""COMPUTED_VALUE"""),147.8)</f>
        <v>147.8</v>
      </c>
      <c r="C189" s="1">
        <f>IFERROR(__xludf.DUMMYFUNCTION("""COMPUTED_VALUE"""),147.8)</f>
        <v>147.8</v>
      </c>
      <c r="D189" s="1">
        <f>IFERROR(__xludf.DUMMYFUNCTION("""COMPUTED_VALUE"""),140.1)</f>
        <v>140.1</v>
      </c>
      <c r="E189" s="1">
        <f>IFERROR(__xludf.DUMMYFUNCTION("""COMPUTED_VALUE"""),140.16)</f>
        <v>140.16</v>
      </c>
      <c r="F189" s="1">
        <f>IFERROR(__xludf.DUMMYFUNCTION("""COMPUTED_VALUE"""),1274006.0)</f>
        <v>1274006</v>
      </c>
      <c r="G189" s="2" t="s">
        <v>14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IFERROR(__xludf.DUMMYFUNCTION("""COMPUTED_VALUE"""),139.32)</f>
        <v>139.32</v>
      </c>
      <c r="C190" s="1">
        <f>IFERROR(__xludf.DUMMYFUNCTION("""COMPUTED_VALUE"""),140.68)</f>
        <v>140.68</v>
      </c>
      <c r="D190" s="1">
        <f>IFERROR(__xludf.DUMMYFUNCTION("""COMPUTED_VALUE"""),137.06)</f>
        <v>137.06</v>
      </c>
      <c r="E190" s="1">
        <f>IFERROR(__xludf.DUMMYFUNCTION("""COMPUTED_VALUE"""),138.22)</f>
        <v>138.22</v>
      </c>
      <c r="F190" s="1">
        <f>IFERROR(__xludf.DUMMYFUNCTION("""COMPUTED_VALUE"""),1108307.0)</f>
        <v>1108307</v>
      </c>
      <c r="G190" s="2" t="s">
        <v>14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IFERROR(__xludf.DUMMYFUNCTION("""COMPUTED_VALUE"""),139.9)</f>
        <v>139.9</v>
      </c>
      <c r="C191" s="1">
        <f>IFERROR(__xludf.DUMMYFUNCTION("""COMPUTED_VALUE"""),140.84)</f>
        <v>140.84</v>
      </c>
      <c r="D191" s="1">
        <f>IFERROR(__xludf.DUMMYFUNCTION("""COMPUTED_VALUE"""),136.02)</f>
        <v>136.02</v>
      </c>
      <c r="E191" s="1">
        <f>IFERROR(__xludf.DUMMYFUNCTION("""COMPUTED_VALUE"""),136.74)</f>
        <v>136.74</v>
      </c>
      <c r="F191" s="1">
        <f>IFERROR(__xludf.DUMMYFUNCTION("""COMPUTED_VALUE"""),1253447.0)</f>
        <v>1253447</v>
      </c>
      <c r="G191" s="2" t="s">
        <v>14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IFERROR(__xludf.DUMMYFUNCTION("""COMPUTED_VALUE"""),135.0)</f>
        <v>135</v>
      </c>
      <c r="C192" s="1">
        <f>IFERROR(__xludf.DUMMYFUNCTION("""COMPUTED_VALUE"""),138.26)</f>
        <v>138.26</v>
      </c>
      <c r="D192" s="1">
        <f>IFERROR(__xludf.DUMMYFUNCTION("""COMPUTED_VALUE"""),132.22)</f>
        <v>132.22</v>
      </c>
      <c r="E192" s="1">
        <f>IFERROR(__xludf.DUMMYFUNCTION("""COMPUTED_VALUE"""),137.9)</f>
        <v>137.9</v>
      </c>
      <c r="F192" s="1">
        <f>IFERROR(__xludf.DUMMYFUNCTION("""COMPUTED_VALUE"""),1343591.0)</f>
        <v>1343591</v>
      </c>
      <c r="G192" s="2" t="s">
        <v>14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IFERROR(__xludf.DUMMYFUNCTION("""COMPUTED_VALUE"""),138.8)</f>
        <v>138.8</v>
      </c>
      <c r="C193" s="1">
        <f>IFERROR(__xludf.DUMMYFUNCTION("""COMPUTED_VALUE"""),139.08)</f>
        <v>139.08</v>
      </c>
      <c r="D193" s="1">
        <f>IFERROR(__xludf.DUMMYFUNCTION("""COMPUTED_VALUE"""),126.7)</f>
        <v>126.7</v>
      </c>
      <c r="E193" s="1">
        <f>IFERROR(__xludf.DUMMYFUNCTION("""COMPUTED_VALUE"""),128.46)</f>
        <v>128.46</v>
      </c>
      <c r="F193" s="1">
        <f>IFERROR(__xludf.DUMMYFUNCTION("""COMPUTED_VALUE"""),3027096.0)</f>
        <v>3027096</v>
      </c>
      <c r="G193" s="2" t="s">
        <v>14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IFERROR(__xludf.DUMMYFUNCTION("""COMPUTED_VALUE"""),129.62)</f>
        <v>129.62</v>
      </c>
      <c r="C194" s="1">
        <f>IFERROR(__xludf.DUMMYFUNCTION("""COMPUTED_VALUE"""),130.8)</f>
        <v>130.8</v>
      </c>
      <c r="D194" s="1">
        <f>IFERROR(__xludf.DUMMYFUNCTION("""COMPUTED_VALUE"""),125.76)</f>
        <v>125.76</v>
      </c>
      <c r="E194" s="1">
        <f>IFERROR(__xludf.DUMMYFUNCTION("""COMPUTED_VALUE"""),126.4)</f>
        <v>126.4</v>
      </c>
      <c r="F194" s="1">
        <f>IFERROR(__xludf.DUMMYFUNCTION("""COMPUTED_VALUE"""),1495848.0)</f>
        <v>1495848</v>
      </c>
      <c r="G194" s="2" t="s">
        <v>14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IFERROR(__xludf.DUMMYFUNCTION("""COMPUTED_VALUE"""),125.9)</f>
        <v>125.9</v>
      </c>
      <c r="C195" s="1">
        <f>IFERROR(__xludf.DUMMYFUNCTION("""COMPUTED_VALUE"""),127.16)</f>
        <v>127.16</v>
      </c>
      <c r="D195" s="1">
        <f>IFERROR(__xludf.DUMMYFUNCTION("""COMPUTED_VALUE"""),122.82)</f>
        <v>122.82</v>
      </c>
      <c r="E195" s="1">
        <f>IFERROR(__xludf.DUMMYFUNCTION("""COMPUTED_VALUE"""),126.44)</f>
        <v>126.44</v>
      </c>
      <c r="F195" s="1">
        <f>IFERROR(__xludf.DUMMYFUNCTION("""COMPUTED_VALUE"""),1194046.0)</f>
        <v>1194046</v>
      </c>
      <c r="G195" s="2" t="s">
        <v>14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IFERROR(__xludf.DUMMYFUNCTION("""COMPUTED_VALUE"""),129.2)</f>
        <v>129.2</v>
      </c>
      <c r="C196" s="1">
        <f>IFERROR(__xludf.DUMMYFUNCTION("""COMPUTED_VALUE"""),132.06)</f>
        <v>132.06</v>
      </c>
      <c r="D196" s="1">
        <f>IFERROR(__xludf.DUMMYFUNCTION("""COMPUTED_VALUE"""),128.1)</f>
        <v>128.1</v>
      </c>
      <c r="E196" s="1">
        <f>IFERROR(__xludf.DUMMYFUNCTION("""COMPUTED_VALUE"""),131.34)</f>
        <v>131.34</v>
      </c>
      <c r="F196" s="1">
        <f>IFERROR(__xludf.DUMMYFUNCTION("""COMPUTED_VALUE"""),1515857.0)</f>
        <v>1515857</v>
      </c>
      <c r="G196" s="2" t="s">
        <v>14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IFERROR(__xludf.DUMMYFUNCTION("""COMPUTED_VALUE"""),130.62)</f>
        <v>130.62</v>
      </c>
      <c r="C197" s="1">
        <f>IFERROR(__xludf.DUMMYFUNCTION("""COMPUTED_VALUE"""),131.34)</f>
        <v>131.34</v>
      </c>
      <c r="D197" s="1">
        <f>IFERROR(__xludf.DUMMYFUNCTION("""COMPUTED_VALUE"""),126.56)</f>
        <v>126.56</v>
      </c>
      <c r="E197" s="1">
        <f>IFERROR(__xludf.DUMMYFUNCTION("""COMPUTED_VALUE"""),129.62)</f>
        <v>129.62</v>
      </c>
      <c r="F197" s="1">
        <f>IFERROR(__xludf.DUMMYFUNCTION("""COMPUTED_VALUE"""),1401551.0)</f>
        <v>1401551</v>
      </c>
      <c r="G197" s="2" t="s">
        <v>14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IFERROR(__xludf.DUMMYFUNCTION("""COMPUTED_VALUE"""),130.48)</f>
        <v>130.48</v>
      </c>
      <c r="C198" s="1">
        <f>IFERROR(__xludf.DUMMYFUNCTION("""COMPUTED_VALUE"""),133.18)</f>
        <v>133.18</v>
      </c>
      <c r="D198" s="1">
        <f>IFERROR(__xludf.DUMMYFUNCTION("""COMPUTED_VALUE"""),130.06)</f>
        <v>130.06</v>
      </c>
      <c r="E198" s="1">
        <f>IFERROR(__xludf.DUMMYFUNCTION("""COMPUTED_VALUE"""),132.38)</f>
        <v>132.38</v>
      </c>
      <c r="F198" s="1">
        <f>IFERROR(__xludf.DUMMYFUNCTION("""COMPUTED_VALUE"""),1149929.0)</f>
        <v>1149929</v>
      </c>
      <c r="G198" s="2" t="s">
        <v>14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IFERROR(__xludf.DUMMYFUNCTION("""COMPUTED_VALUE"""),131.82)</f>
        <v>131.82</v>
      </c>
      <c r="C199" s="1">
        <f>IFERROR(__xludf.DUMMYFUNCTION("""COMPUTED_VALUE"""),133.46)</f>
        <v>133.46</v>
      </c>
      <c r="D199" s="1">
        <f>IFERROR(__xludf.DUMMYFUNCTION("""COMPUTED_VALUE"""),130.12)</f>
        <v>130.12</v>
      </c>
      <c r="E199" s="1">
        <f>IFERROR(__xludf.DUMMYFUNCTION("""COMPUTED_VALUE"""),130.28)</f>
        <v>130.28</v>
      </c>
      <c r="F199" s="1">
        <f>IFERROR(__xludf.DUMMYFUNCTION("""COMPUTED_VALUE"""),766278.0)</f>
        <v>766278</v>
      </c>
      <c r="G199" s="2" t="s">
        <v>14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IFERROR(__xludf.DUMMYFUNCTION("""COMPUTED_VALUE"""),127.84)</f>
        <v>127.84</v>
      </c>
      <c r="C200" s="1">
        <f>IFERROR(__xludf.DUMMYFUNCTION("""COMPUTED_VALUE"""),130.76)</f>
        <v>130.76</v>
      </c>
      <c r="D200" s="1">
        <f>IFERROR(__xludf.DUMMYFUNCTION("""COMPUTED_VALUE"""),123.86)</f>
        <v>123.86</v>
      </c>
      <c r="E200" s="1">
        <f>IFERROR(__xludf.DUMMYFUNCTION("""COMPUTED_VALUE"""),124.46)</f>
        <v>124.46</v>
      </c>
      <c r="F200" s="1">
        <f>IFERROR(__xludf.DUMMYFUNCTION("""COMPUTED_VALUE"""),1376765.0)</f>
        <v>1376765</v>
      </c>
      <c r="G200" s="2" t="s">
        <v>14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IFERROR(__xludf.DUMMYFUNCTION("""COMPUTED_VALUE"""),123.44)</f>
        <v>123.44</v>
      </c>
      <c r="C201" s="1">
        <f>IFERROR(__xludf.DUMMYFUNCTION("""COMPUTED_VALUE"""),124.08)</f>
        <v>124.08</v>
      </c>
      <c r="D201" s="1">
        <f>IFERROR(__xludf.DUMMYFUNCTION("""COMPUTED_VALUE"""),121.34)</f>
        <v>121.34</v>
      </c>
      <c r="E201" s="1">
        <f>IFERROR(__xludf.DUMMYFUNCTION("""COMPUTED_VALUE"""),123.3)</f>
        <v>123.3</v>
      </c>
      <c r="F201" s="1">
        <f>IFERROR(__xludf.DUMMYFUNCTION("""COMPUTED_VALUE"""),1048051.0)</f>
        <v>1048051</v>
      </c>
      <c r="G201" s="2" t="s">
        <v>14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IFERROR(__xludf.DUMMYFUNCTION("""COMPUTED_VALUE"""),123.62)</f>
        <v>123.62</v>
      </c>
      <c r="C202" s="1">
        <f>IFERROR(__xludf.DUMMYFUNCTION("""COMPUTED_VALUE"""),124.72)</f>
        <v>124.72</v>
      </c>
      <c r="D202" s="1">
        <f>IFERROR(__xludf.DUMMYFUNCTION("""COMPUTED_VALUE"""),120.64)</f>
        <v>120.64</v>
      </c>
      <c r="E202" s="1">
        <f>IFERROR(__xludf.DUMMYFUNCTION("""COMPUTED_VALUE"""),123.08)</f>
        <v>123.08</v>
      </c>
      <c r="F202" s="1">
        <f>IFERROR(__xludf.DUMMYFUNCTION("""COMPUTED_VALUE"""),1010085.0)</f>
        <v>1010085</v>
      </c>
      <c r="G202" s="2" t="s">
        <v>14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IFERROR(__xludf.DUMMYFUNCTION("""COMPUTED_VALUE"""),122.6)</f>
        <v>122.6</v>
      </c>
      <c r="C203" s="1">
        <f>IFERROR(__xludf.DUMMYFUNCTION("""COMPUTED_VALUE"""),126.32)</f>
        <v>126.32</v>
      </c>
      <c r="D203" s="1">
        <f>IFERROR(__xludf.DUMMYFUNCTION("""COMPUTED_VALUE"""),121.02)</f>
        <v>121.02</v>
      </c>
      <c r="E203" s="1">
        <f>IFERROR(__xludf.DUMMYFUNCTION("""COMPUTED_VALUE"""),124.16)</f>
        <v>124.16</v>
      </c>
      <c r="F203" s="1">
        <f>IFERROR(__xludf.DUMMYFUNCTION("""COMPUTED_VALUE"""),1377090.0)</f>
        <v>1377090</v>
      </c>
      <c r="G203" s="2" t="s">
        <v>14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IFERROR(__xludf.DUMMYFUNCTION("""COMPUTED_VALUE"""),126.9)</f>
        <v>126.9</v>
      </c>
      <c r="C204" s="1">
        <f>IFERROR(__xludf.DUMMYFUNCTION("""COMPUTED_VALUE"""),126.9)</f>
        <v>126.9</v>
      </c>
      <c r="D204" s="1">
        <f>IFERROR(__xludf.DUMMYFUNCTION("""COMPUTED_VALUE"""),123.62)</f>
        <v>123.62</v>
      </c>
      <c r="E204" s="1">
        <f>IFERROR(__xludf.DUMMYFUNCTION("""COMPUTED_VALUE"""),124.28)</f>
        <v>124.28</v>
      </c>
      <c r="F204" s="1">
        <f>IFERROR(__xludf.DUMMYFUNCTION("""COMPUTED_VALUE"""),915770.0)</f>
        <v>915770</v>
      </c>
      <c r="G204" s="2" t="s">
        <v>14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IFERROR(__xludf.DUMMYFUNCTION("""COMPUTED_VALUE"""),126.5)</f>
        <v>126.5</v>
      </c>
      <c r="C205" s="1">
        <f>IFERROR(__xludf.DUMMYFUNCTION("""COMPUTED_VALUE"""),129.68)</f>
        <v>129.68</v>
      </c>
      <c r="D205" s="1">
        <f>IFERROR(__xludf.DUMMYFUNCTION("""COMPUTED_VALUE"""),125.64)</f>
        <v>125.64</v>
      </c>
      <c r="E205" s="1">
        <f>IFERROR(__xludf.DUMMYFUNCTION("""COMPUTED_VALUE"""),127.78)</f>
        <v>127.78</v>
      </c>
      <c r="F205" s="1">
        <f>IFERROR(__xludf.DUMMYFUNCTION("""COMPUTED_VALUE"""),1477944.0)</f>
        <v>1477944</v>
      </c>
      <c r="G205" s="2" t="s">
        <v>14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IFERROR(__xludf.DUMMYFUNCTION("""COMPUTED_VALUE"""),130.48)</f>
        <v>130.48</v>
      </c>
      <c r="C206" s="1">
        <f>IFERROR(__xludf.DUMMYFUNCTION("""COMPUTED_VALUE"""),133.1)</f>
        <v>133.1</v>
      </c>
      <c r="D206" s="1">
        <f>IFERROR(__xludf.DUMMYFUNCTION("""COMPUTED_VALUE"""),129.66)</f>
        <v>129.66</v>
      </c>
      <c r="E206" s="1">
        <f>IFERROR(__xludf.DUMMYFUNCTION("""COMPUTED_VALUE"""),130.4)</f>
        <v>130.4</v>
      </c>
      <c r="F206" s="1">
        <f>IFERROR(__xludf.DUMMYFUNCTION("""COMPUTED_VALUE"""),1047470.0)</f>
        <v>1047470</v>
      </c>
      <c r="G206" s="2" t="s">
        <v>14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IFERROR(__xludf.DUMMYFUNCTION("""COMPUTED_VALUE"""),131.5)</f>
        <v>131.5</v>
      </c>
      <c r="C207" s="1">
        <f>IFERROR(__xludf.DUMMYFUNCTION("""COMPUTED_VALUE"""),131.92)</f>
        <v>131.92</v>
      </c>
      <c r="D207" s="1">
        <f>IFERROR(__xludf.DUMMYFUNCTION("""COMPUTED_VALUE"""),129.52)</f>
        <v>129.52</v>
      </c>
      <c r="E207" s="1">
        <f>IFERROR(__xludf.DUMMYFUNCTION("""COMPUTED_VALUE"""),129.86)</f>
        <v>129.86</v>
      </c>
      <c r="F207" s="1">
        <f>IFERROR(__xludf.DUMMYFUNCTION("""COMPUTED_VALUE"""),765707.0)</f>
        <v>765707</v>
      </c>
      <c r="G207" s="2" t="s">
        <v>14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IFERROR(__xludf.DUMMYFUNCTION("""COMPUTED_VALUE"""),129.22)</f>
        <v>129.22</v>
      </c>
      <c r="C208" s="1">
        <f>IFERROR(__xludf.DUMMYFUNCTION("""COMPUTED_VALUE"""),131.82)</f>
        <v>131.82</v>
      </c>
      <c r="D208" s="1">
        <f>IFERROR(__xludf.DUMMYFUNCTION("""COMPUTED_VALUE"""),128.26)</f>
        <v>128.26</v>
      </c>
      <c r="E208" s="1">
        <f>IFERROR(__xludf.DUMMYFUNCTION("""COMPUTED_VALUE"""),129.88)</f>
        <v>129.88</v>
      </c>
      <c r="F208" s="1">
        <f>IFERROR(__xludf.DUMMYFUNCTION("""COMPUTED_VALUE"""),830148.0)</f>
        <v>830148</v>
      </c>
      <c r="G208" s="2" t="s">
        <v>14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IFERROR(__xludf.DUMMYFUNCTION("""COMPUTED_VALUE"""),129.34)</f>
        <v>129.34</v>
      </c>
      <c r="C209" s="1">
        <f>IFERROR(__xludf.DUMMYFUNCTION("""COMPUTED_VALUE"""),129.68)</f>
        <v>129.68</v>
      </c>
      <c r="D209" s="1">
        <f>IFERROR(__xludf.DUMMYFUNCTION("""COMPUTED_VALUE"""),127.24)</f>
        <v>127.24</v>
      </c>
      <c r="E209" s="1">
        <f>IFERROR(__xludf.DUMMYFUNCTION("""COMPUTED_VALUE"""),129.64)</f>
        <v>129.64</v>
      </c>
      <c r="F209" s="1">
        <f>IFERROR(__xludf.DUMMYFUNCTION("""COMPUTED_VALUE"""),1258099.0)</f>
        <v>1258099</v>
      </c>
      <c r="G209" s="2" t="s">
        <v>14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IFERROR(__xludf.DUMMYFUNCTION("""COMPUTED_VALUE"""),131.0)</f>
        <v>131</v>
      </c>
      <c r="C210" s="1">
        <f>IFERROR(__xludf.DUMMYFUNCTION("""COMPUTED_VALUE"""),132.0)</f>
        <v>132</v>
      </c>
      <c r="D210" s="1">
        <f>IFERROR(__xludf.DUMMYFUNCTION("""COMPUTED_VALUE"""),129.34)</f>
        <v>129.34</v>
      </c>
      <c r="E210" s="1">
        <f>IFERROR(__xludf.DUMMYFUNCTION("""COMPUTED_VALUE"""),130.22)</f>
        <v>130.22</v>
      </c>
      <c r="F210" s="1">
        <f>IFERROR(__xludf.DUMMYFUNCTION("""COMPUTED_VALUE"""),982257.0)</f>
        <v>982257</v>
      </c>
      <c r="G210" s="2" t="s">
        <v>14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IFERROR(__xludf.DUMMYFUNCTION("""COMPUTED_VALUE"""),131.44)</f>
        <v>131.44</v>
      </c>
      <c r="C211" s="1">
        <f>IFERROR(__xludf.DUMMYFUNCTION("""COMPUTED_VALUE"""),131.98)</f>
        <v>131.98</v>
      </c>
      <c r="D211" s="1">
        <f>IFERROR(__xludf.DUMMYFUNCTION("""COMPUTED_VALUE"""),127.74)</f>
        <v>127.74</v>
      </c>
      <c r="E211" s="1">
        <f>IFERROR(__xludf.DUMMYFUNCTION("""COMPUTED_VALUE"""),131.18)</f>
        <v>131.18</v>
      </c>
      <c r="F211" s="1">
        <f>IFERROR(__xludf.DUMMYFUNCTION("""COMPUTED_VALUE"""),853827.0)</f>
        <v>853827</v>
      </c>
      <c r="G211" s="2" t="s">
        <v>14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IFERROR(__xludf.DUMMYFUNCTION("""COMPUTED_VALUE"""),131.0)</f>
        <v>131</v>
      </c>
      <c r="C212" s="1">
        <f>IFERROR(__xludf.DUMMYFUNCTION("""COMPUTED_VALUE"""),131.36)</f>
        <v>131.36</v>
      </c>
      <c r="D212" s="1">
        <f>IFERROR(__xludf.DUMMYFUNCTION("""COMPUTED_VALUE"""),129.56)</f>
        <v>129.56</v>
      </c>
      <c r="E212" s="1">
        <f>IFERROR(__xludf.DUMMYFUNCTION("""COMPUTED_VALUE"""),131.04)</f>
        <v>131.04</v>
      </c>
      <c r="F212" s="1">
        <f>IFERROR(__xludf.DUMMYFUNCTION("""COMPUTED_VALUE"""),844878.0)</f>
        <v>844878</v>
      </c>
      <c r="G212" s="2" t="s">
        <v>14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IFERROR(__xludf.DUMMYFUNCTION("""COMPUTED_VALUE"""),130.56)</f>
        <v>130.56</v>
      </c>
      <c r="C213" s="1">
        <f>IFERROR(__xludf.DUMMYFUNCTION("""COMPUTED_VALUE"""),132.2)</f>
        <v>132.2</v>
      </c>
      <c r="D213" s="1">
        <f>IFERROR(__xludf.DUMMYFUNCTION("""COMPUTED_VALUE"""),129.36)</f>
        <v>129.36</v>
      </c>
      <c r="E213" s="1">
        <f>IFERROR(__xludf.DUMMYFUNCTION("""COMPUTED_VALUE"""),130.7)</f>
        <v>130.7</v>
      </c>
      <c r="F213" s="1">
        <f>IFERROR(__xludf.DUMMYFUNCTION("""COMPUTED_VALUE"""),870180.0)</f>
        <v>870180</v>
      </c>
      <c r="G213" s="2" t="s">
        <v>14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IFERROR(__xludf.DUMMYFUNCTION("""COMPUTED_VALUE"""),127.5)</f>
        <v>127.5</v>
      </c>
      <c r="C214" s="1">
        <f>IFERROR(__xludf.DUMMYFUNCTION("""COMPUTED_VALUE"""),129.22)</f>
        <v>129.22</v>
      </c>
      <c r="D214" s="1">
        <f>IFERROR(__xludf.DUMMYFUNCTION("""COMPUTED_VALUE"""),125.4)</f>
        <v>125.4</v>
      </c>
      <c r="E214" s="1">
        <f>IFERROR(__xludf.DUMMYFUNCTION("""COMPUTED_VALUE"""),128.24)</f>
        <v>128.24</v>
      </c>
      <c r="F214" s="1">
        <f>IFERROR(__xludf.DUMMYFUNCTION("""COMPUTED_VALUE"""),1595024.0)</f>
        <v>1595024</v>
      </c>
      <c r="G214" s="2" t="s">
        <v>14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IFERROR(__xludf.DUMMYFUNCTION("""COMPUTED_VALUE"""),129.04)</f>
        <v>129.04</v>
      </c>
      <c r="C215" s="1">
        <f>IFERROR(__xludf.DUMMYFUNCTION("""COMPUTED_VALUE"""),129.78)</f>
        <v>129.78</v>
      </c>
      <c r="D215" s="1">
        <f>IFERROR(__xludf.DUMMYFUNCTION("""COMPUTED_VALUE"""),127.44)</f>
        <v>127.44</v>
      </c>
      <c r="E215" s="1">
        <f>IFERROR(__xludf.DUMMYFUNCTION("""COMPUTED_VALUE"""),129.34)</f>
        <v>129.34</v>
      </c>
      <c r="F215" s="1">
        <f>IFERROR(__xludf.DUMMYFUNCTION("""COMPUTED_VALUE"""),805520.0)</f>
        <v>805520</v>
      </c>
      <c r="G215" s="2" t="s">
        <v>14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IFERROR(__xludf.DUMMYFUNCTION("""COMPUTED_VALUE"""),130.88)</f>
        <v>130.88</v>
      </c>
      <c r="C216" s="1">
        <f>IFERROR(__xludf.DUMMYFUNCTION("""COMPUTED_VALUE"""),132.98)</f>
        <v>132.98</v>
      </c>
      <c r="D216" s="1">
        <f>IFERROR(__xludf.DUMMYFUNCTION("""COMPUTED_VALUE"""),130.1)</f>
        <v>130.1</v>
      </c>
      <c r="E216" s="1">
        <f>IFERROR(__xludf.DUMMYFUNCTION("""COMPUTED_VALUE"""),132.2)</f>
        <v>132.2</v>
      </c>
      <c r="F216" s="1">
        <f>IFERROR(__xludf.DUMMYFUNCTION("""COMPUTED_VALUE"""),933241.0)</f>
        <v>933241</v>
      </c>
      <c r="G216" s="2" t="s">
        <v>14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IFERROR(__xludf.DUMMYFUNCTION("""COMPUTED_VALUE"""),132.5)</f>
        <v>132.5</v>
      </c>
      <c r="C217" s="1">
        <f>IFERROR(__xludf.DUMMYFUNCTION("""COMPUTED_VALUE"""),133.68)</f>
        <v>133.68</v>
      </c>
      <c r="D217" s="1">
        <f>IFERROR(__xludf.DUMMYFUNCTION("""COMPUTED_VALUE"""),130.46)</f>
        <v>130.46</v>
      </c>
      <c r="E217" s="1">
        <f>IFERROR(__xludf.DUMMYFUNCTION("""COMPUTED_VALUE"""),131.02)</f>
        <v>131.02</v>
      </c>
      <c r="F217" s="1">
        <f>IFERROR(__xludf.DUMMYFUNCTION("""COMPUTED_VALUE"""),742898.0)</f>
        <v>742898</v>
      </c>
      <c r="G217" s="2" t="s">
        <v>14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IFERROR(__xludf.DUMMYFUNCTION("""COMPUTED_VALUE"""),129.62)</f>
        <v>129.62</v>
      </c>
      <c r="C218" s="1">
        <f>IFERROR(__xludf.DUMMYFUNCTION("""COMPUTED_VALUE"""),129.76)</f>
        <v>129.76</v>
      </c>
      <c r="D218" s="1">
        <f>IFERROR(__xludf.DUMMYFUNCTION("""COMPUTED_VALUE"""),126.86)</f>
        <v>126.86</v>
      </c>
      <c r="E218" s="1">
        <f>IFERROR(__xludf.DUMMYFUNCTION("""COMPUTED_VALUE"""),127.92)</f>
        <v>127.92</v>
      </c>
      <c r="F218" s="1">
        <f>IFERROR(__xludf.DUMMYFUNCTION("""COMPUTED_VALUE"""),1125988.0)</f>
        <v>1125988</v>
      </c>
      <c r="G218" s="2" t="s">
        <v>14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IFERROR(__xludf.DUMMYFUNCTION("""COMPUTED_VALUE"""),128.52)</f>
        <v>128.52</v>
      </c>
      <c r="C219" s="1">
        <f>IFERROR(__xludf.DUMMYFUNCTION("""COMPUTED_VALUE"""),134.44)</f>
        <v>134.44</v>
      </c>
      <c r="D219" s="1">
        <f>IFERROR(__xludf.DUMMYFUNCTION("""COMPUTED_VALUE"""),128.52)</f>
        <v>128.52</v>
      </c>
      <c r="E219" s="1">
        <f>IFERROR(__xludf.DUMMYFUNCTION("""COMPUTED_VALUE"""),133.08)</f>
        <v>133.08</v>
      </c>
      <c r="F219" s="1">
        <f>IFERROR(__xludf.DUMMYFUNCTION("""COMPUTED_VALUE"""),1692303.0)</f>
        <v>1692303</v>
      </c>
      <c r="G219" s="2" t="s">
        <v>14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IFERROR(__xludf.DUMMYFUNCTION("""COMPUTED_VALUE"""),133.02)</f>
        <v>133.02</v>
      </c>
      <c r="C220" s="1">
        <f>IFERROR(__xludf.DUMMYFUNCTION("""COMPUTED_VALUE"""),137.58)</f>
        <v>137.58</v>
      </c>
      <c r="D220" s="1">
        <f>IFERROR(__xludf.DUMMYFUNCTION("""COMPUTED_VALUE"""),132.8)</f>
        <v>132.8</v>
      </c>
      <c r="E220" s="1">
        <f>IFERROR(__xludf.DUMMYFUNCTION("""COMPUTED_VALUE"""),136.36)</f>
        <v>136.36</v>
      </c>
      <c r="F220" s="1">
        <f>IFERROR(__xludf.DUMMYFUNCTION("""COMPUTED_VALUE"""),1081547.0)</f>
        <v>1081547</v>
      </c>
      <c r="G220" s="2" t="s">
        <v>14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IFERROR(__xludf.DUMMYFUNCTION("""COMPUTED_VALUE"""),137.36)</f>
        <v>137.36</v>
      </c>
      <c r="C221" s="1">
        <f>IFERROR(__xludf.DUMMYFUNCTION("""COMPUTED_VALUE"""),138.38)</f>
        <v>138.38</v>
      </c>
      <c r="D221" s="1">
        <f>IFERROR(__xludf.DUMMYFUNCTION("""COMPUTED_VALUE"""),135.38)</f>
        <v>135.38</v>
      </c>
      <c r="E221" s="1">
        <f>IFERROR(__xludf.DUMMYFUNCTION("""COMPUTED_VALUE"""),136.34)</f>
        <v>136.34</v>
      </c>
      <c r="F221" s="1">
        <f>IFERROR(__xludf.DUMMYFUNCTION("""COMPUTED_VALUE"""),957613.0)</f>
        <v>957613</v>
      </c>
      <c r="G221" s="2" t="s">
        <v>14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IFERROR(__xludf.DUMMYFUNCTION("""COMPUTED_VALUE"""),135.6)</f>
        <v>135.6</v>
      </c>
      <c r="C222" s="1">
        <f>IFERROR(__xludf.DUMMYFUNCTION("""COMPUTED_VALUE"""),136.58)</f>
        <v>136.58</v>
      </c>
      <c r="D222" s="1">
        <f>IFERROR(__xludf.DUMMYFUNCTION("""COMPUTED_VALUE"""),133.98)</f>
        <v>133.98</v>
      </c>
      <c r="E222" s="1">
        <f>IFERROR(__xludf.DUMMYFUNCTION("""COMPUTED_VALUE"""),135.26)</f>
        <v>135.26</v>
      </c>
      <c r="F222" s="1">
        <f>IFERROR(__xludf.DUMMYFUNCTION("""COMPUTED_VALUE"""),762043.0)</f>
        <v>762043</v>
      </c>
      <c r="G222" s="2" t="s">
        <v>14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IFERROR(__xludf.DUMMYFUNCTION("""COMPUTED_VALUE"""),134.46)</f>
        <v>134.46</v>
      </c>
      <c r="C223" s="1">
        <f>IFERROR(__xludf.DUMMYFUNCTION("""COMPUTED_VALUE"""),139.4)</f>
        <v>139.4</v>
      </c>
      <c r="D223" s="1">
        <f>IFERROR(__xludf.DUMMYFUNCTION("""COMPUTED_VALUE"""),134.04)</f>
        <v>134.04</v>
      </c>
      <c r="E223" s="1">
        <f>IFERROR(__xludf.DUMMYFUNCTION("""COMPUTED_VALUE"""),139.0)</f>
        <v>139</v>
      </c>
      <c r="F223" s="1">
        <f>IFERROR(__xludf.DUMMYFUNCTION("""COMPUTED_VALUE"""),1395137.0)</f>
        <v>1395137</v>
      </c>
      <c r="G223" s="2" t="s">
        <v>14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IFERROR(__xludf.DUMMYFUNCTION("""COMPUTED_VALUE"""),140.92)</f>
        <v>140.92</v>
      </c>
      <c r="C224" s="1">
        <f>IFERROR(__xludf.DUMMYFUNCTION("""COMPUTED_VALUE"""),144.4)</f>
        <v>144.4</v>
      </c>
      <c r="D224" s="1">
        <f>IFERROR(__xludf.DUMMYFUNCTION("""COMPUTED_VALUE"""),140.48)</f>
        <v>140.48</v>
      </c>
      <c r="E224" s="1">
        <f>IFERROR(__xludf.DUMMYFUNCTION("""COMPUTED_VALUE"""),142.68)</f>
        <v>142.68</v>
      </c>
      <c r="F224" s="1">
        <f>IFERROR(__xludf.DUMMYFUNCTION("""COMPUTED_VALUE"""),1527622.0)</f>
        <v>1527622</v>
      </c>
      <c r="G224" s="2" t="s">
        <v>14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IFERROR(__xludf.DUMMYFUNCTION("""COMPUTED_VALUE"""),143.9)</f>
        <v>143.9</v>
      </c>
      <c r="C225" s="1">
        <f>IFERROR(__xludf.DUMMYFUNCTION("""COMPUTED_VALUE"""),144.86)</f>
        <v>144.86</v>
      </c>
      <c r="D225" s="1">
        <f>IFERROR(__xludf.DUMMYFUNCTION("""COMPUTED_VALUE"""),142.22)</f>
        <v>142.22</v>
      </c>
      <c r="E225" s="1">
        <f>IFERROR(__xludf.DUMMYFUNCTION("""COMPUTED_VALUE"""),143.44)</f>
        <v>143.44</v>
      </c>
      <c r="F225" s="1">
        <f>IFERROR(__xludf.DUMMYFUNCTION("""COMPUTED_VALUE"""),984648.0)</f>
        <v>984648</v>
      </c>
      <c r="G225" s="2" t="s">
        <v>14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IFERROR(__xludf.DUMMYFUNCTION("""COMPUTED_VALUE"""),144.0)</f>
        <v>144</v>
      </c>
      <c r="C226" s="1">
        <f>IFERROR(__xludf.DUMMYFUNCTION("""COMPUTED_VALUE"""),144.98)</f>
        <v>144.98</v>
      </c>
      <c r="D226" s="1">
        <f>IFERROR(__xludf.DUMMYFUNCTION("""COMPUTED_VALUE"""),142.24)</f>
        <v>142.24</v>
      </c>
      <c r="E226" s="1">
        <f>IFERROR(__xludf.DUMMYFUNCTION("""COMPUTED_VALUE"""),143.4)</f>
        <v>143.4</v>
      </c>
      <c r="F226" s="1">
        <f>IFERROR(__xludf.DUMMYFUNCTION("""COMPUTED_VALUE"""),1014477.0)</f>
        <v>1014477</v>
      </c>
      <c r="G226" s="2" t="s">
        <v>14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IFERROR(__xludf.DUMMYFUNCTION("""COMPUTED_VALUE"""),142.96)</f>
        <v>142.96</v>
      </c>
      <c r="C227" s="1">
        <f>IFERROR(__xludf.DUMMYFUNCTION("""COMPUTED_VALUE"""),143.22)</f>
        <v>143.22</v>
      </c>
      <c r="D227" s="1">
        <f>IFERROR(__xludf.DUMMYFUNCTION("""COMPUTED_VALUE"""),136.04)</f>
        <v>136.04</v>
      </c>
      <c r="E227" s="1">
        <f>IFERROR(__xludf.DUMMYFUNCTION("""COMPUTED_VALUE"""),137.4)</f>
        <v>137.4</v>
      </c>
      <c r="F227" s="1">
        <f>IFERROR(__xludf.DUMMYFUNCTION("""COMPUTED_VALUE"""),1562330.0)</f>
        <v>1562330</v>
      </c>
      <c r="G227" s="2" t="s">
        <v>14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IFERROR(__xludf.DUMMYFUNCTION("""COMPUTED_VALUE"""),138.12)</f>
        <v>138.12</v>
      </c>
      <c r="C228" s="1">
        <f>IFERROR(__xludf.DUMMYFUNCTION("""COMPUTED_VALUE"""),139.62)</f>
        <v>139.62</v>
      </c>
      <c r="D228" s="1">
        <f>IFERROR(__xludf.DUMMYFUNCTION("""COMPUTED_VALUE"""),136.86)</f>
        <v>136.86</v>
      </c>
      <c r="E228" s="1">
        <f>IFERROR(__xludf.DUMMYFUNCTION("""COMPUTED_VALUE"""),138.6)</f>
        <v>138.6</v>
      </c>
      <c r="F228" s="1">
        <f>IFERROR(__xludf.DUMMYFUNCTION("""COMPUTED_VALUE"""),886739.0)</f>
        <v>886739</v>
      </c>
      <c r="G228" s="2" t="s">
        <v>14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IFERROR(__xludf.DUMMYFUNCTION("""COMPUTED_VALUE"""),140.06)</f>
        <v>140.06</v>
      </c>
      <c r="C229" s="1">
        <f>IFERROR(__xludf.DUMMYFUNCTION("""COMPUTED_VALUE"""),142.62)</f>
        <v>142.62</v>
      </c>
      <c r="D229" s="1">
        <f>IFERROR(__xludf.DUMMYFUNCTION("""COMPUTED_VALUE"""),139.34)</f>
        <v>139.34</v>
      </c>
      <c r="E229" s="1">
        <f>IFERROR(__xludf.DUMMYFUNCTION("""COMPUTED_VALUE"""),141.86)</f>
        <v>141.86</v>
      </c>
      <c r="F229" s="1">
        <f>IFERROR(__xludf.DUMMYFUNCTION("""COMPUTED_VALUE"""),1155420.0)</f>
        <v>1155420</v>
      </c>
      <c r="G229" s="2" t="s">
        <v>14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IFERROR(__xludf.DUMMYFUNCTION("""COMPUTED_VALUE"""),141.02)</f>
        <v>141.02</v>
      </c>
      <c r="C230" s="1">
        <f>IFERROR(__xludf.DUMMYFUNCTION("""COMPUTED_VALUE"""),141.1)</f>
        <v>141.1</v>
      </c>
      <c r="D230" s="1">
        <f>IFERROR(__xludf.DUMMYFUNCTION("""COMPUTED_VALUE"""),139.2)</f>
        <v>139.2</v>
      </c>
      <c r="E230" s="1">
        <f>IFERROR(__xludf.DUMMYFUNCTION("""COMPUTED_VALUE"""),139.64)</f>
        <v>139.64</v>
      </c>
      <c r="F230" s="1">
        <f>IFERROR(__xludf.DUMMYFUNCTION("""COMPUTED_VALUE"""),627606.0)</f>
        <v>627606</v>
      </c>
      <c r="G230" s="2" t="s">
        <v>14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IFERROR(__xludf.DUMMYFUNCTION("""COMPUTED_VALUE"""),139.0)</f>
        <v>139</v>
      </c>
      <c r="C231" s="1">
        <f>IFERROR(__xludf.DUMMYFUNCTION("""COMPUTED_VALUE"""),140.36)</f>
        <v>140.36</v>
      </c>
      <c r="D231" s="1">
        <f>IFERROR(__xludf.DUMMYFUNCTION("""COMPUTED_VALUE"""),138.16)</f>
        <v>138.16</v>
      </c>
      <c r="E231" s="1">
        <f>IFERROR(__xludf.DUMMYFUNCTION("""COMPUTED_VALUE"""),139.76)</f>
        <v>139.76</v>
      </c>
      <c r="F231" s="1">
        <f>IFERROR(__xludf.DUMMYFUNCTION("""COMPUTED_VALUE"""),747163.0)</f>
        <v>747163</v>
      </c>
      <c r="G231" s="2" t="s">
        <v>14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IFERROR(__xludf.DUMMYFUNCTION("""COMPUTED_VALUE"""),140.2)</f>
        <v>140.2</v>
      </c>
      <c r="C232" s="1">
        <f>IFERROR(__xludf.DUMMYFUNCTION("""COMPUTED_VALUE"""),140.44)</f>
        <v>140.44</v>
      </c>
      <c r="D232" s="1">
        <f>IFERROR(__xludf.DUMMYFUNCTION("""COMPUTED_VALUE"""),136.16)</f>
        <v>136.16</v>
      </c>
      <c r="E232" s="1">
        <f>IFERROR(__xludf.DUMMYFUNCTION("""COMPUTED_VALUE"""),137.14)</f>
        <v>137.14</v>
      </c>
      <c r="F232" s="1">
        <f>IFERROR(__xludf.DUMMYFUNCTION("""COMPUTED_VALUE"""),1025402.0)</f>
        <v>1025402</v>
      </c>
      <c r="G232" s="2" t="s">
        <v>14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IFERROR(__xludf.DUMMYFUNCTION("""COMPUTED_VALUE"""),137.78)</f>
        <v>137.78</v>
      </c>
      <c r="C233" s="1">
        <f>IFERROR(__xludf.DUMMYFUNCTION("""COMPUTED_VALUE"""),138.2)</f>
        <v>138.2</v>
      </c>
      <c r="D233" s="1">
        <f>IFERROR(__xludf.DUMMYFUNCTION("""COMPUTED_VALUE"""),137.0)</f>
        <v>137</v>
      </c>
      <c r="E233" s="1">
        <f>IFERROR(__xludf.DUMMYFUNCTION("""COMPUTED_VALUE"""),137.0)</f>
        <v>137</v>
      </c>
      <c r="F233" s="1">
        <f>IFERROR(__xludf.DUMMYFUNCTION("""COMPUTED_VALUE"""),840947.0)</f>
        <v>840947</v>
      </c>
      <c r="G233" s="2" t="s">
        <v>14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IFERROR(__xludf.DUMMYFUNCTION("""COMPUTED_VALUE"""),137.28)</f>
        <v>137.28</v>
      </c>
      <c r="C234" s="1">
        <f>IFERROR(__xludf.DUMMYFUNCTION("""COMPUTED_VALUE"""),137.28)</f>
        <v>137.28</v>
      </c>
      <c r="D234" s="1">
        <f>IFERROR(__xludf.DUMMYFUNCTION("""COMPUTED_VALUE"""),135.78)</f>
        <v>135.78</v>
      </c>
      <c r="E234" s="1">
        <f>IFERROR(__xludf.DUMMYFUNCTION("""COMPUTED_VALUE"""),136.56)</f>
        <v>136.56</v>
      </c>
      <c r="F234" s="1">
        <f>IFERROR(__xludf.DUMMYFUNCTION("""COMPUTED_VALUE"""),844322.0)</f>
        <v>844322</v>
      </c>
      <c r="G234" s="2" t="s">
        <v>14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IFERROR(__xludf.DUMMYFUNCTION("""COMPUTED_VALUE"""),135.8)</f>
        <v>135.8</v>
      </c>
      <c r="C235" s="1">
        <f>IFERROR(__xludf.DUMMYFUNCTION("""COMPUTED_VALUE"""),136.28)</f>
        <v>136.28</v>
      </c>
      <c r="D235" s="1">
        <f>IFERROR(__xludf.DUMMYFUNCTION("""COMPUTED_VALUE"""),134.82)</f>
        <v>134.82</v>
      </c>
      <c r="E235" s="1">
        <f>IFERROR(__xludf.DUMMYFUNCTION("""COMPUTED_VALUE"""),135.24)</f>
        <v>135.24</v>
      </c>
      <c r="F235" s="1">
        <f>IFERROR(__xludf.DUMMYFUNCTION("""COMPUTED_VALUE"""),864492.0)</f>
        <v>864492</v>
      </c>
      <c r="G235" s="2" t="s">
        <v>14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IFERROR(__xludf.DUMMYFUNCTION("""COMPUTED_VALUE"""),135.86)</f>
        <v>135.86</v>
      </c>
      <c r="C236" s="1">
        <f>IFERROR(__xludf.DUMMYFUNCTION("""COMPUTED_VALUE"""),138.18)</f>
        <v>138.18</v>
      </c>
      <c r="D236" s="1">
        <f>IFERROR(__xludf.DUMMYFUNCTION("""COMPUTED_VALUE"""),134.8)</f>
        <v>134.8</v>
      </c>
      <c r="E236" s="1">
        <f>IFERROR(__xludf.DUMMYFUNCTION("""COMPUTED_VALUE"""),137.84)</f>
        <v>137.84</v>
      </c>
      <c r="F236" s="1">
        <f>IFERROR(__xludf.DUMMYFUNCTION("""COMPUTED_VALUE"""),827514.0)</f>
        <v>827514</v>
      </c>
      <c r="G236" s="2" t="s">
        <v>14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IFERROR(__xludf.DUMMYFUNCTION("""COMPUTED_VALUE"""),138.6)</f>
        <v>138.6</v>
      </c>
      <c r="C237" s="1">
        <f>IFERROR(__xludf.DUMMYFUNCTION("""COMPUTED_VALUE"""),140.6)</f>
        <v>140.6</v>
      </c>
      <c r="D237" s="1">
        <f>IFERROR(__xludf.DUMMYFUNCTION("""COMPUTED_VALUE"""),138.52)</f>
        <v>138.52</v>
      </c>
      <c r="E237" s="1">
        <f>IFERROR(__xludf.DUMMYFUNCTION("""COMPUTED_VALUE"""),139.9)</f>
        <v>139.9</v>
      </c>
      <c r="F237" s="1">
        <f>IFERROR(__xludf.DUMMYFUNCTION("""COMPUTED_VALUE"""),1515956.0)</f>
        <v>1515956</v>
      </c>
      <c r="G237" s="2" t="s">
        <v>14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IFERROR(__xludf.DUMMYFUNCTION("""COMPUTED_VALUE"""),141.22)</f>
        <v>141.22</v>
      </c>
      <c r="C238" s="1">
        <f>IFERROR(__xludf.DUMMYFUNCTION("""COMPUTED_VALUE"""),141.86)</f>
        <v>141.86</v>
      </c>
      <c r="D238" s="1">
        <f>IFERROR(__xludf.DUMMYFUNCTION("""COMPUTED_VALUE"""),138.48)</f>
        <v>138.48</v>
      </c>
      <c r="E238" s="1">
        <f>IFERROR(__xludf.DUMMYFUNCTION("""COMPUTED_VALUE"""),139.38)</f>
        <v>139.38</v>
      </c>
      <c r="F238" s="1">
        <f>IFERROR(__xludf.DUMMYFUNCTION("""COMPUTED_VALUE"""),822371.0)</f>
        <v>822371</v>
      </c>
      <c r="G238" s="2" t="s">
        <v>14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IFERROR(__xludf.DUMMYFUNCTION("""COMPUTED_VALUE"""),138.38)</f>
        <v>138.38</v>
      </c>
      <c r="C239" s="1">
        <f>IFERROR(__xludf.DUMMYFUNCTION("""COMPUTED_VALUE"""),140.16)</f>
        <v>140.16</v>
      </c>
      <c r="D239" s="1">
        <f>IFERROR(__xludf.DUMMYFUNCTION("""COMPUTED_VALUE"""),137.34)</f>
        <v>137.34</v>
      </c>
      <c r="E239" s="1">
        <f>IFERROR(__xludf.DUMMYFUNCTION("""COMPUTED_VALUE"""),139.02)</f>
        <v>139.02</v>
      </c>
      <c r="F239" s="1">
        <f>IFERROR(__xludf.DUMMYFUNCTION("""COMPUTED_VALUE"""),945911.0)</f>
        <v>945911</v>
      </c>
      <c r="G239" s="2" t="s">
        <v>14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IFERROR(__xludf.DUMMYFUNCTION("""COMPUTED_VALUE"""),140.0)</f>
        <v>140</v>
      </c>
      <c r="C240" s="1">
        <f>IFERROR(__xludf.DUMMYFUNCTION("""COMPUTED_VALUE"""),141.62)</f>
        <v>141.62</v>
      </c>
      <c r="D240" s="1">
        <f>IFERROR(__xludf.DUMMYFUNCTION("""COMPUTED_VALUE"""),139.54)</f>
        <v>139.54</v>
      </c>
      <c r="E240" s="1">
        <f>IFERROR(__xludf.DUMMYFUNCTION("""COMPUTED_VALUE"""),140.84)</f>
        <v>140.84</v>
      </c>
      <c r="F240" s="1">
        <f>IFERROR(__xludf.DUMMYFUNCTION("""COMPUTED_VALUE"""),1066281.0)</f>
        <v>1066281</v>
      </c>
      <c r="G240" s="2" t="s">
        <v>14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IFERROR(__xludf.DUMMYFUNCTION("""COMPUTED_VALUE"""),140.88)</f>
        <v>140.88</v>
      </c>
      <c r="C241" s="1">
        <f>IFERROR(__xludf.DUMMYFUNCTION("""COMPUTED_VALUE"""),141.94)</f>
        <v>141.94</v>
      </c>
      <c r="D241" s="1">
        <f>IFERROR(__xludf.DUMMYFUNCTION("""COMPUTED_VALUE"""),138.7)</f>
        <v>138.7</v>
      </c>
      <c r="E241" s="1">
        <f>IFERROR(__xludf.DUMMYFUNCTION("""COMPUTED_VALUE"""),139.8)</f>
        <v>139.8</v>
      </c>
      <c r="F241" s="1">
        <f>IFERROR(__xludf.DUMMYFUNCTION("""COMPUTED_VALUE"""),905360.0)</f>
        <v>905360</v>
      </c>
      <c r="G241" s="2" t="s">
        <v>14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IFERROR(__xludf.DUMMYFUNCTION("""COMPUTED_VALUE"""),139.18)</f>
        <v>139.18</v>
      </c>
      <c r="C242" s="1">
        <f>IFERROR(__xludf.DUMMYFUNCTION("""COMPUTED_VALUE"""),140.94)</f>
        <v>140.94</v>
      </c>
      <c r="D242" s="1">
        <f>IFERROR(__xludf.DUMMYFUNCTION("""COMPUTED_VALUE"""),137.6)</f>
        <v>137.6</v>
      </c>
      <c r="E242" s="1">
        <f>IFERROR(__xludf.DUMMYFUNCTION("""COMPUTED_VALUE"""),137.6)</f>
        <v>137.6</v>
      </c>
      <c r="F242" s="1">
        <f>IFERROR(__xludf.DUMMYFUNCTION("""COMPUTED_VALUE"""),1048041.0)</f>
        <v>1048041</v>
      </c>
      <c r="G242" s="2" t="s">
        <v>14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IFERROR(__xludf.DUMMYFUNCTION("""COMPUTED_VALUE"""),136.1)</f>
        <v>136.1</v>
      </c>
      <c r="C243" s="1">
        <f>IFERROR(__xludf.DUMMYFUNCTION("""COMPUTED_VALUE"""),137.56)</f>
        <v>137.56</v>
      </c>
      <c r="D243" s="1">
        <f>IFERROR(__xludf.DUMMYFUNCTION("""COMPUTED_VALUE"""),135.24)</f>
        <v>135.24</v>
      </c>
      <c r="E243" s="1">
        <f>IFERROR(__xludf.DUMMYFUNCTION("""COMPUTED_VALUE"""),136.6)</f>
        <v>136.6</v>
      </c>
      <c r="F243" s="1">
        <f>IFERROR(__xludf.DUMMYFUNCTION("""COMPUTED_VALUE"""),1154909.0)</f>
        <v>1154909</v>
      </c>
      <c r="G243" s="2" t="s">
        <v>14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IFERROR(__xludf.DUMMYFUNCTION("""COMPUTED_VALUE"""),137.0)</f>
        <v>137</v>
      </c>
      <c r="C244" s="1">
        <f>IFERROR(__xludf.DUMMYFUNCTION("""COMPUTED_VALUE"""),138.46)</f>
        <v>138.46</v>
      </c>
      <c r="D244" s="1">
        <f>IFERROR(__xludf.DUMMYFUNCTION("""COMPUTED_VALUE"""),135.22)</f>
        <v>135.22</v>
      </c>
      <c r="E244" s="1">
        <f>IFERROR(__xludf.DUMMYFUNCTION("""COMPUTED_VALUE"""),137.24)</f>
        <v>137.24</v>
      </c>
      <c r="F244" s="1">
        <f>IFERROR(__xludf.DUMMYFUNCTION("""COMPUTED_VALUE"""),1229440.0)</f>
        <v>1229440</v>
      </c>
      <c r="G244" s="2" t="s">
        <v>14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IFERROR(__xludf.DUMMYFUNCTION("""COMPUTED_VALUE"""),137.2)</f>
        <v>137.2</v>
      </c>
      <c r="C245" s="1">
        <f>IFERROR(__xludf.DUMMYFUNCTION("""COMPUTED_VALUE"""),137.38)</f>
        <v>137.38</v>
      </c>
      <c r="D245" s="1">
        <f>IFERROR(__xludf.DUMMYFUNCTION("""COMPUTED_VALUE"""),135.2)</f>
        <v>135.2</v>
      </c>
      <c r="E245" s="1">
        <f>IFERROR(__xludf.DUMMYFUNCTION("""COMPUTED_VALUE"""),136.12)</f>
        <v>136.12</v>
      </c>
      <c r="F245" s="1">
        <f>IFERROR(__xludf.DUMMYFUNCTION("""COMPUTED_VALUE"""),1111445.0)</f>
        <v>1111445</v>
      </c>
      <c r="G245" s="2" t="s">
        <v>14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IFERROR(__xludf.DUMMYFUNCTION("""COMPUTED_VALUE"""),136.24)</f>
        <v>136.24</v>
      </c>
      <c r="C246" s="1">
        <f>IFERROR(__xludf.DUMMYFUNCTION("""COMPUTED_VALUE"""),139.98)</f>
        <v>139.98</v>
      </c>
      <c r="D246" s="1">
        <f>IFERROR(__xludf.DUMMYFUNCTION("""COMPUTED_VALUE"""),135.64)</f>
        <v>135.64</v>
      </c>
      <c r="E246" s="1">
        <f>IFERROR(__xludf.DUMMYFUNCTION("""COMPUTED_VALUE"""),137.78)</f>
        <v>137.78</v>
      </c>
      <c r="F246" s="1">
        <f>IFERROR(__xludf.DUMMYFUNCTION("""COMPUTED_VALUE"""),1408240.0)</f>
        <v>1408240</v>
      </c>
      <c r="G246" s="2" t="s">
        <v>14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IFERROR(__xludf.DUMMYFUNCTION("""COMPUTED_VALUE"""),137.16)</f>
        <v>137.16</v>
      </c>
      <c r="C247" s="1">
        <f>IFERROR(__xludf.DUMMYFUNCTION("""COMPUTED_VALUE"""),138.32)</f>
        <v>138.32</v>
      </c>
      <c r="D247" s="1">
        <f>IFERROR(__xludf.DUMMYFUNCTION("""COMPUTED_VALUE"""),135.92)</f>
        <v>135.92</v>
      </c>
      <c r="E247" s="1">
        <f>IFERROR(__xludf.DUMMYFUNCTION("""COMPUTED_VALUE"""),137.76)</f>
        <v>137.76</v>
      </c>
      <c r="F247" s="1">
        <f>IFERROR(__xludf.DUMMYFUNCTION("""COMPUTED_VALUE"""),1117850.0)</f>
        <v>1117850</v>
      </c>
      <c r="G247" s="2" t="s">
        <v>14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IFERROR(__xludf.DUMMYFUNCTION("""COMPUTED_VALUE"""),136.44)</f>
        <v>136.44</v>
      </c>
      <c r="C248" s="1">
        <f>IFERROR(__xludf.DUMMYFUNCTION("""COMPUTED_VALUE"""),138.4)</f>
        <v>138.4</v>
      </c>
      <c r="D248" s="1">
        <f>IFERROR(__xludf.DUMMYFUNCTION("""COMPUTED_VALUE"""),133.02)</f>
        <v>133.02</v>
      </c>
      <c r="E248" s="1">
        <f>IFERROR(__xludf.DUMMYFUNCTION("""COMPUTED_VALUE"""),133.56)</f>
        <v>133.56</v>
      </c>
      <c r="F248" s="1">
        <f>IFERROR(__xludf.DUMMYFUNCTION("""COMPUTED_VALUE"""),1946162.0)</f>
        <v>1946162</v>
      </c>
      <c r="G248" s="2" t="s">
        <v>14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IFERROR(__xludf.DUMMYFUNCTION("""COMPUTED_VALUE"""),133.76)</f>
        <v>133.76</v>
      </c>
      <c r="C249" s="1">
        <f>IFERROR(__xludf.DUMMYFUNCTION("""COMPUTED_VALUE"""),136.54)</f>
        <v>136.54</v>
      </c>
      <c r="D249" s="1">
        <f>IFERROR(__xludf.DUMMYFUNCTION("""COMPUTED_VALUE"""),133.38)</f>
        <v>133.38</v>
      </c>
      <c r="E249" s="1">
        <f>IFERROR(__xludf.DUMMYFUNCTION("""COMPUTED_VALUE"""),136.54)</f>
        <v>136.54</v>
      </c>
      <c r="F249" s="1">
        <f>IFERROR(__xludf.DUMMYFUNCTION("""COMPUTED_VALUE"""),4119125.0)</f>
        <v>4119125</v>
      </c>
      <c r="G249" s="2" t="s">
        <v>14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IFERROR(__xludf.DUMMYFUNCTION("""COMPUTED_VALUE"""),121.1)</f>
        <v>121.1</v>
      </c>
      <c r="C250" s="1">
        <f>IFERROR(__xludf.DUMMYFUNCTION("""COMPUTED_VALUE"""),125.58)</f>
        <v>125.58</v>
      </c>
      <c r="D250" s="1">
        <f>IFERROR(__xludf.DUMMYFUNCTION("""COMPUTED_VALUE"""),121.0)</f>
        <v>121</v>
      </c>
      <c r="E250" s="1">
        <f>IFERROR(__xludf.DUMMYFUNCTION("""COMPUTED_VALUE"""),121.98)</f>
        <v>121.98</v>
      </c>
      <c r="F250" s="1">
        <f>IFERROR(__xludf.DUMMYFUNCTION("""COMPUTED_VALUE"""),2519851.0)</f>
        <v>2519851</v>
      </c>
      <c r="G250" s="2" t="s">
        <v>14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IFERROR(__xludf.DUMMYFUNCTION("""COMPUTED_VALUE"""),121.5)</f>
        <v>121.5</v>
      </c>
      <c r="C251" s="1">
        <f>IFERROR(__xludf.DUMMYFUNCTION("""COMPUTED_VALUE"""),122.5)</f>
        <v>122.5</v>
      </c>
      <c r="D251" s="1">
        <f>IFERROR(__xludf.DUMMYFUNCTION("""COMPUTED_VALUE"""),119.14)</f>
        <v>119.14</v>
      </c>
      <c r="E251" s="1">
        <f>IFERROR(__xludf.DUMMYFUNCTION("""COMPUTED_VALUE"""),119.22)</f>
        <v>119.22</v>
      </c>
      <c r="F251" s="1">
        <f>IFERROR(__xludf.DUMMYFUNCTION("""COMPUTED_VALUE"""),1637275.0)</f>
        <v>1637275</v>
      </c>
      <c r="G251" s="2" t="s">
        <v>14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IFERROR(__xludf.DUMMYFUNCTION("""COMPUTED_VALUE"""),119.82)</f>
        <v>119.82</v>
      </c>
      <c r="C252" s="1">
        <f>IFERROR(__xludf.DUMMYFUNCTION("""COMPUTED_VALUE"""),120.92)</f>
        <v>120.92</v>
      </c>
      <c r="D252" s="1">
        <f>IFERROR(__xludf.DUMMYFUNCTION("""COMPUTED_VALUE"""),119.06)</f>
        <v>119.06</v>
      </c>
      <c r="E252" s="1">
        <f>IFERROR(__xludf.DUMMYFUNCTION("""COMPUTED_VALUE"""),119.78)</f>
        <v>119.78</v>
      </c>
      <c r="F252" s="1">
        <f>IFERROR(__xludf.DUMMYFUNCTION("""COMPUTED_VALUE"""),1078014.0)</f>
        <v>1078014</v>
      </c>
      <c r="G252" s="2" t="s">
        <v>14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IFERROR(__xludf.DUMMYFUNCTION("""COMPUTED_VALUE"""),120.18)</f>
        <v>120.18</v>
      </c>
      <c r="C253" s="1">
        <f>IFERROR(__xludf.DUMMYFUNCTION("""COMPUTED_VALUE"""),120.34)</f>
        <v>120.34</v>
      </c>
      <c r="D253" s="1">
        <f>IFERROR(__xludf.DUMMYFUNCTION("""COMPUTED_VALUE"""),112.84)</f>
        <v>112.84</v>
      </c>
      <c r="E253" s="1">
        <f>IFERROR(__xludf.DUMMYFUNCTION("""COMPUTED_VALUE"""),114.88)</f>
        <v>114.88</v>
      </c>
      <c r="F253" s="1">
        <f>IFERROR(__xludf.DUMMYFUNCTION("""COMPUTED_VALUE"""),2215964.0)</f>
        <v>2215964</v>
      </c>
      <c r="G253" s="2" t="s">
        <v>14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IFERROR(__xludf.DUMMYFUNCTION("""COMPUTED_VALUE"""),115.04)</f>
        <v>115.04</v>
      </c>
      <c r="C254" s="1">
        <f>IFERROR(__xludf.DUMMYFUNCTION("""COMPUTED_VALUE"""),116.84)</f>
        <v>116.84</v>
      </c>
      <c r="D254" s="1">
        <f>IFERROR(__xludf.DUMMYFUNCTION("""COMPUTED_VALUE"""),113.9)</f>
        <v>113.9</v>
      </c>
      <c r="E254" s="1">
        <f>IFERROR(__xludf.DUMMYFUNCTION("""COMPUTED_VALUE"""),115.66)</f>
        <v>115.66</v>
      </c>
      <c r="F254" s="1">
        <f>IFERROR(__xludf.DUMMYFUNCTION("""COMPUTED_VALUE"""),963065.0)</f>
        <v>963065</v>
      </c>
      <c r="G254" s="2" t="s">
        <v>14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IFERROR(__xludf.DUMMYFUNCTION("""COMPUTED_VALUE"""),117.06)</f>
        <v>117.06</v>
      </c>
      <c r="C255" s="1">
        <f>IFERROR(__xludf.DUMMYFUNCTION("""COMPUTED_VALUE"""),117.2)</f>
        <v>117.2</v>
      </c>
      <c r="D255" s="1">
        <f>IFERROR(__xludf.DUMMYFUNCTION("""COMPUTED_VALUE"""),115.62)</f>
        <v>115.62</v>
      </c>
      <c r="E255" s="1">
        <f>IFERROR(__xludf.DUMMYFUNCTION("""COMPUTED_VALUE"""),115.86)</f>
        <v>115.86</v>
      </c>
      <c r="F255" s="1">
        <f>IFERROR(__xludf.DUMMYFUNCTION("""COMPUTED_VALUE"""),523550.0)</f>
        <v>523550</v>
      </c>
      <c r="G255" s="2" t="s">
        <v>14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IFERROR(__xludf.DUMMYFUNCTION("""COMPUTED_VALUE"""),115.88)</f>
        <v>115.88</v>
      </c>
      <c r="C256" s="1">
        <f>IFERROR(__xludf.DUMMYFUNCTION("""COMPUTED_VALUE"""),116.1)</f>
        <v>116.1</v>
      </c>
      <c r="D256" s="1">
        <f>IFERROR(__xludf.DUMMYFUNCTION("""COMPUTED_VALUE"""),114.54)</f>
        <v>114.54</v>
      </c>
      <c r="E256" s="1">
        <f>IFERROR(__xludf.DUMMYFUNCTION("""COMPUTED_VALUE"""),114.96)</f>
        <v>114.96</v>
      </c>
      <c r="F256" s="1">
        <f>IFERROR(__xludf.DUMMYFUNCTION("""COMPUTED_VALUE"""),751895.0)</f>
        <v>751895</v>
      </c>
      <c r="G256" s="2" t="s">
        <v>14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IFERROR(__xludf.DUMMYFUNCTION("""COMPUTED_VALUE"""),114.96)</f>
        <v>114.96</v>
      </c>
      <c r="C257" s="1">
        <f>IFERROR(__xludf.DUMMYFUNCTION("""COMPUTED_VALUE"""),116.9)</f>
        <v>116.9</v>
      </c>
      <c r="D257" s="1">
        <f>IFERROR(__xludf.DUMMYFUNCTION("""COMPUTED_VALUE"""),114.3)</f>
        <v>114.3</v>
      </c>
      <c r="E257" s="1">
        <f>IFERROR(__xludf.DUMMYFUNCTION("""COMPUTED_VALUE"""),116.14)</f>
        <v>116.14</v>
      </c>
      <c r="F257" s="1">
        <f>IFERROR(__xludf.DUMMYFUNCTION("""COMPUTED_VALUE"""),645867.0)</f>
        <v>645867</v>
      </c>
      <c r="G257" s="2" t="s">
        <v>14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IFERROR(__xludf.DUMMYFUNCTION("""COMPUTED_VALUE"""),116.04)</f>
        <v>116.04</v>
      </c>
      <c r="C258" s="1">
        <f>IFERROR(__xludf.DUMMYFUNCTION("""COMPUTED_VALUE"""),116.54)</f>
        <v>116.54</v>
      </c>
      <c r="D258" s="1">
        <f>IFERROR(__xludf.DUMMYFUNCTION("""COMPUTED_VALUE"""),115.46)</f>
        <v>115.46</v>
      </c>
      <c r="E258" s="1">
        <f>IFERROR(__xludf.DUMMYFUNCTION("""COMPUTED_VALUE"""),116.42)</f>
        <v>116.42</v>
      </c>
      <c r="F258" s="1">
        <f>IFERROR(__xludf.DUMMYFUNCTION("""COMPUTED_VALUE"""),365926.0)</f>
        <v>365926</v>
      </c>
      <c r="G258" s="2" t="s">
        <v>14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IFERROR(__xludf.DUMMYFUNCTION("""COMPUTED_VALUE"""),117.2)</f>
        <v>117.2</v>
      </c>
      <c r="C259" s="1">
        <f>IFERROR(__xludf.DUMMYFUNCTION("""COMPUTED_VALUE"""),120.86)</f>
        <v>120.86</v>
      </c>
      <c r="D259" s="1">
        <f>IFERROR(__xludf.DUMMYFUNCTION("""COMPUTED_VALUE"""),117.2)</f>
        <v>117.2</v>
      </c>
      <c r="E259" s="1">
        <f>IFERROR(__xludf.DUMMYFUNCTION("""COMPUTED_VALUE"""),120.04)</f>
        <v>120.04</v>
      </c>
      <c r="F259" s="1">
        <f>IFERROR(__xludf.DUMMYFUNCTION("""COMPUTED_VALUE"""),959150.0)</f>
        <v>959150</v>
      </c>
      <c r="G259" s="2" t="s">
        <v>14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IFERROR(__xludf.DUMMYFUNCTION("""COMPUTED_VALUE"""),120.04)</f>
        <v>120.04</v>
      </c>
      <c r="C260" s="1">
        <f>IFERROR(__xludf.DUMMYFUNCTION("""COMPUTED_VALUE"""),123.28)</f>
        <v>123.28</v>
      </c>
      <c r="D260" s="1">
        <f>IFERROR(__xludf.DUMMYFUNCTION("""COMPUTED_VALUE"""),120.04)</f>
        <v>120.04</v>
      </c>
      <c r="E260" s="1">
        <f>IFERROR(__xludf.DUMMYFUNCTION("""COMPUTED_VALUE"""),122.06)</f>
        <v>122.06</v>
      </c>
      <c r="F260" s="1">
        <f>IFERROR(__xludf.DUMMYFUNCTION("""COMPUTED_VALUE"""),898911.0)</f>
        <v>898911</v>
      </c>
      <c r="G260" s="2" t="s">
        <v>14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IFERROR(__xludf.DUMMYFUNCTION("""COMPUTED_VALUE"""),122.56)</f>
        <v>122.56</v>
      </c>
      <c r="C261" s="1">
        <f>IFERROR(__xludf.DUMMYFUNCTION("""COMPUTED_VALUE"""),126.34)</f>
        <v>126.34</v>
      </c>
      <c r="D261" s="1">
        <f>IFERROR(__xludf.DUMMYFUNCTION("""COMPUTED_VALUE"""),122.0)</f>
        <v>122</v>
      </c>
      <c r="E261" s="1">
        <f>IFERROR(__xludf.DUMMYFUNCTION("""COMPUTED_VALUE"""),125.88)</f>
        <v>125.88</v>
      </c>
      <c r="F261" s="1">
        <f>IFERROR(__xludf.DUMMYFUNCTION("""COMPUTED_VALUE"""),1302364.0)</f>
        <v>1302364</v>
      </c>
      <c r="G261" s="2" t="s">
        <v>14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IFERROR(__xludf.DUMMYFUNCTION("""COMPUTED_VALUE"""),126.0)</f>
        <v>126</v>
      </c>
      <c r="C262" s="1">
        <f>IFERROR(__xludf.DUMMYFUNCTION("""COMPUTED_VALUE"""),128.26)</f>
        <v>128.26</v>
      </c>
      <c r="D262" s="1">
        <f>IFERROR(__xludf.DUMMYFUNCTION("""COMPUTED_VALUE"""),125.78)</f>
        <v>125.78</v>
      </c>
      <c r="E262" s="1">
        <f>IFERROR(__xludf.DUMMYFUNCTION("""COMPUTED_VALUE"""),127.12)</f>
        <v>127.12</v>
      </c>
      <c r="F262" s="1">
        <f>IFERROR(__xludf.DUMMYFUNCTION("""COMPUTED_VALUE"""),1123776.0)</f>
        <v>1123776</v>
      </c>
      <c r="G262" s="2" t="s">
        <v>14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IFERROR(__xludf.DUMMYFUNCTION("""COMPUTED_VALUE"""),127.42)</f>
        <v>127.42</v>
      </c>
      <c r="C263" s="1">
        <f>IFERROR(__xludf.DUMMYFUNCTION("""COMPUTED_VALUE"""),128.3)</f>
        <v>128.3</v>
      </c>
      <c r="D263" s="1">
        <f>IFERROR(__xludf.DUMMYFUNCTION("""COMPUTED_VALUE"""),124.14)</f>
        <v>124.14</v>
      </c>
      <c r="E263" s="1">
        <f>IFERROR(__xludf.DUMMYFUNCTION("""COMPUTED_VALUE"""),128.16)</f>
        <v>128.16</v>
      </c>
      <c r="F263" s="1">
        <f>IFERROR(__xludf.DUMMYFUNCTION("""COMPUTED_VALUE"""),951945.0)</f>
        <v>951945</v>
      </c>
      <c r="G263" s="2" t="s">
        <v>14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IFERROR(__xludf.DUMMYFUNCTION("""COMPUTED_VALUE"""),129.62)</f>
        <v>129.62</v>
      </c>
      <c r="C264" s="1">
        <f>IFERROR(__xludf.DUMMYFUNCTION("""COMPUTED_VALUE"""),129.7)</f>
        <v>129.7</v>
      </c>
      <c r="D264" s="1">
        <f>IFERROR(__xludf.DUMMYFUNCTION("""COMPUTED_VALUE"""),126.74)</f>
        <v>126.74</v>
      </c>
      <c r="E264" s="1">
        <f>IFERROR(__xludf.DUMMYFUNCTION("""COMPUTED_VALUE"""),128.02)</f>
        <v>128.02</v>
      </c>
      <c r="F264" s="1">
        <f>IFERROR(__xludf.DUMMYFUNCTION("""COMPUTED_VALUE"""),1020922.0)</f>
        <v>1020922</v>
      </c>
      <c r="G264" s="2" t="s">
        <v>14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IFERROR(__xludf.DUMMYFUNCTION("""COMPUTED_VALUE"""),127.5)</f>
        <v>127.5</v>
      </c>
      <c r="C265" s="1">
        <f>IFERROR(__xludf.DUMMYFUNCTION("""COMPUTED_VALUE"""),128.2)</f>
        <v>128.2</v>
      </c>
      <c r="D265" s="1">
        <f>IFERROR(__xludf.DUMMYFUNCTION("""COMPUTED_VALUE"""),126.34)</f>
        <v>126.34</v>
      </c>
      <c r="E265" s="1">
        <f>IFERROR(__xludf.DUMMYFUNCTION("""COMPUTED_VALUE"""),127.28)</f>
        <v>127.28</v>
      </c>
      <c r="F265" s="1">
        <f>IFERROR(__xludf.DUMMYFUNCTION("""COMPUTED_VALUE"""),1011636.0)</f>
        <v>1011636</v>
      </c>
      <c r="G265" s="2" t="s">
        <v>14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IFERROR(__xludf.DUMMYFUNCTION("""COMPUTED_VALUE"""),127.8)</f>
        <v>127.8</v>
      </c>
      <c r="C266" s="1">
        <f>IFERROR(__xludf.DUMMYFUNCTION("""COMPUTED_VALUE"""),128.56)</f>
        <v>128.56</v>
      </c>
      <c r="D266" s="1">
        <f>IFERROR(__xludf.DUMMYFUNCTION("""COMPUTED_VALUE"""),127.08)</f>
        <v>127.08</v>
      </c>
      <c r="E266" s="1">
        <f>IFERROR(__xludf.DUMMYFUNCTION("""COMPUTED_VALUE"""),127.78)</f>
        <v>127.78</v>
      </c>
      <c r="F266" s="1">
        <f>IFERROR(__xludf.DUMMYFUNCTION("""COMPUTED_VALUE"""),1014307.0)</f>
        <v>1014307</v>
      </c>
      <c r="G266" s="2" t="s">
        <v>14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IFERROR(__xludf.DUMMYFUNCTION("""COMPUTED_VALUE"""),128.32)</f>
        <v>128.32</v>
      </c>
      <c r="C267" s="1">
        <f>IFERROR(__xludf.DUMMYFUNCTION("""COMPUTED_VALUE"""),129.22)</f>
        <v>129.22</v>
      </c>
      <c r="D267" s="1">
        <f>IFERROR(__xludf.DUMMYFUNCTION("""COMPUTED_VALUE"""),127.58)</f>
        <v>127.58</v>
      </c>
      <c r="E267" s="1">
        <f>IFERROR(__xludf.DUMMYFUNCTION("""COMPUTED_VALUE"""),128.72)</f>
        <v>128.72</v>
      </c>
      <c r="F267" s="1">
        <f>IFERROR(__xludf.DUMMYFUNCTION("""COMPUTED_VALUE"""),1168055.0)</f>
        <v>1168055</v>
      </c>
      <c r="G267" s="2" t="s">
        <v>14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IFERROR(__xludf.DUMMYFUNCTION("""COMPUTED_VALUE"""),127.82)</f>
        <v>127.82</v>
      </c>
      <c r="C268" s="1">
        <f>IFERROR(__xludf.DUMMYFUNCTION("""COMPUTED_VALUE"""),127.82)</f>
        <v>127.82</v>
      </c>
      <c r="D268" s="1">
        <f>IFERROR(__xludf.DUMMYFUNCTION("""COMPUTED_VALUE"""),123.76)</f>
        <v>123.76</v>
      </c>
      <c r="E268" s="1">
        <f>IFERROR(__xludf.DUMMYFUNCTION("""COMPUTED_VALUE"""),125.1)</f>
        <v>125.1</v>
      </c>
      <c r="F268" s="1">
        <f>IFERROR(__xludf.DUMMYFUNCTION("""COMPUTED_VALUE"""),2377610.0)</f>
        <v>2377610</v>
      </c>
      <c r="G268" s="2" t="s">
        <v>14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IFERROR(__xludf.DUMMYFUNCTION("""COMPUTED_VALUE"""),125.72)</f>
        <v>125.72</v>
      </c>
      <c r="C269" s="1">
        <f>IFERROR(__xludf.DUMMYFUNCTION("""COMPUTED_VALUE"""),126.24)</f>
        <v>126.24</v>
      </c>
      <c r="D269" s="1">
        <f>IFERROR(__xludf.DUMMYFUNCTION("""COMPUTED_VALUE"""),124.74)</f>
        <v>124.74</v>
      </c>
      <c r="E269" s="1">
        <f>IFERROR(__xludf.DUMMYFUNCTION("""COMPUTED_VALUE"""),125.72)</f>
        <v>125.72</v>
      </c>
      <c r="F269" s="1">
        <f>IFERROR(__xludf.DUMMYFUNCTION("""COMPUTED_VALUE"""),857558.0)</f>
        <v>857558</v>
      </c>
      <c r="G269" s="2" t="s">
        <v>14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IFERROR(__xludf.DUMMYFUNCTION("""COMPUTED_VALUE"""),126.0)</f>
        <v>126</v>
      </c>
      <c r="C270" s="1">
        <f>IFERROR(__xludf.DUMMYFUNCTION("""COMPUTED_VALUE"""),126.54)</f>
        <v>126.54</v>
      </c>
      <c r="D270" s="1">
        <f>IFERROR(__xludf.DUMMYFUNCTION("""COMPUTED_VALUE"""),123.16)</f>
        <v>123.16</v>
      </c>
      <c r="E270" s="1">
        <f>IFERROR(__xludf.DUMMYFUNCTION("""COMPUTED_VALUE"""),125.24)</f>
        <v>125.24</v>
      </c>
      <c r="F270" s="1">
        <f>IFERROR(__xludf.DUMMYFUNCTION("""COMPUTED_VALUE"""),1452762.0)</f>
        <v>1452762</v>
      </c>
      <c r="G270" s="2" t="s">
        <v>14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IFERROR(__xludf.DUMMYFUNCTION("""COMPUTED_VALUE"""),125.5)</f>
        <v>125.5</v>
      </c>
      <c r="C271" s="1">
        <f>IFERROR(__xludf.DUMMYFUNCTION("""COMPUTED_VALUE"""),126.0)</f>
        <v>126</v>
      </c>
      <c r="D271" s="1">
        <f>IFERROR(__xludf.DUMMYFUNCTION("""COMPUTED_VALUE"""),124.44)</f>
        <v>124.44</v>
      </c>
      <c r="E271" s="1">
        <f>IFERROR(__xludf.DUMMYFUNCTION("""COMPUTED_VALUE"""),125.2)</f>
        <v>125.2</v>
      </c>
      <c r="F271" s="1">
        <f>IFERROR(__xludf.DUMMYFUNCTION("""COMPUTED_VALUE"""),784868.0)</f>
        <v>784868</v>
      </c>
      <c r="G271" s="2" t="s">
        <v>14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IFERROR(__xludf.DUMMYFUNCTION("""COMPUTED_VALUE"""),124.06)</f>
        <v>124.06</v>
      </c>
      <c r="C272" s="1">
        <f>IFERROR(__xludf.DUMMYFUNCTION("""COMPUTED_VALUE"""),124.94)</f>
        <v>124.94</v>
      </c>
      <c r="D272" s="1">
        <f>IFERROR(__xludf.DUMMYFUNCTION("""COMPUTED_VALUE"""),122.34)</f>
        <v>122.34</v>
      </c>
      <c r="E272" s="1">
        <f>IFERROR(__xludf.DUMMYFUNCTION("""COMPUTED_VALUE"""),123.14)</f>
        <v>123.14</v>
      </c>
      <c r="F272" s="1">
        <f>IFERROR(__xludf.DUMMYFUNCTION("""COMPUTED_VALUE"""),1132216.0)</f>
        <v>1132216</v>
      </c>
      <c r="G272" s="2" t="s">
        <v>14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IFERROR(__xludf.DUMMYFUNCTION("""COMPUTED_VALUE"""),124.42)</f>
        <v>124.42</v>
      </c>
      <c r="C273" s="1">
        <f>IFERROR(__xludf.DUMMYFUNCTION("""COMPUTED_VALUE"""),124.42)</f>
        <v>124.42</v>
      </c>
      <c r="D273" s="1">
        <f>IFERROR(__xludf.DUMMYFUNCTION("""COMPUTED_VALUE"""),122.7)</f>
        <v>122.7</v>
      </c>
      <c r="E273" s="1">
        <f>IFERROR(__xludf.DUMMYFUNCTION("""COMPUTED_VALUE"""),124.26)</f>
        <v>124.26</v>
      </c>
      <c r="F273" s="1">
        <f>IFERROR(__xludf.DUMMYFUNCTION("""COMPUTED_VALUE"""),1283760.0)</f>
        <v>1283760</v>
      </c>
      <c r="G273" s="2" t="s">
        <v>14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IFERROR(__xludf.DUMMYFUNCTION("""COMPUTED_VALUE"""),125.4)</f>
        <v>125.4</v>
      </c>
      <c r="C274" s="1">
        <f>IFERROR(__xludf.DUMMYFUNCTION("""COMPUTED_VALUE"""),125.76)</f>
        <v>125.76</v>
      </c>
      <c r="D274" s="1">
        <f>IFERROR(__xludf.DUMMYFUNCTION("""COMPUTED_VALUE"""),124.12)</f>
        <v>124.12</v>
      </c>
      <c r="E274" s="1">
        <f>IFERROR(__xludf.DUMMYFUNCTION("""COMPUTED_VALUE"""),125.16)</f>
        <v>125.16</v>
      </c>
      <c r="F274" s="1">
        <f>IFERROR(__xludf.DUMMYFUNCTION("""COMPUTED_VALUE"""),756741.0)</f>
        <v>756741</v>
      </c>
      <c r="G274" s="2" t="s">
        <v>14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IFERROR(__xludf.DUMMYFUNCTION("""COMPUTED_VALUE"""),125.44)</f>
        <v>125.44</v>
      </c>
      <c r="C275" s="1">
        <f>IFERROR(__xludf.DUMMYFUNCTION("""COMPUTED_VALUE"""),125.68)</f>
        <v>125.68</v>
      </c>
      <c r="D275" s="1">
        <f>IFERROR(__xludf.DUMMYFUNCTION("""COMPUTED_VALUE"""),122.92)</f>
        <v>122.92</v>
      </c>
      <c r="E275" s="1">
        <f>IFERROR(__xludf.DUMMYFUNCTION("""COMPUTED_VALUE"""),123.8)</f>
        <v>123.8</v>
      </c>
      <c r="F275" s="1">
        <f>IFERROR(__xludf.DUMMYFUNCTION("""COMPUTED_VALUE"""),1233427.0)</f>
        <v>1233427</v>
      </c>
      <c r="G275" s="2" t="s">
        <v>14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IFERROR(__xludf.DUMMYFUNCTION("""COMPUTED_VALUE"""),123.76)</f>
        <v>123.76</v>
      </c>
      <c r="C276" s="1">
        <f>IFERROR(__xludf.DUMMYFUNCTION("""COMPUTED_VALUE"""),124.82)</f>
        <v>124.82</v>
      </c>
      <c r="D276" s="1">
        <f>IFERROR(__xludf.DUMMYFUNCTION("""COMPUTED_VALUE"""),122.84)</f>
        <v>122.84</v>
      </c>
      <c r="E276" s="1">
        <f>IFERROR(__xludf.DUMMYFUNCTION("""COMPUTED_VALUE"""),124.1)</f>
        <v>124.1</v>
      </c>
      <c r="F276" s="1">
        <f>IFERROR(__xludf.DUMMYFUNCTION("""COMPUTED_VALUE"""),814333.0)</f>
        <v>814333</v>
      </c>
      <c r="G276" s="2" t="s">
        <v>14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IFERROR(__xludf.DUMMYFUNCTION("""COMPUTED_VALUE"""),125.06)</f>
        <v>125.06</v>
      </c>
      <c r="C277" s="1">
        <f>IFERROR(__xludf.DUMMYFUNCTION("""COMPUTED_VALUE"""),125.26)</f>
        <v>125.26</v>
      </c>
      <c r="D277" s="1">
        <f>IFERROR(__xludf.DUMMYFUNCTION("""COMPUTED_VALUE"""),124.36)</f>
        <v>124.36</v>
      </c>
      <c r="E277" s="1">
        <f>IFERROR(__xludf.DUMMYFUNCTION("""COMPUTED_VALUE"""),125.0)</f>
        <v>125</v>
      </c>
      <c r="F277" s="1">
        <f>IFERROR(__xludf.DUMMYFUNCTION("""COMPUTED_VALUE"""),758255.0)</f>
        <v>758255</v>
      </c>
      <c r="G277" s="2" t="s">
        <v>14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IFERROR(__xludf.DUMMYFUNCTION("""COMPUTED_VALUE"""),125.66)</f>
        <v>125.66</v>
      </c>
      <c r="C278" s="1">
        <f>IFERROR(__xludf.DUMMYFUNCTION("""COMPUTED_VALUE"""),127.0)</f>
        <v>127</v>
      </c>
      <c r="D278" s="1">
        <f>IFERROR(__xludf.DUMMYFUNCTION("""COMPUTED_VALUE"""),125.38)</f>
        <v>125.38</v>
      </c>
      <c r="E278" s="1">
        <f>IFERROR(__xludf.DUMMYFUNCTION("""COMPUTED_VALUE"""),126.08)</f>
        <v>126.08</v>
      </c>
      <c r="F278" s="1">
        <f>IFERROR(__xludf.DUMMYFUNCTION("""COMPUTED_VALUE"""),1048357.0)</f>
        <v>1048357</v>
      </c>
      <c r="G278" s="2" t="s">
        <v>14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IFERROR(__xludf.DUMMYFUNCTION("""COMPUTED_VALUE"""),126.2)</f>
        <v>126.2</v>
      </c>
      <c r="C279" s="1">
        <f>IFERROR(__xludf.DUMMYFUNCTION("""COMPUTED_VALUE"""),128.2)</f>
        <v>128.2</v>
      </c>
      <c r="D279" s="1">
        <f>IFERROR(__xludf.DUMMYFUNCTION("""COMPUTED_VALUE"""),125.12)</f>
        <v>125.12</v>
      </c>
      <c r="E279" s="1">
        <f>IFERROR(__xludf.DUMMYFUNCTION("""COMPUTED_VALUE"""),126.26)</f>
        <v>126.26</v>
      </c>
      <c r="F279" s="1">
        <f>IFERROR(__xludf.DUMMYFUNCTION("""COMPUTED_VALUE"""),1087960.0)</f>
        <v>1087960</v>
      </c>
      <c r="G279" s="2" t="s">
        <v>14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IFERROR(__xludf.DUMMYFUNCTION("""COMPUTED_VALUE"""),126.0)</f>
        <v>126</v>
      </c>
      <c r="C280" s="1">
        <f>IFERROR(__xludf.DUMMYFUNCTION("""COMPUTED_VALUE"""),126.98)</f>
        <v>126.98</v>
      </c>
      <c r="D280" s="1">
        <f>IFERROR(__xludf.DUMMYFUNCTION("""COMPUTED_VALUE"""),124.88)</f>
        <v>124.88</v>
      </c>
      <c r="E280" s="1">
        <f>IFERROR(__xludf.DUMMYFUNCTION("""COMPUTED_VALUE"""),126.94)</f>
        <v>126.94</v>
      </c>
      <c r="F280" s="1">
        <f>IFERROR(__xludf.DUMMYFUNCTION("""COMPUTED_VALUE"""),860562.0)</f>
        <v>860562</v>
      </c>
      <c r="G280" s="2" t="s">
        <v>14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IFERROR(__xludf.DUMMYFUNCTION("""COMPUTED_VALUE"""),127.2)</f>
        <v>127.2</v>
      </c>
      <c r="C281" s="1">
        <f>IFERROR(__xludf.DUMMYFUNCTION("""COMPUTED_VALUE"""),128.84)</f>
        <v>128.84</v>
      </c>
      <c r="D281" s="1">
        <f>IFERROR(__xludf.DUMMYFUNCTION("""COMPUTED_VALUE"""),126.7)</f>
        <v>126.7</v>
      </c>
      <c r="E281" s="1">
        <f>IFERROR(__xludf.DUMMYFUNCTION("""COMPUTED_VALUE"""),128.42)</f>
        <v>128.42</v>
      </c>
      <c r="F281" s="1">
        <f>IFERROR(__xludf.DUMMYFUNCTION("""COMPUTED_VALUE"""),902010.0)</f>
        <v>902010</v>
      </c>
      <c r="G281" s="2" t="s">
        <v>14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IFERROR(__xludf.DUMMYFUNCTION("""COMPUTED_VALUE"""),129.0)</f>
        <v>129</v>
      </c>
      <c r="C282" s="1">
        <f>IFERROR(__xludf.DUMMYFUNCTION("""COMPUTED_VALUE"""),133.88)</f>
        <v>133.88</v>
      </c>
      <c r="D282" s="1">
        <f>IFERROR(__xludf.DUMMYFUNCTION("""COMPUTED_VALUE"""),128.5)</f>
        <v>128.5</v>
      </c>
      <c r="E282" s="1">
        <f>IFERROR(__xludf.DUMMYFUNCTION("""COMPUTED_VALUE"""),133.3)</f>
        <v>133.3</v>
      </c>
      <c r="F282" s="1">
        <f>IFERROR(__xludf.DUMMYFUNCTION("""COMPUTED_VALUE"""),1728308.0)</f>
        <v>1728308</v>
      </c>
      <c r="G282" s="2" t="s">
        <v>14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IFERROR(__xludf.DUMMYFUNCTION("""COMPUTED_VALUE"""),132.0)</f>
        <v>132</v>
      </c>
      <c r="C283" s="1">
        <f>IFERROR(__xludf.DUMMYFUNCTION("""COMPUTED_VALUE"""),133.78)</f>
        <v>133.78</v>
      </c>
      <c r="D283" s="1">
        <f>IFERROR(__xludf.DUMMYFUNCTION("""COMPUTED_VALUE"""),131.18)</f>
        <v>131.18</v>
      </c>
      <c r="E283" s="1">
        <f>IFERROR(__xludf.DUMMYFUNCTION("""COMPUTED_VALUE"""),131.94)</f>
        <v>131.94</v>
      </c>
      <c r="F283" s="1">
        <f>IFERROR(__xludf.DUMMYFUNCTION("""COMPUTED_VALUE"""),1171379.0)</f>
        <v>1171379</v>
      </c>
      <c r="G283" s="2" t="s">
        <v>14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IFERROR(__xludf.DUMMYFUNCTION("""COMPUTED_VALUE"""),131.2)</f>
        <v>131.2</v>
      </c>
      <c r="C284" s="1">
        <f>IFERROR(__xludf.DUMMYFUNCTION("""COMPUTED_VALUE"""),132.24)</f>
        <v>132.24</v>
      </c>
      <c r="D284" s="1">
        <f>IFERROR(__xludf.DUMMYFUNCTION("""COMPUTED_VALUE"""),129.34)</f>
        <v>129.34</v>
      </c>
      <c r="E284" s="1">
        <f>IFERROR(__xludf.DUMMYFUNCTION("""COMPUTED_VALUE"""),130.34)</f>
        <v>130.34</v>
      </c>
      <c r="F284" s="1">
        <f>IFERROR(__xludf.DUMMYFUNCTION("""COMPUTED_VALUE"""),708628.0)</f>
        <v>708628</v>
      </c>
      <c r="G284" s="2" t="s">
        <v>14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IFERROR(__xludf.DUMMYFUNCTION("""COMPUTED_VALUE"""),131.32)</f>
        <v>131.32</v>
      </c>
      <c r="C285" s="1">
        <f>IFERROR(__xludf.DUMMYFUNCTION("""COMPUTED_VALUE"""),132.18)</f>
        <v>132.18</v>
      </c>
      <c r="D285" s="1">
        <f>IFERROR(__xludf.DUMMYFUNCTION("""COMPUTED_VALUE"""),130.26)</f>
        <v>130.26</v>
      </c>
      <c r="E285" s="1">
        <f>IFERROR(__xludf.DUMMYFUNCTION("""COMPUTED_VALUE"""),131.26)</f>
        <v>131.26</v>
      </c>
      <c r="F285" s="1">
        <f>IFERROR(__xludf.DUMMYFUNCTION("""COMPUTED_VALUE"""),786431.0)</f>
        <v>786431</v>
      </c>
      <c r="G285" s="2" t="s">
        <v>14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IFERROR(__xludf.DUMMYFUNCTION("""COMPUTED_VALUE"""),130.5)</f>
        <v>130.5</v>
      </c>
      <c r="C286" s="1">
        <f>IFERROR(__xludf.DUMMYFUNCTION("""COMPUTED_VALUE"""),131.2)</f>
        <v>131.2</v>
      </c>
      <c r="D286" s="1">
        <f>IFERROR(__xludf.DUMMYFUNCTION("""COMPUTED_VALUE"""),127.7)</f>
        <v>127.7</v>
      </c>
      <c r="E286" s="1">
        <f>IFERROR(__xludf.DUMMYFUNCTION("""COMPUTED_VALUE"""),129.3)</f>
        <v>129.3</v>
      </c>
      <c r="F286" s="1">
        <f>IFERROR(__xludf.DUMMYFUNCTION("""COMPUTED_VALUE"""),1259412.0)</f>
        <v>1259412</v>
      </c>
      <c r="G286" s="2" t="s">
        <v>14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IFERROR(__xludf.DUMMYFUNCTION("""COMPUTED_VALUE"""),129.6)</f>
        <v>129.6</v>
      </c>
      <c r="C287" s="1">
        <f>IFERROR(__xludf.DUMMYFUNCTION("""COMPUTED_VALUE"""),131.72)</f>
        <v>131.72</v>
      </c>
      <c r="D287" s="1">
        <f>IFERROR(__xludf.DUMMYFUNCTION("""COMPUTED_VALUE"""),129.46)</f>
        <v>129.46</v>
      </c>
      <c r="E287" s="1">
        <f>IFERROR(__xludf.DUMMYFUNCTION("""COMPUTED_VALUE"""),130.26)</f>
        <v>130.26</v>
      </c>
      <c r="F287" s="1">
        <f>IFERROR(__xludf.DUMMYFUNCTION("""COMPUTED_VALUE"""),935853.0)</f>
        <v>935853</v>
      </c>
      <c r="G287" s="2" t="s">
        <v>14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IFERROR(__xludf.DUMMYFUNCTION("""COMPUTED_VALUE"""),130.0)</f>
        <v>130</v>
      </c>
      <c r="C288" s="1">
        <f>IFERROR(__xludf.DUMMYFUNCTION("""COMPUTED_VALUE"""),130.48)</f>
        <v>130.48</v>
      </c>
      <c r="D288" s="1">
        <f>IFERROR(__xludf.DUMMYFUNCTION("""COMPUTED_VALUE"""),127.8)</f>
        <v>127.8</v>
      </c>
      <c r="E288" s="1">
        <f>IFERROR(__xludf.DUMMYFUNCTION("""COMPUTED_VALUE"""),128.6)</f>
        <v>128.6</v>
      </c>
      <c r="F288" s="1">
        <f>IFERROR(__xludf.DUMMYFUNCTION("""COMPUTED_VALUE"""),969113.0)</f>
        <v>969113</v>
      </c>
      <c r="G288" s="2" t="s">
        <v>14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IFERROR(__xludf.DUMMYFUNCTION("""COMPUTED_VALUE"""),128.76)</f>
        <v>128.76</v>
      </c>
      <c r="C289" s="1">
        <f>IFERROR(__xludf.DUMMYFUNCTION("""COMPUTED_VALUE"""),129.24)</f>
        <v>129.24</v>
      </c>
      <c r="D289" s="1">
        <f>IFERROR(__xludf.DUMMYFUNCTION("""COMPUTED_VALUE"""),128.18)</f>
        <v>128.18</v>
      </c>
      <c r="E289" s="1">
        <f>IFERROR(__xludf.DUMMYFUNCTION("""COMPUTED_VALUE"""),128.38)</f>
        <v>128.38</v>
      </c>
      <c r="F289" s="1">
        <f>IFERROR(__xludf.DUMMYFUNCTION("""COMPUTED_VALUE"""),490935.0)</f>
        <v>490935</v>
      </c>
      <c r="G289" s="2" t="s">
        <v>14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IFERROR(__xludf.DUMMYFUNCTION("""COMPUTED_VALUE"""),129.16)</f>
        <v>129.16</v>
      </c>
      <c r="C290" s="1">
        <f>IFERROR(__xludf.DUMMYFUNCTION("""COMPUTED_VALUE"""),131.06)</f>
        <v>131.06</v>
      </c>
      <c r="D290" s="1">
        <f>IFERROR(__xludf.DUMMYFUNCTION("""COMPUTED_VALUE"""),128.52)</f>
        <v>128.52</v>
      </c>
      <c r="E290" s="1">
        <f>IFERROR(__xludf.DUMMYFUNCTION("""COMPUTED_VALUE"""),130.2)</f>
        <v>130.2</v>
      </c>
      <c r="F290" s="1">
        <f>IFERROR(__xludf.DUMMYFUNCTION("""COMPUTED_VALUE"""),840804.0)</f>
        <v>840804</v>
      </c>
      <c r="G290" s="2" t="s">
        <v>14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IFERROR(__xludf.DUMMYFUNCTION("""COMPUTED_VALUE"""),130.6)</f>
        <v>130.6</v>
      </c>
      <c r="C291" s="1">
        <f>IFERROR(__xludf.DUMMYFUNCTION("""COMPUTED_VALUE"""),131.66)</f>
        <v>131.66</v>
      </c>
      <c r="D291" s="1">
        <f>IFERROR(__xludf.DUMMYFUNCTION("""COMPUTED_VALUE"""),130.08)</f>
        <v>130.08</v>
      </c>
      <c r="E291" s="1">
        <f>IFERROR(__xludf.DUMMYFUNCTION("""COMPUTED_VALUE"""),130.98)</f>
        <v>130.98</v>
      </c>
      <c r="F291" s="1">
        <f>IFERROR(__xludf.DUMMYFUNCTION("""COMPUTED_VALUE"""),563530.0)</f>
        <v>563530</v>
      </c>
      <c r="G291" s="2" t="s">
        <v>14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IFERROR(__xludf.DUMMYFUNCTION("""COMPUTED_VALUE"""),131.98)</f>
        <v>131.98</v>
      </c>
      <c r="C292" s="1">
        <f>IFERROR(__xludf.DUMMYFUNCTION("""COMPUTED_VALUE"""),132.2)</f>
        <v>132.2</v>
      </c>
      <c r="D292" s="1">
        <f>IFERROR(__xludf.DUMMYFUNCTION("""COMPUTED_VALUE"""),129.84)</f>
        <v>129.84</v>
      </c>
      <c r="E292" s="1">
        <f>IFERROR(__xludf.DUMMYFUNCTION("""COMPUTED_VALUE"""),130.98)</f>
        <v>130.98</v>
      </c>
      <c r="F292" s="1">
        <f>IFERROR(__xludf.DUMMYFUNCTION("""COMPUTED_VALUE"""),923758.0)</f>
        <v>923758</v>
      </c>
      <c r="G292" s="2" t="s">
        <v>14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IFERROR(__xludf.DUMMYFUNCTION("""COMPUTED_VALUE"""),130.3)</f>
        <v>130.3</v>
      </c>
      <c r="C293" s="1">
        <f>IFERROR(__xludf.DUMMYFUNCTION("""COMPUTED_VALUE"""),131.56)</f>
        <v>131.56</v>
      </c>
      <c r="D293" s="1">
        <f>IFERROR(__xludf.DUMMYFUNCTION("""COMPUTED_VALUE"""),129.58)</f>
        <v>129.58</v>
      </c>
      <c r="E293" s="1">
        <f>IFERROR(__xludf.DUMMYFUNCTION("""COMPUTED_VALUE"""),131.22)</f>
        <v>131.22</v>
      </c>
      <c r="F293" s="1">
        <f>IFERROR(__xludf.DUMMYFUNCTION("""COMPUTED_VALUE"""),1054391.0)</f>
        <v>1054391</v>
      </c>
      <c r="G293" s="2" t="s">
        <v>14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IFERROR(__xludf.DUMMYFUNCTION("""COMPUTED_VALUE"""),132.46)</f>
        <v>132.46</v>
      </c>
      <c r="C294" s="1">
        <f>IFERROR(__xludf.DUMMYFUNCTION("""COMPUTED_VALUE"""),133.02)</f>
        <v>133.02</v>
      </c>
      <c r="D294" s="1">
        <f>IFERROR(__xludf.DUMMYFUNCTION("""COMPUTED_VALUE"""),131.96)</f>
        <v>131.96</v>
      </c>
      <c r="E294" s="1">
        <f>IFERROR(__xludf.DUMMYFUNCTION("""COMPUTED_VALUE"""),132.7)</f>
        <v>132.7</v>
      </c>
      <c r="F294" s="1">
        <f>IFERROR(__xludf.DUMMYFUNCTION("""COMPUTED_VALUE"""),611878.0)</f>
        <v>611878</v>
      </c>
      <c r="G294" s="2" t="s">
        <v>14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IFERROR(__xludf.DUMMYFUNCTION("""COMPUTED_VALUE"""),132.5)</f>
        <v>132.5</v>
      </c>
      <c r="C295" s="1">
        <f>IFERROR(__xludf.DUMMYFUNCTION("""COMPUTED_VALUE"""),132.54)</f>
        <v>132.54</v>
      </c>
      <c r="D295" s="1">
        <f>IFERROR(__xludf.DUMMYFUNCTION("""COMPUTED_VALUE"""),130.34)</f>
        <v>130.34</v>
      </c>
      <c r="E295" s="1">
        <f>IFERROR(__xludf.DUMMYFUNCTION("""COMPUTED_VALUE"""),131.08)</f>
        <v>131.08</v>
      </c>
      <c r="F295" s="1">
        <f>IFERROR(__xludf.DUMMYFUNCTION("""COMPUTED_VALUE"""),845515.0)</f>
        <v>845515</v>
      </c>
      <c r="G295" s="2" t="s">
        <v>14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IFERROR(__xludf.DUMMYFUNCTION("""COMPUTED_VALUE"""),130.8)</f>
        <v>130.8</v>
      </c>
      <c r="C296" s="1">
        <f>IFERROR(__xludf.DUMMYFUNCTION("""COMPUTED_VALUE"""),131.78)</f>
        <v>131.78</v>
      </c>
      <c r="D296" s="1">
        <f>IFERROR(__xludf.DUMMYFUNCTION("""COMPUTED_VALUE"""),129.04)</f>
        <v>129.04</v>
      </c>
      <c r="E296" s="1">
        <f>IFERROR(__xludf.DUMMYFUNCTION("""COMPUTED_VALUE"""),131.2)</f>
        <v>131.2</v>
      </c>
      <c r="F296" s="1">
        <f>IFERROR(__xludf.DUMMYFUNCTION("""COMPUTED_VALUE"""),816015.0)</f>
        <v>816015</v>
      </c>
      <c r="G296" s="2" t="s">
        <v>14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IFERROR(__xludf.DUMMYFUNCTION("""COMPUTED_VALUE"""),131.76)</f>
        <v>131.76</v>
      </c>
      <c r="C297" s="1">
        <f>IFERROR(__xludf.DUMMYFUNCTION("""COMPUTED_VALUE"""),133.14)</f>
        <v>133.14</v>
      </c>
      <c r="D297" s="1">
        <f>IFERROR(__xludf.DUMMYFUNCTION("""COMPUTED_VALUE"""),131.38)</f>
        <v>131.38</v>
      </c>
      <c r="E297" s="1">
        <f>IFERROR(__xludf.DUMMYFUNCTION("""COMPUTED_VALUE"""),131.9)</f>
        <v>131.9</v>
      </c>
      <c r="F297" s="1">
        <f>IFERROR(__xludf.DUMMYFUNCTION("""COMPUTED_VALUE"""),798895.0)</f>
        <v>798895</v>
      </c>
      <c r="G297" s="2" t="s">
        <v>14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IFERROR(__xludf.DUMMYFUNCTION("""COMPUTED_VALUE"""),132.56)</f>
        <v>132.56</v>
      </c>
      <c r="C298" s="1">
        <f>IFERROR(__xludf.DUMMYFUNCTION("""COMPUTED_VALUE"""),132.76)</f>
        <v>132.76</v>
      </c>
      <c r="D298" s="1">
        <f>IFERROR(__xludf.DUMMYFUNCTION("""COMPUTED_VALUE"""),127.8)</f>
        <v>127.8</v>
      </c>
      <c r="E298" s="1">
        <f>IFERROR(__xludf.DUMMYFUNCTION("""COMPUTED_VALUE"""),127.8)</f>
        <v>127.8</v>
      </c>
      <c r="F298" s="1">
        <f>IFERROR(__xludf.DUMMYFUNCTION("""COMPUTED_VALUE"""),1743109.0)</f>
        <v>1743109</v>
      </c>
      <c r="G298" s="2" t="s">
        <v>14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IFERROR(__xludf.DUMMYFUNCTION("""COMPUTED_VALUE"""),128.32)</f>
        <v>128.32</v>
      </c>
      <c r="C299" s="1">
        <f>IFERROR(__xludf.DUMMYFUNCTION("""COMPUTED_VALUE"""),130.06)</f>
        <v>130.06</v>
      </c>
      <c r="D299" s="1">
        <f>IFERROR(__xludf.DUMMYFUNCTION("""COMPUTED_VALUE"""),128.32)</f>
        <v>128.32</v>
      </c>
      <c r="E299" s="1">
        <f>IFERROR(__xludf.DUMMYFUNCTION("""COMPUTED_VALUE"""),129.34)</f>
        <v>129.34</v>
      </c>
      <c r="F299" s="1">
        <f>IFERROR(__xludf.DUMMYFUNCTION("""COMPUTED_VALUE"""),581890.0)</f>
        <v>581890</v>
      </c>
      <c r="G299" s="2" t="s">
        <v>14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IFERROR(__xludf.DUMMYFUNCTION("""COMPUTED_VALUE"""),129.0)</f>
        <v>129</v>
      </c>
      <c r="C300" s="1">
        <f>IFERROR(__xludf.DUMMYFUNCTION("""COMPUTED_VALUE"""),129.7)</f>
        <v>129.7</v>
      </c>
      <c r="D300" s="1">
        <f>IFERROR(__xludf.DUMMYFUNCTION("""COMPUTED_VALUE"""),127.38)</f>
        <v>127.38</v>
      </c>
      <c r="E300" s="1">
        <f>IFERROR(__xludf.DUMMYFUNCTION("""COMPUTED_VALUE"""),129.16)</f>
        <v>129.16</v>
      </c>
      <c r="F300" s="1">
        <f>IFERROR(__xludf.DUMMYFUNCTION("""COMPUTED_VALUE"""),933181.0)</f>
        <v>933181</v>
      </c>
      <c r="G300" s="2" t="s">
        <v>14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IFERROR(__xludf.DUMMYFUNCTION("""COMPUTED_VALUE"""),130.1)</f>
        <v>130.1</v>
      </c>
      <c r="C301" s="1">
        <f>IFERROR(__xludf.DUMMYFUNCTION("""COMPUTED_VALUE"""),131.16)</f>
        <v>131.16</v>
      </c>
      <c r="D301" s="1">
        <f>IFERROR(__xludf.DUMMYFUNCTION("""COMPUTED_VALUE"""),128.0)</f>
        <v>128</v>
      </c>
      <c r="E301" s="1">
        <f>IFERROR(__xludf.DUMMYFUNCTION("""COMPUTED_VALUE"""),128.5)</f>
        <v>128.5</v>
      </c>
      <c r="F301" s="1">
        <f>IFERROR(__xludf.DUMMYFUNCTION("""COMPUTED_VALUE"""),921144.0)</f>
        <v>921144</v>
      </c>
      <c r="G301" s="2" t="s">
        <v>14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IFERROR(__xludf.DUMMYFUNCTION("""COMPUTED_VALUE"""),128.0)</f>
        <v>128</v>
      </c>
      <c r="C302" s="1">
        <f>IFERROR(__xludf.DUMMYFUNCTION("""COMPUTED_VALUE"""),128.66)</f>
        <v>128.66</v>
      </c>
      <c r="D302" s="1">
        <f>IFERROR(__xludf.DUMMYFUNCTION("""COMPUTED_VALUE"""),126.34)</f>
        <v>126.34</v>
      </c>
      <c r="E302" s="1">
        <f>IFERROR(__xludf.DUMMYFUNCTION("""COMPUTED_VALUE"""),128.62)</f>
        <v>128.62</v>
      </c>
      <c r="F302" s="1">
        <f>IFERROR(__xludf.DUMMYFUNCTION("""COMPUTED_VALUE"""),921369.0)</f>
        <v>921369</v>
      </c>
      <c r="G302" s="2" t="s">
        <v>14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IFERROR(__xludf.DUMMYFUNCTION("""COMPUTED_VALUE"""),127.82)</f>
        <v>127.82</v>
      </c>
      <c r="C303" s="1">
        <f>IFERROR(__xludf.DUMMYFUNCTION("""COMPUTED_VALUE"""),143.2)</f>
        <v>143.2</v>
      </c>
      <c r="D303" s="1">
        <f>IFERROR(__xludf.DUMMYFUNCTION("""COMPUTED_VALUE"""),127.68)</f>
        <v>127.68</v>
      </c>
      <c r="E303" s="1">
        <f>IFERROR(__xludf.DUMMYFUNCTION("""COMPUTED_VALUE"""),142.2)</f>
        <v>142.2</v>
      </c>
      <c r="F303" s="1">
        <f>IFERROR(__xludf.DUMMYFUNCTION("""COMPUTED_VALUE"""),4372767.0)</f>
        <v>4372767</v>
      </c>
      <c r="G303" s="2" t="s">
        <v>14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IFERROR(__xludf.DUMMYFUNCTION("""COMPUTED_VALUE"""),142.2)</f>
        <v>142.2</v>
      </c>
      <c r="C304" s="1">
        <f>IFERROR(__xludf.DUMMYFUNCTION("""COMPUTED_VALUE"""),143.08)</f>
        <v>143.08</v>
      </c>
      <c r="D304" s="1">
        <f>IFERROR(__xludf.DUMMYFUNCTION("""COMPUTED_VALUE"""),139.02)</f>
        <v>139.02</v>
      </c>
      <c r="E304" s="1">
        <f>IFERROR(__xludf.DUMMYFUNCTION("""COMPUTED_VALUE"""),139.68)</f>
        <v>139.68</v>
      </c>
      <c r="F304" s="1">
        <f>IFERROR(__xludf.DUMMYFUNCTION("""COMPUTED_VALUE"""),1807270.0)</f>
        <v>1807270</v>
      </c>
      <c r="G304" s="2" t="s">
        <v>14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IFERROR(__xludf.DUMMYFUNCTION("""COMPUTED_VALUE"""),139.32)</f>
        <v>139.32</v>
      </c>
      <c r="C305" s="1">
        <f>IFERROR(__xludf.DUMMYFUNCTION("""COMPUTED_VALUE"""),141.04)</f>
        <v>141.04</v>
      </c>
      <c r="D305" s="1">
        <f>IFERROR(__xludf.DUMMYFUNCTION("""COMPUTED_VALUE"""),138.38)</f>
        <v>138.38</v>
      </c>
      <c r="E305" s="1">
        <f>IFERROR(__xludf.DUMMYFUNCTION("""COMPUTED_VALUE"""),138.8)</f>
        <v>138.8</v>
      </c>
      <c r="F305" s="1">
        <f>IFERROR(__xludf.DUMMYFUNCTION("""COMPUTED_VALUE"""),738584.0)</f>
        <v>738584</v>
      </c>
      <c r="G305" s="2" t="s">
        <v>14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IFERROR(__xludf.DUMMYFUNCTION("""COMPUTED_VALUE"""),138.76)</f>
        <v>138.76</v>
      </c>
      <c r="C306" s="1">
        <f>IFERROR(__xludf.DUMMYFUNCTION("""COMPUTED_VALUE"""),141.06)</f>
        <v>141.06</v>
      </c>
      <c r="D306" s="1">
        <f>IFERROR(__xludf.DUMMYFUNCTION("""COMPUTED_VALUE"""),138.7)</f>
        <v>138.7</v>
      </c>
      <c r="E306" s="1">
        <f>IFERROR(__xludf.DUMMYFUNCTION("""COMPUTED_VALUE"""),140.06)</f>
        <v>140.06</v>
      </c>
      <c r="F306" s="1">
        <f>IFERROR(__xludf.DUMMYFUNCTION("""COMPUTED_VALUE"""),890326.0)</f>
        <v>890326</v>
      </c>
      <c r="G306" s="2" t="s">
        <v>14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IFERROR(__xludf.DUMMYFUNCTION("""COMPUTED_VALUE"""),140.24)</f>
        <v>140.24</v>
      </c>
      <c r="C307" s="1">
        <f>IFERROR(__xludf.DUMMYFUNCTION("""COMPUTED_VALUE"""),140.54)</f>
        <v>140.54</v>
      </c>
      <c r="D307" s="1">
        <f>IFERROR(__xludf.DUMMYFUNCTION("""COMPUTED_VALUE"""),136.64)</f>
        <v>136.64</v>
      </c>
      <c r="E307" s="1">
        <f>IFERROR(__xludf.DUMMYFUNCTION("""COMPUTED_VALUE"""),137.2)</f>
        <v>137.2</v>
      </c>
      <c r="F307" s="1">
        <f>IFERROR(__xludf.DUMMYFUNCTION("""COMPUTED_VALUE"""),1144051.0)</f>
        <v>1144051</v>
      </c>
      <c r="G307" s="2" t="s">
        <v>14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IFERROR(__xludf.DUMMYFUNCTION("""COMPUTED_VALUE"""),133.92)</f>
        <v>133.92</v>
      </c>
      <c r="C308" s="1">
        <f>IFERROR(__xludf.DUMMYFUNCTION("""COMPUTED_VALUE"""),135.1)</f>
        <v>135.1</v>
      </c>
      <c r="D308" s="1">
        <f>IFERROR(__xludf.DUMMYFUNCTION("""COMPUTED_VALUE"""),132.22)</f>
        <v>132.22</v>
      </c>
      <c r="E308" s="1">
        <f>IFERROR(__xludf.DUMMYFUNCTION("""COMPUTED_VALUE"""),135.1)</f>
        <v>135.1</v>
      </c>
      <c r="F308" s="1">
        <f>IFERROR(__xludf.DUMMYFUNCTION("""COMPUTED_VALUE"""),1168787.0)</f>
        <v>1168787</v>
      </c>
      <c r="G308" s="2" t="s">
        <v>14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IFERROR(__xludf.DUMMYFUNCTION("""COMPUTED_VALUE"""),134.7)</f>
        <v>134.7</v>
      </c>
      <c r="C309" s="1">
        <f>IFERROR(__xludf.DUMMYFUNCTION("""COMPUTED_VALUE"""),134.88)</f>
        <v>134.88</v>
      </c>
      <c r="D309" s="1">
        <f>IFERROR(__xludf.DUMMYFUNCTION("""COMPUTED_VALUE"""),128.76)</f>
        <v>128.76</v>
      </c>
      <c r="E309" s="1">
        <f>IFERROR(__xludf.DUMMYFUNCTION("""COMPUTED_VALUE"""),130.46)</f>
        <v>130.46</v>
      </c>
      <c r="F309" s="1">
        <f>IFERROR(__xludf.DUMMYFUNCTION("""COMPUTED_VALUE"""),1872646.0)</f>
        <v>1872646</v>
      </c>
      <c r="G309" s="2" t="s">
        <v>14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IFERROR(__xludf.DUMMYFUNCTION("""COMPUTED_VALUE"""),128.7)</f>
        <v>128.7</v>
      </c>
      <c r="C310" s="1">
        <f>IFERROR(__xludf.DUMMYFUNCTION("""COMPUTED_VALUE"""),128.8)</f>
        <v>128.8</v>
      </c>
      <c r="D310" s="1">
        <f>IFERROR(__xludf.DUMMYFUNCTION("""COMPUTED_VALUE"""),125.5)</f>
        <v>125.5</v>
      </c>
      <c r="E310" s="1">
        <f>IFERROR(__xludf.DUMMYFUNCTION("""COMPUTED_VALUE"""),128.4)</f>
        <v>128.4</v>
      </c>
      <c r="F310" s="1">
        <f>IFERROR(__xludf.DUMMYFUNCTION("""COMPUTED_VALUE"""),2235326.0)</f>
        <v>2235326</v>
      </c>
      <c r="G310" s="2" t="s">
        <v>14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IFERROR(__xludf.DUMMYFUNCTION("""COMPUTED_VALUE"""),129.4)</f>
        <v>129.4</v>
      </c>
      <c r="C311" s="1">
        <f>IFERROR(__xludf.DUMMYFUNCTION("""COMPUTED_VALUE"""),129.88)</f>
        <v>129.88</v>
      </c>
      <c r="D311" s="1">
        <f>IFERROR(__xludf.DUMMYFUNCTION("""COMPUTED_VALUE"""),122.54)</f>
        <v>122.54</v>
      </c>
      <c r="E311" s="1">
        <f>IFERROR(__xludf.DUMMYFUNCTION("""COMPUTED_VALUE"""),123.18)</f>
        <v>123.18</v>
      </c>
      <c r="F311" s="1">
        <f>IFERROR(__xludf.DUMMYFUNCTION("""COMPUTED_VALUE"""),2568113.0)</f>
        <v>2568113</v>
      </c>
      <c r="G311" s="2" t="s">
        <v>14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IFERROR(__xludf.DUMMYFUNCTION("""COMPUTED_VALUE"""),125.56)</f>
        <v>125.56</v>
      </c>
      <c r="C312" s="1">
        <f>IFERROR(__xludf.DUMMYFUNCTION("""COMPUTED_VALUE"""),125.74)</f>
        <v>125.74</v>
      </c>
      <c r="D312" s="1">
        <f>IFERROR(__xludf.DUMMYFUNCTION("""COMPUTED_VALUE"""),120.12)</f>
        <v>120.12</v>
      </c>
      <c r="E312" s="1">
        <f>IFERROR(__xludf.DUMMYFUNCTION("""COMPUTED_VALUE"""),122.52)</f>
        <v>122.52</v>
      </c>
      <c r="F312" s="1">
        <f>IFERROR(__xludf.DUMMYFUNCTION("""COMPUTED_VALUE"""),2056988.0)</f>
        <v>2056988</v>
      </c>
      <c r="G312" s="2" t="s">
        <v>14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IFERROR(__xludf.DUMMYFUNCTION("""COMPUTED_VALUE"""),122.0)</f>
        <v>122</v>
      </c>
      <c r="C313" s="1">
        <f>IFERROR(__xludf.DUMMYFUNCTION("""COMPUTED_VALUE"""),122.72)</f>
        <v>122.72</v>
      </c>
      <c r="D313" s="1">
        <f>IFERROR(__xludf.DUMMYFUNCTION("""COMPUTED_VALUE"""),119.02)</f>
        <v>119.02</v>
      </c>
      <c r="E313" s="1">
        <f>IFERROR(__xludf.DUMMYFUNCTION("""COMPUTED_VALUE"""),120.44)</f>
        <v>120.44</v>
      </c>
      <c r="F313" s="1">
        <f>IFERROR(__xludf.DUMMYFUNCTION("""COMPUTED_VALUE"""),3555214.0)</f>
        <v>3555214</v>
      </c>
      <c r="G313" s="2" t="s">
        <v>14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IFERROR(__xludf.DUMMYFUNCTION("""COMPUTED_VALUE"""),120.2)</f>
        <v>120.2</v>
      </c>
      <c r="C314" s="1">
        <f>IFERROR(__xludf.DUMMYFUNCTION("""COMPUTED_VALUE"""),120.46)</f>
        <v>120.46</v>
      </c>
      <c r="D314" s="1">
        <f>IFERROR(__xludf.DUMMYFUNCTION("""COMPUTED_VALUE"""),116.48)</f>
        <v>116.48</v>
      </c>
      <c r="E314" s="1">
        <f>IFERROR(__xludf.DUMMYFUNCTION("""COMPUTED_VALUE"""),120.24)</f>
        <v>120.24</v>
      </c>
      <c r="F314" s="1">
        <f>IFERROR(__xludf.DUMMYFUNCTION("""COMPUTED_VALUE"""),1411845.0)</f>
        <v>1411845</v>
      </c>
      <c r="G314" s="2" t="s">
        <v>14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IFERROR(__xludf.DUMMYFUNCTION("""COMPUTED_VALUE"""),121.24)</f>
        <v>121.24</v>
      </c>
      <c r="C315" s="1">
        <f>IFERROR(__xludf.DUMMYFUNCTION("""COMPUTED_VALUE"""),124.08)</f>
        <v>124.08</v>
      </c>
      <c r="D315" s="1">
        <f>IFERROR(__xludf.DUMMYFUNCTION("""COMPUTED_VALUE"""),121.18)</f>
        <v>121.18</v>
      </c>
      <c r="E315" s="1">
        <f>IFERROR(__xludf.DUMMYFUNCTION("""COMPUTED_VALUE"""),123.18)</f>
        <v>123.18</v>
      </c>
      <c r="F315" s="1">
        <f>IFERROR(__xludf.DUMMYFUNCTION("""COMPUTED_VALUE"""),1075058.0)</f>
        <v>1075058</v>
      </c>
      <c r="G315" s="2" t="s">
        <v>14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IFERROR(__xludf.DUMMYFUNCTION("""COMPUTED_VALUE"""),123.36)</f>
        <v>123.36</v>
      </c>
      <c r="C316" s="1">
        <f>IFERROR(__xludf.DUMMYFUNCTION("""COMPUTED_VALUE"""),124.54)</f>
        <v>124.54</v>
      </c>
      <c r="D316" s="1">
        <f>IFERROR(__xludf.DUMMYFUNCTION("""COMPUTED_VALUE"""),123.0)</f>
        <v>123</v>
      </c>
      <c r="E316" s="1">
        <f>IFERROR(__xludf.DUMMYFUNCTION("""COMPUTED_VALUE"""),123.8)</f>
        <v>123.8</v>
      </c>
      <c r="F316" s="1">
        <f>IFERROR(__xludf.DUMMYFUNCTION("""COMPUTED_VALUE"""),675625.0)</f>
        <v>675625</v>
      </c>
      <c r="G316" s="2" t="s">
        <v>14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IFERROR(__xludf.DUMMYFUNCTION("""COMPUTED_VALUE"""),123.5)</f>
        <v>123.5</v>
      </c>
      <c r="C317" s="1">
        <f>IFERROR(__xludf.DUMMYFUNCTION("""COMPUTED_VALUE"""),124.12)</f>
        <v>124.12</v>
      </c>
      <c r="D317" s="1">
        <f>IFERROR(__xludf.DUMMYFUNCTION("""COMPUTED_VALUE"""),120.94)</f>
        <v>120.94</v>
      </c>
      <c r="E317" s="1">
        <f>IFERROR(__xludf.DUMMYFUNCTION("""COMPUTED_VALUE"""),122.38)</f>
        <v>122.38</v>
      </c>
      <c r="F317" s="1">
        <f>IFERROR(__xludf.DUMMYFUNCTION("""COMPUTED_VALUE"""),1164750.0)</f>
        <v>1164750</v>
      </c>
      <c r="G317" s="2" t="s">
        <v>14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IFERROR(__xludf.DUMMYFUNCTION("""COMPUTED_VALUE"""),120.12)</f>
        <v>120.12</v>
      </c>
      <c r="C318" s="1">
        <f>IFERROR(__xludf.DUMMYFUNCTION("""COMPUTED_VALUE"""),120.5)</f>
        <v>120.5</v>
      </c>
      <c r="D318" s="1">
        <f>IFERROR(__xludf.DUMMYFUNCTION("""COMPUTED_VALUE"""),116.12)</f>
        <v>116.12</v>
      </c>
      <c r="E318" s="1">
        <f>IFERROR(__xludf.DUMMYFUNCTION("""COMPUTED_VALUE"""),119.0)</f>
        <v>119</v>
      </c>
      <c r="F318" s="1">
        <f>IFERROR(__xludf.DUMMYFUNCTION("""COMPUTED_VALUE"""),2189438.0)</f>
        <v>2189438</v>
      </c>
      <c r="G318" s="2" t="s">
        <v>14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IFERROR(__xludf.DUMMYFUNCTION("""COMPUTED_VALUE"""),120.48)</f>
        <v>120.48</v>
      </c>
      <c r="C319" s="1">
        <f>IFERROR(__xludf.DUMMYFUNCTION("""COMPUTED_VALUE"""),121.94)</f>
        <v>121.94</v>
      </c>
      <c r="D319" s="1">
        <f>IFERROR(__xludf.DUMMYFUNCTION("""COMPUTED_VALUE"""),119.7)</f>
        <v>119.7</v>
      </c>
      <c r="E319" s="1">
        <f>IFERROR(__xludf.DUMMYFUNCTION("""COMPUTED_VALUE"""),120.86)</f>
        <v>120.86</v>
      </c>
      <c r="F319" s="1">
        <f>IFERROR(__xludf.DUMMYFUNCTION("""COMPUTED_VALUE"""),939130.0)</f>
        <v>939130</v>
      </c>
      <c r="G319" s="2" t="s">
        <v>14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IFERROR(__xludf.DUMMYFUNCTION("""COMPUTED_VALUE"""),122.6)</f>
        <v>122.6</v>
      </c>
      <c r="C320" s="1">
        <f>IFERROR(__xludf.DUMMYFUNCTION("""COMPUTED_VALUE"""),122.88)</f>
        <v>122.88</v>
      </c>
      <c r="D320" s="1">
        <f>IFERROR(__xludf.DUMMYFUNCTION("""COMPUTED_VALUE"""),120.88)</f>
        <v>120.88</v>
      </c>
      <c r="E320" s="1">
        <f>IFERROR(__xludf.DUMMYFUNCTION("""COMPUTED_VALUE"""),121.88)</f>
        <v>121.88</v>
      </c>
      <c r="F320" s="1">
        <f>IFERROR(__xludf.DUMMYFUNCTION("""COMPUTED_VALUE"""),653728.0)</f>
        <v>653728</v>
      </c>
      <c r="G320" s="2" t="s">
        <v>14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IFERROR(__xludf.DUMMYFUNCTION("""COMPUTED_VALUE"""),122.5)</f>
        <v>122.5</v>
      </c>
      <c r="C321" s="1">
        <f>IFERROR(__xludf.DUMMYFUNCTION("""COMPUTED_VALUE"""),122.68)</f>
        <v>122.68</v>
      </c>
      <c r="D321" s="1">
        <f>IFERROR(__xludf.DUMMYFUNCTION("""COMPUTED_VALUE"""),121.2)</f>
        <v>121.2</v>
      </c>
      <c r="E321" s="1">
        <f>IFERROR(__xludf.DUMMYFUNCTION("""COMPUTED_VALUE"""),122.6)</f>
        <v>122.6</v>
      </c>
      <c r="F321" s="1">
        <f>IFERROR(__xludf.DUMMYFUNCTION("""COMPUTED_VALUE"""),709072.0)</f>
        <v>709072</v>
      </c>
      <c r="G321" s="2" t="s">
        <v>14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IFERROR(__xludf.DUMMYFUNCTION("""COMPUTED_VALUE"""),123.5)</f>
        <v>123.5</v>
      </c>
      <c r="C322" s="1">
        <f>IFERROR(__xludf.DUMMYFUNCTION("""COMPUTED_VALUE"""),125.3)</f>
        <v>125.3</v>
      </c>
      <c r="D322" s="1">
        <f>IFERROR(__xludf.DUMMYFUNCTION("""COMPUTED_VALUE"""),123.28)</f>
        <v>123.28</v>
      </c>
      <c r="E322" s="1">
        <f>IFERROR(__xludf.DUMMYFUNCTION("""COMPUTED_VALUE"""),124.68)</f>
        <v>124.68</v>
      </c>
      <c r="F322" s="1">
        <f>IFERROR(__xludf.DUMMYFUNCTION("""COMPUTED_VALUE"""),838235.0)</f>
        <v>838235</v>
      </c>
      <c r="G322" s="2" t="s">
        <v>14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IFERROR(__xludf.DUMMYFUNCTION("""COMPUTED_VALUE"""),125.6)</f>
        <v>125.6</v>
      </c>
      <c r="C323" s="1">
        <f>IFERROR(__xludf.DUMMYFUNCTION("""COMPUTED_VALUE"""),125.78)</f>
        <v>125.78</v>
      </c>
      <c r="D323" s="1">
        <f>IFERROR(__xludf.DUMMYFUNCTION("""COMPUTED_VALUE"""),124.54)</f>
        <v>124.54</v>
      </c>
      <c r="E323" s="1">
        <f>IFERROR(__xludf.DUMMYFUNCTION("""COMPUTED_VALUE"""),125.64)</f>
        <v>125.64</v>
      </c>
      <c r="F323" s="1">
        <f>IFERROR(__xludf.DUMMYFUNCTION("""COMPUTED_VALUE"""),941735.0)</f>
        <v>941735</v>
      </c>
      <c r="G323" s="2" t="s">
        <v>14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IFERROR(__xludf.DUMMYFUNCTION("""COMPUTED_VALUE"""),126.2)</f>
        <v>126.2</v>
      </c>
      <c r="C324" s="1">
        <f>IFERROR(__xludf.DUMMYFUNCTION("""COMPUTED_VALUE"""),126.58)</f>
        <v>126.58</v>
      </c>
      <c r="D324" s="1">
        <f>IFERROR(__xludf.DUMMYFUNCTION("""COMPUTED_VALUE"""),125.44)</f>
        <v>125.44</v>
      </c>
      <c r="E324" s="1">
        <f>IFERROR(__xludf.DUMMYFUNCTION("""COMPUTED_VALUE"""),125.86)</f>
        <v>125.86</v>
      </c>
      <c r="F324" s="1">
        <f>IFERROR(__xludf.DUMMYFUNCTION("""COMPUTED_VALUE"""),650366.0)</f>
        <v>650366</v>
      </c>
      <c r="G324" s="2" t="s">
        <v>14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IFERROR(__xludf.DUMMYFUNCTION("""COMPUTED_VALUE"""),126.5)</f>
        <v>126.5</v>
      </c>
      <c r="C325" s="1">
        <f>IFERROR(__xludf.DUMMYFUNCTION("""COMPUTED_VALUE"""),127.7)</f>
        <v>127.7</v>
      </c>
      <c r="D325" s="1">
        <f>IFERROR(__xludf.DUMMYFUNCTION("""COMPUTED_VALUE"""),125.4)</f>
        <v>125.4</v>
      </c>
      <c r="E325" s="1">
        <f>IFERROR(__xludf.DUMMYFUNCTION("""COMPUTED_VALUE"""),125.4)</f>
        <v>125.4</v>
      </c>
      <c r="F325" s="1">
        <f>IFERROR(__xludf.DUMMYFUNCTION("""COMPUTED_VALUE"""),761320.0)</f>
        <v>761320</v>
      </c>
      <c r="G325" s="2" t="s">
        <v>14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IFERROR(__xludf.DUMMYFUNCTION("""COMPUTED_VALUE"""),125.68)</f>
        <v>125.68</v>
      </c>
      <c r="C326" s="1">
        <f>IFERROR(__xludf.DUMMYFUNCTION("""COMPUTED_VALUE"""),126.06)</f>
        <v>126.06</v>
      </c>
      <c r="D326" s="1">
        <f>IFERROR(__xludf.DUMMYFUNCTION("""COMPUTED_VALUE"""),123.38)</f>
        <v>123.38</v>
      </c>
      <c r="E326" s="1">
        <f>IFERROR(__xludf.DUMMYFUNCTION("""COMPUTED_VALUE"""),124.08)</f>
        <v>124.08</v>
      </c>
      <c r="F326" s="1">
        <f>IFERROR(__xludf.DUMMYFUNCTION("""COMPUTED_VALUE"""),1040282.0)</f>
        <v>1040282</v>
      </c>
      <c r="G326" s="2" t="s">
        <v>14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IFERROR(__xludf.DUMMYFUNCTION("""COMPUTED_VALUE"""),124.14)</f>
        <v>124.14</v>
      </c>
      <c r="C327" s="1">
        <f>IFERROR(__xludf.DUMMYFUNCTION("""COMPUTED_VALUE"""),124.44)</f>
        <v>124.44</v>
      </c>
      <c r="D327" s="1">
        <f>IFERROR(__xludf.DUMMYFUNCTION("""COMPUTED_VALUE"""),122.78)</f>
        <v>122.78</v>
      </c>
      <c r="E327" s="1">
        <f>IFERROR(__xludf.DUMMYFUNCTION("""COMPUTED_VALUE"""),123.46)</f>
        <v>123.46</v>
      </c>
      <c r="F327" s="1">
        <f>IFERROR(__xludf.DUMMYFUNCTION("""COMPUTED_VALUE"""),666094.0)</f>
        <v>666094</v>
      </c>
      <c r="G327" s="2" t="s">
        <v>14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IFERROR(__xludf.DUMMYFUNCTION("""COMPUTED_VALUE"""),125.22)</f>
        <v>125.22</v>
      </c>
      <c r="C328" s="1">
        <f>IFERROR(__xludf.DUMMYFUNCTION("""COMPUTED_VALUE"""),126.76)</f>
        <v>126.76</v>
      </c>
      <c r="D328" s="1">
        <f>IFERROR(__xludf.DUMMYFUNCTION("""COMPUTED_VALUE"""),124.96)</f>
        <v>124.96</v>
      </c>
      <c r="E328" s="1">
        <f>IFERROR(__xludf.DUMMYFUNCTION("""COMPUTED_VALUE"""),125.5)</f>
        <v>125.5</v>
      </c>
      <c r="F328" s="1">
        <f>IFERROR(__xludf.DUMMYFUNCTION("""COMPUTED_VALUE"""),888146.0)</f>
        <v>888146</v>
      </c>
      <c r="G328" s="2" t="s">
        <v>14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IFERROR(__xludf.DUMMYFUNCTION("""COMPUTED_VALUE"""),125.5)</f>
        <v>125.5</v>
      </c>
      <c r="C329" s="1">
        <f>IFERROR(__xludf.DUMMYFUNCTION("""COMPUTED_VALUE"""),127.3)</f>
        <v>127.3</v>
      </c>
      <c r="D329" s="1">
        <f>IFERROR(__xludf.DUMMYFUNCTION("""COMPUTED_VALUE"""),125.1)</f>
        <v>125.1</v>
      </c>
      <c r="E329" s="1">
        <f>IFERROR(__xludf.DUMMYFUNCTION("""COMPUTED_VALUE"""),125.52)</f>
        <v>125.52</v>
      </c>
      <c r="F329" s="1">
        <f>IFERROR(__xludf.DUMMYFUNCTION("""COMPUTED_VALUE"""),739954.0)</f>
        <v>739954</v>
      </c>
      <c r="G329" s="2" t="s">
        <v>14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IFERROR(__xludf.DUMMYFUNCTION("""COMPUTED_VALUE"""),125.5)</f>
        <v>125.5</v>
      </c>
      <c r="C330" s="1">
        <f>IFERROR(__xludf.DUMMYFUNCTION("""COMPUTED_VALUE"""),126.66)</f>
        <v>126.66</v>
      </c>
      <c r="D330" s="1">
        <f>IFERROR(__xludf.DUMMYFUNCTION("""COMPUTED_VALUE"""),124.28)</f>
        <v>124.28</v>
      </c>
      <c r="E330" s="1">
        <f>IFERROR(__xludf.DUMMYFUNCTION("""COMPUTED_VALUE"""),126.08)</f>
        <v>126.08</v>
      </c>
      <c r="F330" s="1">
        <f>IFERROR(__xludf.DUMMYFUNCTION("""COMPUTED_VALUE"""),845270.0)</f>
        <v>845270</v>
      </c>
      <c r="G330" s="2" t="s">
        <v>14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IFERROR(__xludf.DUMMYFUNCTION("""COMPUTED_VALUE"""),126.84)</f>
        <v>126.84</v>
      </c>
      <c r="C331" s="1">
        <f>IFERROR(__xludf.DUMMYFUNCTION("""COMPUTED_VALUE"""),128.3)</f>
        <v>128.3</v>
      </c>
      <c r="D331" s="1">
        <f>IFERROR(__xludf.DUMMYFUNCTION("""COMPUTED_VALUE"""),126.16)</f>
        <v>126.16</v>
      </c>
      <c r="E331" s="1">
        <f>IFERROR(__xludf.DUMMYFUNCTION("""COMPUTED_VALUE"""),127.7)</f>
        <v>127.7</v>
      </c>
      <c r="F331" s="1">
        <f>IFERROR(__xludf.DUMMYFUNCTION("""COMPUTED_VALUE"""),1200297.0)</f>
        <v>1200297</v>
      </c>
      <c r="G331" s="2" t="s">
        <v>14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IFERROR(__xludf.DUMMYFUNCTION("""COMPUTED_VALUE"""),128.66)</f>
        <v>128.66</v>
      </c>
      <c r="C332" s="1">
        <f>IFERROR(__xludf.DUMMYFUNCTION("""COMPUTED_VALUE"""),129.0)</f>
        <v>129</v>
      </c>
      <c r="D332" s="1">
        <f>IFERROR(__xludf.DUMMYFUNCTION("""COMPUTED_VALUE"""),126.2)</f>
        <v>126.2</v>
      </c>
      <c r="E332" s="1">
        <f>IFERROR(__xludf.DUMMYFUNCTION("""COMPUTED_VALUE"""),126.9)</f>
        <v>126.9</v>
      </c>
      <c r="F332" s="1">
        <f>IFERROR(__xludf.DUMMYFUNCTION("""COMPUTED_VALUE"""),910994.0)</f>
        <v>910994</v>
      </c>
      <c r="G332" s="2" t="s">
        <v>14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IFERROR(__xludf.DUMMYFUNCTION("""COMPUTED_VALUE"""),127.54)</f>
        <v>127.54</v>
      </c>
      <c r="C333" s="1">
        <f>IFERROR(__xludf.DUMMYFUNCTION("""COMPUTED_VALUE"""),127.54)</f>
        <v>127.54</v>
      </c>
      <c r="D333" s="1">
        <f>IFERROR(__xludf.DUMMYFUNCTION("""COMPUTED_VALUE"""),126.46)</f>
        <v>126.46</v>
      </c>
      <c r="E333" s="1">
        <f>IFERROR(__xludf.DUMMYFUNCTION("""COMPUTED_VALUE"""),126.58)</f>
        <v>126.58</v>
      </c>
      <c r="F333" s="1">
        <f>IFERROR(__xludf.DUMMYFUNCTION("""COMPUTED_VALUE"""),552555.0)</f>
        <v>552555</v>
      </c>
      <c r="G333" s="2" t="s">
        <v>14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IFERROR(__xludf.DUMMYFUNCTION("""COMPUTED_VALUE"""),126.26)</f>
        <v>126.26</v>
      </c>
      <c r="C334" s="1">
        <f>IFERROR(__xludf.DUMMYFUNCTION("""COMPUTED_VALUE"""),126.26)</f>
        <v>126.26</v>
      </c>
      <c r="D334" s="1">
        <f>IFERROR(__xludf.DUMMYFUNCTION("""COMPUTED_VALUE"""),123.68)</f>
        <v>123.68</v>
      </c>
      <c r="E334" s="1">
        <f>IFERROR(__xludf.DUMMYFUNCTION("""COMPUTED_VALUE"""),125.46)</f>
        <v>125.46</v>
      </c>
      <c r="F334" s="1">
        <f>IFERROR(__xludf.DUMMYFUNCTION("""COMPUTED_VALUE"""),788416.0)</f>
        <v>788416</v>
      </c>
      <c r="G334" s="2" t="s">
        <v>14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IFERROR(__xludf.DUMMYFUNCTION("""COMPUTED_VALUE"""),124.28)</f>
        <v>124.28</v>
      </c>
      <c r="C335" s="1">
        <f>IFERROR(__xludf.DUMMYFUNCTION("""COMPUTED_VALUE"""),124.32)</f>
        <v>124.32</v>
      </c>
      <c r="D335" s="1">
        <f>IFERROR(__xludf.DUMMYFUNCTION("""COMPUTED_VALUE"""),120.96)</f>
        <v>120.96</v>
      </c>
      <c r="E335" s="1">
        <f>IFERROR(__xludf.DUMMYFUNCTION("""COMPUTED_VALUE"""),121.58)</f>
        <v>121.58</v>
      </c>
      <c r="F335" s="1">
        <f>IFERROR(__xludf.DUMMYFUNCTION("""COMPUTED_VALUE"""),1997934.0)</f>
        <v>1997934</v>
      </c>
      <c r="G335" s="2" t="s">
        <v>14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IFERROR(__xludf.DUMMYFUNCTION("""COMPUTED_VALUE"""),122.24)</f>
        <v>122.24</v>
      </c>
      <c r="C336" s="1">
        <f>IFERROR(__xludf.DUMMYFUNCTION("""COMPUTED_VALUE"""),122.84)</f>
        <v>122.84</v>
      </c>
      <c r="D336" s="1">
        <f>IFERROR(__xludf.DUMMYFUNCTION("""COMPUTED_VALUE"""),120.26)</f>
        <v>120.26</v>
      </c>
      <c r="E336" s="1">
        <f>IFERROR(__xludf.DUMMYFUNCTION("""COMPUTED_VALUE"""),121.9)</f>
        <v>121.9</v>
      </c>
      <c r="F336" s="1">
        <f>IFERROR(__xludf.DUMMYFUNCTION("""COMPUTED_VALUE"""),1221422.0)</f>
        <v>1221422</v>
      </c>
      <c r="G336" s="2" t="s">
        <v>14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IFERROR(__xludf.DUMMYFUNCTION("""COMPUTED_VALUE"""),122.2)</f>
        <v>122.2</v>
      </c>
      <c r="C337" s="1">
        <f>IFERROR(__xludf.DUMMYFUNCTION("""COMPUTED_VALUE"""),122.94)</f>
        <v>122.94</v>
      </c>
      <c r="D337" s="1">
        <f>IFERROR(__xludf.DUMMYFUNCTION("""COMPUTED_VALUE"""),121.5)</f>
        <v>121.5</v>
      </c>
      <c r="E337" s="1">
        <f>IFERROR(__xludf.DUMMYFUNCTION("""COMPUTED_VALUE"""),122.0)</f>
        <v>122</v>
      </c>
      <c r="F337" s="1">
        <f>IFERROR(__xludf.DUMMYFUNCTION("""COMPUTED_VALUE"""),726508.0)</f>
        <v>726508</v>
      </c>
      <c r="G337" s="2" t="s">
        <v>14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IFERROR(__xludf.DUMMYFUNCTION("""COMPUTED_VALUE"""),121.96)</f>
        <v>121.96</v>
      </c>
      <c r="C338" s="1">
        <f>IFERROR(__xludf.DUMMYFUNCTION("""COMPUTED_VALUE"""),122.06)</f>
        <v>122.06</v>
      </c>
      <c r="D338" s="1">
        <f>IFERROR(__xludf.DUMMYFUNCTION("""COMPUTED_VALUE"""),120.34)</f>
        <v>120.34</v>
      </c>
      <c r="E338" s="1">
        <f>IFERROR(__xludf.DUMMYFUNCTION("""COMPUTED_VALUE"""),120.74)</f>
        <v>120.74</v>
      </c>
      <c r="F338" s="1">
        <f>IFERROR(__xludf.DUMMYFUNCTION("""COMPUTED_VALUE"""),922940.0)</f>
        <v>922940</v>
      </c>
      <c r="G338" s="2" t="s">
        <v>14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IFERROR(__xludf.DUMMYFUNCTION("""COMPUTED_VALUE"""),120.32)</f>
        <v>120.32</v>
      </c>
      <c r="C339" s="1">
        <f>IFERROR(__xludf.DUMMYFUNCTION("""COMPUTED_VALUE"""),121.82)</f>
        <v>121.82</v>
      </c>
      <c r="D339" s="1">
        <f>IFERROR(__xludf.DUMMYFUNCTION("""COMPUTED_VALUE"""),119.84)</f>
        <v>119.84</v>
      </c>
      <c r="E339" s="1">
        <f>IFERROR(__xludf.DUMMYFUNCTION("""COMPUTED_VALUE"""),121.22)</f>
        <v>121.22</v>
      </c>
      <c r="F339" s="1">
        <f>IFERROR(__xludf.DUMMYFUNCTION("""COMPUTED_VALUE"""),938219.0)</f>
        <v>938219</v>
      </c>
      <c r="G339" s="2" t="s">
        <v>14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IFERROR(__xludf.DUMMYFUNCTION("""COMPUTED_VALUE"""),121.5)</f>
        <v>121.5</v>
      </c>
      <c r="C340" s="1">
        <f>IFERROR(__xludf.DUMMYFUNCTION("""COMPUTED_VALUE"""),123.32)</f>
        <v>123.32</v>
      </c>
      <c r="D340" s="1">
        <f>IFERROR(__xludf.DUMMYFUNCTION("""COMPUTED_VALUE"""),120.5)</f>
        <v>120.5</v>
      </c>
      <c r="E340" s="1">
        <f>IFERROR(__xludf.DUMMYFUNCTION("""COMPUTED_VALUE"""),122.0)</f>
        <v>122</v>
      </c>
      <c r="F340" s="1">
        <f>IFERROR(__xludf.DUMMYFUNCTION("""COMPUTED_VALUE"""),672927.0)</f>
        <v>672927</v>
      </c>
      <c r="G340" s="2" t="s">
        <v>14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IFERROR(__xludf.DUMMYFUNCTION("""COMPUTED_VALUE"""),123.0)</f>
        <v>123</v>
      </c>
      <c r="C341" s="1">
        <f>IFERROR(__xludf.DUMMYFUNCTION("""COMPUTED_VALUE"""),123.88)</f>
        <v>123.88</v>
      </c>
      <c r="D341" s="1">
        <f>IFERROR(__xludf.DUMMYFUNCTION("""COMPUTED_VALUE"""),120.12)</f>
        <v>120.12</v>
      </c>
      <c r="E341" s="1">
        <f>IFERROR(__xludf.DUMMYFUNCTION("""COMPUTED_VALUE"""),123.68)</f>
        <v>123.68</v>
      </c>
      <c r="F341" s="1">
        <f>IFERROR(__xludf.DUMMYFUNCTION("""COMPUTED_VALUE"""),1131953.0)</f>
        <v>1131953</v>
      </c>
      <c r="G341" s="2" t="s">
        <v>14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IFERROR(__xludf.DUMMYFUNCTION("""COMPUTED_VALUE"""),124.2)</f>
        <v>124.2</v>
      </c>
      <c r="C342" s="1">
        <f>IFERROR(__xludf.DUMMYFUNCTION("""COMPUTED_VALUE"""),125.26)</f>
        <v>125.26</v>
      </c>
      <c r="D342" s="1">
        <f>IFERROR(__xludf.DUMMYFUNCTION("""COMPUTED_VALUE"""),122.74)</f>
        <v>122.74</v>
      </c>
      <c r="E342" s="1">
        <f>IFERROR(__xludf.DUMMYFUNCTION("""COMPUTED_VALUE"""),123.24)</f>
        <v>123.24</v>
      </c>
      <c r="F342" s="1">
        <f>IFERROR(__xludf.DUMMYFUNCTION("""COMPUTED_VALUE"""),1130096.0)</f>
        <v>1130096</v>
      </c>
      <c r="G342" s="2" t="s">
        <v>14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IFERROR(__xludf.DUMMYFUNCTION("""COMPUTED_VALUE"""),123.44)</f>
        <v>123.44</v>
      </c>
      <c r="C343" s="1">
        <f>IFERROR(__xludf.DUMMYFUNCTION("""COMPUTED_VALUE"""),124.68)</f>
        <v>124.68</v>
      </c>
      <c r="D343" s="1">
        <f>IFERROR(__xludf.DUMMYFUNCTION("""COMPUTED_VALUE"""),121.76)</f>
        <v>121.76</v>
      </c>
      <c r="E343" s="1">
        <f>IFERROR(__xludf.DUMMYFUNCTION("""COMPUTED_VALUE"""),124.22)</f>
        <v>124.22</v>
      </c>
      <c r="F343" s="1">
        <f>IFERROR(__xludf.DUMMYFUNCTION("""COMPUTED_VALUE"""),1152809.0)</f>
        <v>1152809</v>
      </c>
      <c r="G343" s="2" t="s">
        <v>14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IFERROR(__xludf.DUMMYFUNCTION("""COMPUTED_VALUE"""),125.12)</f>
        <v>125.12</v>
      </c>
      <c r="C344" s="1">
        <f>IFERROR(__xludf.DUMMYFUNCTION("""COMPUTED_VALUE"""),125.6)</f>
        <v>125.6</v>
      </c>
      <c r="D344" s="1">
        <f>IFERROR(__xludf.DUMMYFUNCTION("""COMPUTED_VALUE"""),122.5)</f>
        <v>122.5</v>
      </c>
      <c r="E344" s="1">
        <f>IFERROR(__xludf.DUMMYFUNCTION("""COMPUTED_VALUE"""),124.96)</f>
        <v>124.96</v>
      </c>
      <c r="F344" s="1">
        <f>IFERROR(__xludf.DUMMYFUNCTION("""COMPUTED_VALUE"""),1516414.0)</f>
        <v>1516414</v>
      </c>
      <c r="G344" s="2" t="s">
        <v>14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IFERROR(__xludf.DUMMYFUNCTION("""COMPUTED_VALUE"""),125.52)</f>
        <v>125.52</v>
      </c>
      <c r="C345" s="1">
        <f>IFERROR(__xludf.DUMMYFUNCTION("""COMPUTED_VALUE"""),127.78)</f>
        <v>127.78</v>
      </c>
      <c r="D345" s="1">
        <f>IFERROR(__xludf.DUMMYFUNCTION("""COMPUTED_VALUE"""),124.84)</f>
        <v>124.84</v>
      </c>
      <c r="E345" s="1">
        <f>IFERROR(__xludf.DUMMYFUNCTION("""COMPUTED_VALUE"""),127.16)</f>
        <v>127.16</v>
      </c>
      <c r="F345" s="1">
        <f>IFERROR(__xludf.DUMMYFUNCTION("""COMPUTED_VALUE"""),1370677.0)</f>
        <v>1370677</v>
      </c>
      <c r="G345" s="2" t="s">
        <v>14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IFERROR(__xludf.DUMMYFUNCTION("""COMPUTED_VALUE"""),127.64)</f>
        <v>127.64</v>
      </c>
      <c r="C346" s="1">
        <f>IFERROR(__xludf.DUMMYFUNCTION("""COMPUTED_VALUE"""),128.38)</f>
        <v>128.38</v>
      </c>
      <c r="D346" s="1">
        <f>IFERROR(__xludf.DUMMYFUNCTION("""COMPUTED_VALUE"""),126.46)</f>
        <v>126.46</v>
      </c>
      <c r="E346" s="1">
        <f>IFERROR(__xludf.DUMMYFUNCTION("""COMPUTED_VALUE"""),127.12)</f>
        <v>127.12</v>
      </c>
      <c r="F346" s="1">
        <f>IFERROR(__xludf.DUMMYFUNCTION("""COMPUTED_VALUE"""),1062007.0)</f>
        <v>1062007</v>
      </c>
      <c r="G346" s="2" t="s">
        <v>14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IFERROR(__xludf.DUMMYFUNCTION("""COMPUTED_VALUE"""),127.56)</f>
        <v>127.56</v>
      </c>
      <c r="C347" s="1">
        <f>IFERROR(__xludf.DUMMYFUNCTION("""COMPUTED_VALUE"""),127.9)</f>
        <v>127.9</v>
      </c>
      <c r="D347" s="1">
        <f>IFERROR(__xludf.DUMMYFUNCTION("""COMPUTED_VALUE"""),125.48)</f>
        <v>125.48</v>
      </c>
      <c r="E347" s="1">
        <f>IFERROR(__xludf.DUMMYFUNCTION("""COMPUTED_VALUE"""),126.4)</f>
        <v>126.4</v>
      </c>
      <c r="F347" s="1">
        <f>IFERROR(__xludf.DUMMYFUNCTION("""COMPUTED_VALUE"""),1169650.0)</f>
        <v>1169650</v>
      </c>
      <c r="G347" s="2" t="s">
        <v>14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IFERROR(__xludf.DUMMYFUNCTION("""COMPUTED_VALUE"""),127.26)</f>
        <v>127.26</v>
      </c>
      <c r="C348" s="1">
        <f>IFERROR(__xludf.DUMMYFUNCTION("""COMPUTED_VALUE"""),128.32)</f>
        <v>128.32</v>
      </c>
      <c r="D348" s="1">
        <f>IFERROR(__xludf.DUMMYFUNCTION("""COMPUTED_VALUE"""),126.66)</f>
        <v>126.66</v>
      </c>
      <c r="E348" s="1">
        <f>IFERROR(__xludf.DUMMYFUNCTION("""COMPUTED_VALUE"""),126.68)</f>
        <v>126.68</v>
      </c>
      <c r="F348" s="1">
        <f>IFERROR(__xludf.DUMMYFUNCTION("""COMPUTED_VALUE"""),1584916.0)</f>
        <v>1584916</v>
      </c>
      <c r="G348" s="2" t="s">
        <v>14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IFERROR(__xludf.DUMMYFUNCTION("""COMPUTED_VALUE"""),120.0)</f>
        <v>120</v>
      </c>
      <c r="C349" s="1">
        <f>IFERROR(__xludf.DUMMYFUNCTION("""COMPUTED_VALUE"""),120.6)</f>
        <v>120.6</v>
      </c>
      <c r="D349" s="1">
        <f>IFERROR(__xludf.DUMMYFUNCTION("""COMPUTED_VALUE"""),118.82)</f>
        <v>118.82</v>
      </c>
      <c r="E349" s="1">
        <f>IFERROR(__xludf.DUMMYFUNCTION("""COMPUTED_VALUE"""),119.64)</f>
        <v>119.64</v>
      </c>
      <c r="F349" s="1">
        <f>IFERROR(__xludf.DUMMYFUNCTION("""COMPUTED_VALUE"""),2018445.0)</f>
        <v>2018445</v>
      </c>
      <c r="G349" s="2" t="s">
        <v>14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IFERROR(__xludf.DUMMYFUNCTION("""COMPUTED_VALUE"""),119.98)</f>
        <v>119.98</v>
      </c>
      <c r="C350" s="1">
        <f>IFERROR(__xludf.DUMMYFUNCTION("""COMPUTED_VALUE"""),120.34)</f>
        <v>120.34</v>
      </c>
      <c r="D350" s="1">
        <f>IFERROR(__xludf.DUMMYFUNCTION("""COMPUTED_VALUE"""),119.1)</f>
        <v>119.1</v>
      </c>
      <c r="E350" s="1">
        <f>IFERROR(__xludf.DUMMYFUNCTION("""COMPUTED_VALUE"""),119.24)</f>
        <v>119.24</v>
      </c>
      <c r="F350" s="1">
        <f>IFERROR(__xludf.DUMMYFUNCTION("""COMPUTED_VALUE"""),1116810.0)</f>
        <v>1116810</v>
      </c>
      <c r="G350" s="2" t="s">
        <v>14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IFERROR(__xludf.DUMMYFUNCTION("""COMPUTED_VALUE"""),119.66)</f>
        <v>119.66</v>
      </c>
      <c r="C351" s="1">
        <f>IFERROR(__xludf.DUMMYFUNCTION("""COMPUTED_VALUE"""),119.98)</f>
        <v>119.98</v>
      </c>
      <c r="D351" s="1">
        <f>IFERROR(__xludf.DUMMYFUNCTION("""COMPUTED_VALUE"""),118.6)</f>
        <v>118.6</v>
      </c>
      <c r="E351" s="1">
        <f>IFERROR(__xludf.DUMMYFUNCTION("""COMPUTED_VALUE"""),118.74)</f>
        <v>118.74</v>
      </c>
      <c r="F351" s="1">
        <f>IFERROR(__xludf.DUMMYFUNCTION("""COMPUTED_VALUE"""),766701.0)</f>
        <v>766701</v>
      </c>
      <c r="G351" s="2" t="s">
        <v>14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IFERROR(__xludf.DUMMYFUNCTION("""COMPUTED_VALUE"""),118.12)</f>
        <v>118.12</v>
      </c>
      <c r="C352" s="1">
        <f>IFERROR(__xludf.DUMMYFUNCTION("""COMPUTED_VALUE"""),118.18)</f>
        <v>118.18</v>
      </c>
      <c r="D352" s="1">
        <f>IFERROR(__xludf.DUMMYFUNCTION("""COMPUTED_VALUE"""),116.02)</f>
        <v>116.02</v>
      </c>
      <c r="E352" s="1">
        <f>IFERROR(__xludf.DUMMYFUNCTION("""COMPUTED_VALUE"""),116.6)</f>
        <v>116.6</v>
      </c>
      <c r="F352" s="1">
        <f>IFERROR(__xludf.DUMMYFUNCTION("""COMPUTED_VALUE"""),1474334.0)</f>
        <v>1474334</v>
      </c>
      <c r="G352" s="2" t="s">
        <v>14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IFERROR(__xludf.DUMMYFUNCTION("""COMPUTED_VALUE"""),116.18)</f>
        <v>116.18</v>
      </c>
      <c r="C353" s="1">
        <f>IFERROR(__xludf.DUMMYFUNCTION("""COMPUTED_VALUE"""),116.86)</f>
        <v>116.86</v>
      </c>
      <c r="D353" s="1">
        <f>IFERROR(__xludf.DUMMYFUNCTION("""COMPUTED_VALUE"""),115.08)</f>
        <v>115.08</v>
      </c>
      <c r="E353" s="1">
        <f>IFERROR(__xludf.DUMMYFUNCTION("""COMPUTED_VALUE"""),116.52)</f>
        <v>116.52</v>
      </c>
      <c r="F353" s="1">
        <f>IFERROR(__xludf.DUMMYFUNCTION("""COMPUTED_VALUE"""),949819.0)</f>
        <v>949819</v>
      </c>
      <c r="G353" s="2" t="s">
        <v>14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IFERROR(__xludf.DUMMYFUNCTION("""COMPUTED_VALUE"""),118.24)</f>
        <v>118.24</v>
      </c>
      <c r="C354" s="1">
        <f>IFERROR(__xludf.DUMMYFUNCTION("""COMPUTED_VALUE"""),120.68)</f>
        <v>120.68</v>
      </c>
      <c r="D354" s="1">
        <f>IFERROR(__xludf.DUMMYFUNCTION("""COMPUTED_VALUE"""),118.16)</f>
        <v>118.16</v>
      </c>
      <c r="E354" s="1">
        <f>IFERROR(__xludf.DUMMYFUNCTION("""COMPUTED_VALUE"""),120.3)</f>
        <v>120.3</v>
      </c>
      <c r="F354" s="1">
        <f>IFERROR(__xludf.DUMMYFUNCTION("""COMPUTED_VALUE"""),1347543.0)</f>
        <v>1347543</v>
      </c>
      <c r="G354" s="2" t="s">
        <v>14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IFERROR(__xludf.DUMMYFUNCTION("""COMPUTED_VALUE"""),120.8)</f>
        <v>120.8</v>
      </c>
      <c r="C355" s="1">
        <f>IFERROR(__xludf.DUMMYFUNCTION("""COMPUTED_VALUE"""),121.98)</f>
        <v>121.98</v>
      </c>
      <c r="D355" s="1">
        <f>IFERROR(__xludf.DUMMYFUNCTION("""COMPUTED_VALUE"""),120.04)</f>
        <v>120.04</v>
      </c>
      <c r="E355" s="1">
        <f>IFERROR(__xludf.DUMMYFUNCTION("""COMPUTED_VALUE"""),120.2)</f>
        <v>120.2</v>
      </c>
      <c r="F355" s="1">
        <f>IFERROR(__xludf.DUMMYFUNCTION("""COMPUTED_VALUE"""),1164541.0)</f>
        <v>1164541</v>
      </c>
      <c r="G355" s="2" t="s">
        <v>14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IFERROR(__xludf.DUMMYFUNCTION("""COMPUTED_VALUE"""),120.2)</f>
        <v>120.2</v>
      </c>
      <c r="C356" s="1">
        <f>IFERROR(__xludf.DUMMYFUNCTION("""COMPUTED_VALUE"""),121.0)</f>
        <v>121</v>
      </c>
      <c r="D356" s="1">
        <f>IFERROR(__xludf.DUMMYFUNCTION("""COMPUTED_VALUE"""),119.64)</f>
        <v>119.64</v>
      </c>
      <c r="E356" s="1">
        <f>IFERROR(__xludf.DUMMYFUNCTION("""COMPUTED_VALUE"""),120.52)</f>
        <v>120.52</v>
      </c>
      <c r="F356" s="1">
        <f>IFERROR(__xludf.DUMMYFUNCTION("""COMPUTED_VALUE"""),506576.0)</f>
        <v>506576</v>
      </c>
      <c r="G356" s="2" t="s">
        <v>14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IFERROR(__xludf.DUMMYFUNCTION("""COMPUTED_VALUE"""),120.4)</f>
        <v>120.4</v>
      </c>
      <c r="C357" s="1">
        <f>IFERROR(__xludf.DUMMYFUNCTION("""COMPUTED_VALUE"""),121.16)</f>
        <v>121.16</v>
      </c>
      <c r="D357" s="1">
        <f>IFERROR(__xludf.DUMMYFUNCTION("""COMPUTED_VALUE"""),119.72)</f>
        <v>119.72</v>
      </c>
      <c r="E357" s="1">
        <f>IFERROR(__xludf.DUMMYFUNCTION("""COMPUTED_VALUE"""),121.16)</f>
        <v>121.16</v>
      </c>
      <c r="F357" s="1">
        <f>IFERROR(__xludf.DUMMYFUNCTION("""COMPUTED_VALUE"""),722437.0)</f>
        <v>722437</v>
      </c>
      <c r="G357" s="2" t="s">
        <v>14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IFERROR(__xludf.DUMMYFUNCTION("""COMPUTED_VALUE"""),120.52)</f>
        <v>120.52</v>
      </c>
      <c r="C358" s="1">
        <f>IFERROR(__xludf.DUMMYFUNCTION("""COMPUTED_VALUE"""),120.52)</f>
        <v>120.52</v>
      </c>
      <c r="D358" s="1">
        <f>IFERROR(__xludf.DUMMYFUNCTION("""COMPUTED_VALUE"""),118.82)</f>
        <v>118.82</v>
      </c>
      <c r="E358" s="1">
        <f>IFERROR(__xludf.DUMMYFUNCTION("""COMPUTED_VALUE"""),119.32)</f>
        <v>119.32</v>
      </c>
      <c r="F358" s="1">
        <f>IFERROR(__xludf.DUMMYFUNCTION("""COMPUTED_VALUE"""),926901.0)</f>
        <v>926901</v>
      </c>
      <c r="G358" s="2" t="s">
        <v>14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IFERROR(__xludf.DUMMYFUNCTION("""COMPUTED_VALUE"""),119.72)</f>
        <v>119.72</v>
      </c>
      <c r="C359" s="1">
        <f>IFERROR(__xludf.DUMMYFUNCTION("""COMPUTED_VALUE"""),119.8)</f>
        <v>119.8</v>
      </c>
      <c r="D359" s="1">
        <f>IFERROR(__xludf.DUMMYFUNCTION("""COMPUTED_VALUE"""),117.52)</f>
        <v>117.52</v>
      </c>
      <c r="E359" s="1">
        <f>IFERROR(__xludf.DUMMYFUNCTION("""COMPUTED_VALUE"""),118.14)</f>
        <v>118.14</v>
      </c>
      <c r="F359" s="1">
        <f>IFERROR(__xludf.DUMMYFUNCTION("""COMPUTED_VALUE"""),635347.0)</f>
        <v>635347</v>
      </c>
      <c r="G359" s="2" t="s">
        <v>14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IFERROR(__xludf.DUMMYFUNCTION("""COMPUTED_VALUE"""),118.82)</f>
        <v>118.82</v>
      </c>
      <c r="C360" s="1">
        <f>IFERROR(__xludf.DUMMYFUNCTION("""COMPUTED_VALUE"""),120.1)</f>
        <v>120.1</v>
      </c>
      <c r="D360" s="1">
        <f>IFERROR(__xludf.DUMMYFUNCTION("""COMPUTED_VALUE"""),118.04)</f>
        <v>118.04</v>
      </c>
      <c r="E360" s="1">
        <f>IFERROR(__xludf.DUMMYFUNCTION("""COMPUTED_VALUE"""),119.76)</f>
        <v>119.76</v>
      </c>
      <c r="F360" s="1">
        <f>IFERROR(__xludf.DUMMYFUNCTION("""COMPUTED_VALUE"""),711021.0)</f>
        <v>711021</v>
      </c>
      <c r="G360" s="2" t="s">
        <v>14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IFERROR(__xludf.DUMMYFUNCTION("""COMPUTED_VALUE"""),120.4)</f>
        <v>120.4</v>
      </c>
      <c r="C361" s="1">
        <f>IFERROR(__xludf.DUMMYFUNCTION("""COMPUTED_VALUE"""),121.06)</f>
        <v>121.06</v>
      </c>
      <c r="D361" s="1">
        <f>IFERROR(__xludf.DUMMYFUNCTION("""COMPUTED_VALUE"""),119.72)</f>
        <v>119.72</v>
      </c>
      <c r="E361" s="1">
        <f>IFERROR(__xludf.DUMMYFUNCTION("""COMPUTED_VALUE"""),120.24)</f>
        <v>120.24</v>
      </c>
      <c r="F361" s="1">
        <f>IFERROR(__xludf.DUMMYFUNCTION("""COMPUTED_VALUE"""),343415.0)</f>
        <v>343415</v>
      </c>
      <c r="G361" s="2" t="s">
        <v>14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IFERROR(__xludf.DUMMYFUNCTION("""COMPUTED_VALUE"""),120.02)</f>
        <v>120.02</v>
      </c>
      <c r="C362" s="1">
        <f>IFERROR(__xludf.DUMMYFUNCTION("""COMPUTED_VALUE"""),121.04)</f>
        <v>121.04</v>
      </c>
      <c r="D362" s="1">
        <f>IFERROR(__xludf.DUMMYFUNCTION("""COMPUTED_VALUE"""),118.72)</f>
        <v>118.72</v>
      </c>
      <c r="E362" s="1">
        <f>IFERROR(__xludf.DUMMYFUNCTION("""COMPUTED_VALUE"""),118.8)</f>
        <v>118.8</v>
      </c>
      <c r="F362" s="1">
        <f>IFERROR(__xludf.DUMMYFUNCTION("""COMPUTED_VALUE"""),930901.0)</f>
        <v>930901</v>
      </c>
      <c r="G362" s="2" t="s">
        <v>14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IFERROR(__xludf.DUMMYFUNCTION("""COMPUTED_VALUE"""),118.2)</f>
        <v>118.2</v>
      </c>
      <c r="C363" s="1">
        <f>IFERROR(__xludf.DUMMYFUNCTION("""COMPUTED_VALUE"""),118.58)</f>
        <v>118.58</v>
      </c>
      <c r="D363" s="1">
        <f>IFERROR(__xludf.DUMMYFUNCTION("""COMPUTED_VALUE"""),116.02)</f>
        <v>116.02</v>
      </c>
      <c r="E363" s="1">
        <f>IFERROR(__xludf.DUMMYFUNCTION("""COMPUTED_VALUE"""),116.58)</f>
        <v>116.58</v>
      </c>
      <c r="F363" s="1">
        <f>IFERROR(__xludf.DUMMYFUNCTION("""COMPUTED_VALUE"""),3211416.0)</f>
        <v>3211416</v>
      </c>
      <c r="G363" s="2" t="s">
        <v>14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IFERROR(__xludf.DUMMYFUNCTION("""COMPUTED_VALUE"""),117.0)</f>
        <v>117</v>
      </c>
      <c r="C364" s="1">
        <f>IFERROR(__xludf.DUMMYFUNCTION("""COMPUTED_VALUE"""),118.8)</f>
        <v>118.8</v>
      </c>
      <c r="D364" s="1">
        <f>IFERROR(__xludf.DUMMYFUNCTION("""COMPUTED_VALUE"""),116.7)</f>
        <v>116.7</v>
      </c>
      <c r="E364" s="1">
        <f>IFERROR(__xludf.DUMMYFUNCTION("""COMPUTED_VALUE"""),118.08)</f>
        <v>118.08</v>
      </c>
      <c r="F364" s="1">
        <f>IFERROR(__xludf.DUMMYFUNCTION("""COMPUTED_VALUE"""),895801.0)</f>
        <v>895801</v>
      </c>
      <c r="G364" s="2" t="s">
        <v>14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IFERROR(__xludf.DUMMYFUNCTION("""COMPUTED_VALUE"""),119.08)</f>
        <v>119.08</v>
      </c>
      <c r="C365" s="1">
        <f>IFERROR(__xludf.DUMMYFUNCTION("""COMPUTED_VALUE"""),121.86)</f>
        <v>121.86</v>
      </c>
      <c r="D365" s="1">
        <f>IFERROR(__xludf.DUMMYFUNCTION("""COMPUTED_VALUE"""),118.94)</f>
        <v>118.94</v>
      </c>
      <c r="E365" s="1">
        <f>IFERROR(__xludf.DUMMYFUNCTION("""COMPUTED_VALUE"""),121.54)</f>
        <v>121.54</v>
      </c>
      <c r="F365" s="1">
        <f>IFERROR(__xludf.DUMMYFUNCTION("""COMPUTED_VALUE"""),1443204.0)</f>
        <v>1443204</v>
      </c>
      <c r="G365" s="2" t="s">
        <v>14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IFERROR(__xludf.DUMMYFUNCTION("""COMPUTED_VALUE"""),121.72)</f>
        <v>121.72</v>
      </c>
      <c r="C366" s="1">
        <f>IFERROR(__xludf.DUMMYFUNCTION("""COMPUTED_VALUE"""),122.54)</f>
        <v>122.54</v>
      </c>
      <c r="D366" s="1">
        <f>IFERROR(__xludf.DUMMYFUNCTION("""COMPUTED_VALUE"""),121.34)</f>
        <v>121.34</v>
      </c>
      <c r="E366" s="1">
        <f>IFERROR(__xludf.DUMMYFUNCTION("""COMPUTED_VALUE"""),122.54)</f>
        <v>122.54</v>
      </c>
      <c r="F366" s="1">
        <f>IFERROR(__xludf.DUMMYFUNCTION("""COMPUTED_VALUE"""),808944.0)</f>
        <v>808944</v>
      </c>
      <c r="G366" s="2" t="s">
        <v>14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IFERROR(__xludf.DUMMYFUNCTION("""COMPUTED_VALUE"""),122.38)</f>
        <v>122.38</v>
      </c>
      <c r="C367" s="1">
        <f>IFERROR(__xludf.DUMMYFUNCTION("""COMPUTED_VALUE"""),124.2)</f>
        <v>124.2</v>
      </c>
      <c r="D367" s="1">
        <f>IFERROR(__xludf.DUMMYFUNCTION("""COMPUTED_VALUE"""),122.04)</f>
        <v>122.04</v>
      </c>
      <c r="E367" s="1">
        <f>IFERROR(__xludf.DUMMYFUNCTION("""COMPUTED_VALUE"""),124.04)</f>
        <v>124.04</v>
      </c>
      <c r="F367" s="1">
        <f>IFERROR(__xludf.DUMMYFUNCTION("""COMPUTED_VALUE"""),1082189.0)</f>
        <v>1082189</v>
      </c>
      <c r="G367" s="2" t="s">
        <v>14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IFERROR(__xludf.DUMMYFUNCTION("""COMPUTED_VALUE"""),123.9)</f>
        <v>123.9</v>
      </c>
      <c r="C368" s="1">
        <f>IFERROR(__xludf.DUMMYFUNCTION("""COMPUTED_VALUE"""),124.66)</f>
        <v>124.66</v>
      </c>
      <c r="D368" s="1">
        <f>IFERROR(__xludf.DUMMYFUNCTION("""COMPUTED_VALUE"""),122.32)</f>
        <v>122.32</v>
      </c>
      <c r="E368" s="1">
        <f>IFERROR(__xludf.DUMMYFUNCTION("""COMPUTED_VALUE"""),124.34)</f>
        <v>124.34</v>
      </c>
      <c r="F368" s="1">
        <f>IFERROR(__xludf.DUMMYFUNCTION("""COMPUTED_VALUE"""),724179.0)</f>
        <v>724179</v>
      </c>
      <c r="G368" s="2" t="s">
        <v>14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IFERROR(__xludf.DUMMYFUNCTION("""COMPUTED_VALUE"""),124.7)</f>
        <v>124.7</v>
      </c>
      <c r="C369" s="1">
        <f>IFERROR(__xludf.DUMMYFUNCTION("""COMPUTED_VALUE"""),127.22)</f>
        <v>127.22</v>
      </c>
      <c r="D369" s="1">
        <f>IFERROR(__xludf.DUMMYFUNCTION("""COMPUTED_VALUE"""),124.2)</f>
        <v>124.2</v>
      </c>
      <c r="E369" s="1">
        <f>IFERROR(__xludf.DUMMYFUNCTION("""COMPUTED_VALUE"""),125.76)</f>
        <v>125.76</v>
      </c>
      <c r="F369" s="1">
        <f>IFERROR(__xludf.DUMMYFUNCTION("""COMPUTED_VALUE"""),1620140.0)</f>
        <v>1620140</v>
      </c>
      <c r="G369" s="2" t="s">
        <v>14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IFERROR(__xludf.DUMMYFUNCTION("""COMPUTED_VALUE"""),126.02)</f>
        <v>126.02</v>
      </c>
      <c r="C370" s="1">
        <f>IFERROR(__xludf.DUMMYFUNCTION("""COMPUTED_VALUE"""),126.74)</f>
        <v>126.74</v>
      </c>
      <c r="D370" s="1">
        <f>IFERROR(__xludf.DUMMYFUNCTION("""COMPUTED_VALUE"""),125.56)</f>
        <v>125.56</v>
      </c>
      <c r="E370" s="1">
        <f>IFERROR(__xludf.DUMMYFUNCTION("""COMPUTED_VALUE"""),126.28)</f>
        <v>126.28</v>
      </c>
      <c r="F370" s="1">
        <f>IFERROR(__xludf.DUMMYFUNCTION("""COMPUTED_VALUE"""),567826.0)</f>
        <v>567826</v>
      </c>
      <c r="G370" s="2" t="s">
        <v>14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IFERROR(__xludf.DUMMYFUNCTION("""COMPUTED_VALUE"""),127.92)</f>
        <v>127.92</v>
      </c>
      <c r="C371" s="1">
        <f>IFERROR(__xludf.DUMMYFUNCTION("""COMPUTED_VALUE"""),129.92)</f>
        <v>129.92</v>
      </c>
      <c r="D371" s="1">
        <f>IFERROR(__xludf.DUMMYFUNCTION("""COMPUTED_VALUE"""),127.74)</f>
        <v>127.74</v>
      </c>
      <c r="E371" s="1">
        <f>IFERROR(__xludf.DUMMYFUNCTION("""COMPUTED_VALUE"""),129.5)</f>
        <v>129.5</v>
      </c>
      <c r="F371" s="1">
        <f>IFERROR(__xludf.DUMMYFUNCTION("""COMPUTED_VALUE"""),1685207.0)</f>
        <v>1685207</v>
      </c>
      <c r="G371" s="2" t="s">
        <v>14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IFERROR(__xludf.DUMMYFUNCTION("""COMPUTED_VALUE"""),130.0)</f>
        <v>130</v>
      </c>
      <c r="C372" s="1">
        <f>IFERROR(__xludf.DUMMYFUNCTION("""COMPUTED_VALUE"""),131.36)</f>
        <v>131.36</v>
      </c>
      <c r="D372" s="1">
        <f>IFERROR(__xludf.DUMMYFUNCTION("""COMPUTED_VALUE"""),129.66)</f>
        <v>129.66</v>
      </c>
      <c r="E372" s="1">
        <f>IFERROR(__xludf.DUMMYFUNCTION("""COMPUTED_VALUE"""),130.84)</f>
        <v>130.84</v>
      </c>
      <c r="F372" s="1">
        <f>IFERROR(__xludf.DUMMYFUNCTION("""COMPUTED_VALUE"""),1195355.0)</f>
        <v>1195355</v>
      </c>
      <c r="G372" s="2" t="s">
        <v>14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IFERROR(__xludf.DUMMYFUNCTION("""COMPUTED_VALUE"""),131.34)</f>
        <v>131.34</v>
      </c>
      <c r="C373" s="1">
        <f>IFERROR(__xludf.DUMMYFUNCTION("""COMPUTED_VALUE"""),133.42)</f>
        <v>133.42</v>
      </c>
      <c r="D373" s="1">
        <f>IFERROR(__xludf.DUMMYFUNCTION("""COMPUTED_VALUE"""),131.16)</f>
        <v>131.16</v>
      </c>
      <c r="E373" s="1">
        <f>IFERROR(__xludf.DUMMYFUNCTION("""COMPUTED_VALUE"""),131.74)</f>
        <v>131.74</v>
      </c>
      <c r="F373" s="1">
        <f>IFERROR(__xludf.DUMMYFUNCTION("""COMPUTED_VALUE"""),1202237.0)</f>
        <v>1202237</v>
      </c>
      <c r="G373" s="2" t="s">
        <v>14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IFERROR(__xludf.DUMMYFUNCTION("""COMPUTED_VALUE"""),131.1)</f>
        <v>131.1</v>
      </c>
      <c r="C374" s="1">
        <f>IFERROR(__xludf.DUMMYFUNCTION("""COMPUTED_VALUE"""),131.38)</f>
        <v>131.38</v>
      </c>
      <c r="D374" s="1">
        <f>IFERROR(__xludf.DUMMYFUNCTION("""COMPUTED_VALUE"""),128.9)</f>
        <v>128.9</v>
      </c>
      <c r="E374" s="1">
        <f>IFERROR(__xludf.DUMMYFUNCTION("""COMPUTED_VALUE"""),130.08)</f>
        <v>130.08</v>
      </c>
      <c r="F374" s="1">
        <f>IFERROR(__xludf.DUMMYFUNCTION("""COMPUTED_VALUE"""),1111094.0)</f>
        <v>1111094</v>
      </c>
      <c r="G374" s="2" t="s">
        <v>14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IFERROR(__xludf.DUMMYFUNCTION("""COMPUTED_VALUE"""),130.46)</f>
        <v>130.46</v>
      </c>
      <c r="C375" s="1">
        <f>IFERROR(__xludf.DUMMYFUNCTION("""COMPUTED_VALUE"""),130.48)</f>
        <v>130.48</v>
      </c>
      <c r="D375" s="1">
        <f>IFERROR(__xludf.DUMMYFUNCTION("""COMPUTED_VALUE"""),128.6)</f>
        <v>128.6</v>
      </c>
      <c r="E375" s="1">
        <f>IFERROR(__xludf.DUMMYFUNCTION("""COMPUTED_VALUE"""),129.02)</f>
        <v>129.02</v>
      </c>
      <c r="F375" s="1">
        <f>IFERROR(__xludf.DUMMYFUNCTION("""COMPUTED_VALUE"""),2109800.0)</f>
        <v>2109800</v>
      </c>
      <c r="G375" s="2" t="s">
        <v>14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IFERROR(__xludf.DUMMYFUNCTION("""COMPUTED_VALUE"""),128.3)</f>
        <v>128.3</v>
      </c>
      <c r="C376" s="1">
        <f>IFERROR(__xludf.DUMMYFUNCTION("""COMPUTED_VALUE"""),129.22)</f>
        <v>129.22</v>
      </c>
      <c r="D376" s="1">
        <f>IFERROR(__xludf.DUMMYFUNCTION("""COMPUTED_VALUE"""),127.34)</f>
        <v>127.34</v>
      </c>
      <c r="E376" s="1">
        <f>IFERROR(__xludf.DUMMYFUNCTION("""COMPUTED_VALUE"""),127.98)</f>
        <v>127.98</v>
      </c>
      <c r="F376" s="1">
        <f>IFERROR(__xludf.DUMMYFUNCTION("""COMPUTED_VALUE"""),633341.0)</f>
        <v>633341</v>
      </c>
      <c r="G376" s="2" t="s">
        <v>14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IFERROR(__xludf.DUMMYFUNCTION("""COMPUTED_VALUE"""),127.5)</f>
        <v>127.5</v>
      </c>
      <c r="C377" s="1">
        <f>IFERROR(__xludf.DUMMYFUNCTION("""COMPUTED_VALUE"""),127.5)</f>
        <v>127.5</v>
      </c>
      <c r="D377" s="1">
        <f>IFERROR(__xludf.DUMMYFUNCTION("""COMPUTED_VALUE"""),125.14)</f>
        <v>125.14</v>
      </c>
      <c r="E377" s="1">
        <f>IFERROR(__xludf.DUMMYFUNCTION("""COMPUTED_VALUE"""),126.1)</f>
        <v>126.1</v>
      </c>
      <c r="F377" s="1">
        <f>IFERROR(__xludf.DUMMYFUNCTION("""COMPUTED_VALUE"""),1084320.0)</f>
        <v>1084320</v>
      </c>
      <c r="G377" s="2" t="s">
        <v>14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IFERROR(__xludf.DUMMYFUNCTION("""COMPUTED_VALUE"""),126.58)</f>
        <v>126.58</v>
      </c>
      <c r="C378" s="1">
        <f>IFERROR(__xludf.DUMMYFUNCTION("""COMPUTED_VALUE"""),127.92)</f>
        <v>127.92</v>
      </c>
      <c r="D378" s="1">
        <f>IFERROR(__xludf.DUMMYFUNCTION("""COMPUTED_VALUE"""),124.62)</f>
        <v>124.62</v>
      </c>
      <c r="E378" s="1">
        <f>IFERROR(__xludf.DUMMYFUNCTION("""COMPUTED_VALUE"""),125.02)</f>
        <v>125.02</v>
      </c>
      <c r="F378" s="1">
        <f>IFERROR(__xludf.DUMMYFUNCTION("""COMPUTED_VALUE"""),1190808.0)</f>
        <v>1190808</v>
      </c>
      <c r="G378" s="2" t="s">
        <v>14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IFERROR(__xludf.DUMMYFUNCTION("""COMPUTED_VALUE"""),123.84)</f>
        <v>123.84</v>
      </c>
      <c r="C379" s="1">
        <f>IFERROR(__xludf.DUMMYFUNCTION("""COMPUTED_VALUE"""),123.86)</f>
        <v>123.86</v>
      </c>
      <c r="D379" s="1">
        <f>IFERROR(__xludf.DUMMYFUNCTION("""COMPUTED_VALUE"""),121.9)</f>
        <v>121.9</v>
      </c>
      <c r="E379" s="1">
        <f>IFERROR(__xludf.DUMMYFUNCTION("""COMPUTED_VALUE"""),123.0)</f>
        <v>123</v>
      </c>
      <c r="F379" s="1">
        <f>IFERROR(__xludf.DUMMYFUNCTION("""COMPUTED_VALUE"""),1097968.0)</f>
        <v>1097968</v>
      </c>
      <c r="G379" s="2" t="s">
        <v>14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IFERROR(__xludf.DUMMYFUNCTION("""COMPUTED_VALUE"""),123.04)</f>
        <v>123.04</v>
      </c>
      <c r="C380" s="1">
        <f>IFERROR(__xludf.DUMMYFUNCTION("""COMPUTED_VALUE"""),123.2)</f>
        <v>123.2</v>
      </c>
      <c r="D380" s="1">
        <f>IFERROR(__xludf.DUMMYFUNCTION("""COMPUTED_VALUE"""),121.48)</f>
        <v>121.48</v>
      </c>
      <c r="E380" s="1">
        <f>IFERROR(__xludf.DUMMYFUNCTION("""COMPUTED_VALUE"""),122.36)</f>
        <v>122.36</v>
      </c>
      <c r="F380" s="1">
        <f>IFERROR(__xludf.DUMMYFUNCTION("""COMPUTED_VALUE"""),767830.0)</f>
        <v>767830</v>
      </c>
      <c r="G380" s="2" t="s">
        <v>14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IFERROR(__xludf.DUMMYFUNCTION("""COMPUTED_VALUE"""),122.52)</f>
        <v>122.52</v>
      </c>
      <c r="C381" s="1">
        <f>IFERROR(__xludf.DUMMYFUNCTION("""COMPUTED_VALUE"""),123.34)</f>
        <v>123.34</v>
      </c>
      <c r="D381" s="1">
        <f>IFERROR(__xludf.DUMMYFUNCTION("""COMPUTED_VALUE"""),121.08)</f>
        <v>121.08</v>
      </c>
      <c r="E381" s="1">
        <f>IFERROR(__xludf.DUMMYFUNCTION("""COMPUTED_VALUE"""),122.74)</f>
        <v>122.74</v>
      </c>
      <c r="F381" s="1">
        <f>IFERROR(__xludf.DUMMYFUNCTION("""COMPUTED_VALUE"""),700035.0)</f>
        <v>700035</v>
      </c>
      <c r="G381" s="2" t="s">
        <v>14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IFERROR(__xludf.DUMMYFUNCTION("""COMPUTED_VALUE"""),123.0)</f>
        <v>123</v>
      </c>
      <c r="C382" s="1">
        <f>IFERROR(__xludf.DUMMYFUNCTION("""COMPUTED_VALUE"""),123.28)</f>
        <v>123.28</v>
      </c>
      <c r="D382" s="1">
        <f>IFERROR(__xludf.DUMMYFUNCTION("""COMPUTED_VALUE"""),119.04)</f>
        <v>119.04</v>
      </c>
      <c r="E382" s="1">
        <f>IFERROR(__xludf.DUMMYFUNCTION("""COMPUTED_VALUE"""),120.7)</f>
        <v>120.7</v>
      </c>
      <c r="F382" s="1">
        <f>IFERROR(__xludf.DUMMYFUNCTION("""COMPUTED_VALUE"""),1617634.0)</f>
        <v>1617634</v>
      </c>
      <c r="G382" s="2" t="s">
        <v>14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IFERROR(__xludf.DUMMYFUNCTION("""COMPUTED_VALUE"""),120.98)</f>
        <v>120.98</v>
      </c>
      <c r="C383" s="1">
        <f>IFERROR(__xludf.DUMMYFUNCTION("""COMPUTED_VALUE"""),122.42)</f>
        <v>122.42</v>
      </c>
      <c r="D383" s="1">
        <f>IFERROR(__xludf.DUMMYFUNCTION("""COMPUTED_VALUE"""),120.8)</f>
        <v>120.8</v>
      </c>
      <c r="E383" s="1">
        <f>IFERROR(__xludf.DUMMYFUNCTION("""COMPUTED_VALUE"""),121.72)</f>
        <v>121.72</v>
      </c>
      <c r="F383" s="1">
        <f>IFERROR(__xludf.DUMMYFUNCTION("""COMPUTED_VALUE"""),828957.0)</f>
        <v>828957</v>
      </c>
      <c r="G383" s="2" t="s">
        <v>14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IFERROR(__xludf.DUMMYFUNCTION("""COMPUTED_VALUE"""),122.72)</f>
        <v>122.72</v>
      </c>
      <c r="C384" s="1">
        <f>IFERROR(__xludf.DUMMYFUNCTION("""COMPUTED_VALUE"""),123.94)</f>
        <v>123.94</v>
      </c>
      <c r="D384" s="1">
        <f>IFERROR(__xludf.DUMMYFUNCTION("""COMPUTED_VALUE"""),122.22)</f>
        <v>122.22</v>
      </c>
      <c r="E384" s="1">
        <f>IFERROR(__xludf.DUMMYFUNCTION("""COMPUTED_VALUE"""),122.42)</f>
        <v>122.42</v>
      </c>
      <c r="F384" s="1">
        <f>IFERROR(__xludf.DUMMYFUNCTION("""COMPUTED_VALUE"""),788476.0)</f>
        <v>788476</v>
      </c>
      <c r="G384" s="2" t="s">
        <v>14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IFERROR(__xludf.DUMMYFUNCTION("""COMPUTED_VALUE"""),123.28)</f>
        <v>123.28</v>
      </c>
      <c r="C385" s="1">
        <f>IFERROR(__xludf.DUMMYFUNCTION("""COMPUTED_VALUE"""),123.6)</f>
        <v>123.6</v>
      </c>
      <c r="D385" s="1">
        <f>IFERROR(__xludf.DUMMYFUNCTION("""COMPUTED_VALUE"""),122.74)</f>
        <v>122.74</v>
      </c>
      <c r="E385" s="1">
        <f>IFERROR(__xludf.DUMMYFUNCTION("""COMPUTED_VALUE"""),122.94)</f>
        <v>122.94</v>
      </c>
      <c r="F385" s="1">
        <f>IFERROR(__xludf.DUMMYFUNCTION("""COMPUTED_VALUE"""),811331.0)</f>
        <v>811331</v>
      </c>
      <c r="G385" s="2" t="s">
        <v>14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IFERROR(__xludf.DUMMYFUNCTION("""COMPUTED_VALUE"""),123.94)</f>
        <v>123.94</v>
      </c>
      <c r="C386" s="1">
        <f>IFERROR(__xludf.DUMMYFUNCTION("""COMPUTED_VALUE"""),124.82)</f>
        <v>124.82</v>
      </c>
      <c r="D386" s="1">
        <f>IFERROR(__xludf.DUMMYFUNCTION("""COMPUTED_VALUE"""),123.48)</f>
        <v>123.48</v>
      </c>
      <c r="E386" s="1">
        <f>IFERROR(__xludf.DUMMYFUNCTION("""COMPUTED_VALUE"""),123.78)</f>
        <v>123.78</v>
      </c>
      <c r="F386" s="1">
        <f>IFERROR(__xludf.DUMMYFUNCTION("""COMPUTED_VALUE"""),655582.0)</f>
        <v>655582</v>
      </c>
      <c r="G386" s="2" t="s">
        <v>14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IFERROR(__xludf.DUMMYFUNCTION("""COMPUTED_VALUE"""),124.0)</f>
        <v>124</v>
      </c>
      <c r="C387" s="1">
        <f>IFERROR(__xludf.DUMMYFUNCTION("""COMPUTED_VALUE"""),124.16)</f>
        <v>124.16</v>
      </c>
      <c r="D387" s="1">
        <f>IFERROR(__xludf.DUMMYFUNCTION("""COMPUTED_VALUE"""),122.64)</f>
        <v>122.64</v>
      </c>
      <c r="E387" s="1">
        <f>IFERROR(__xludf.DUMMYFUNCTION("""COMPUTED_VALUE"""),123.52)</f>
        <v>123.52</v>
      </c>
      <c r="F387" s="1">
        <f>IFERROR(__xludf.DUMMYFUNCTION("""COMPUTED_VALUE"""),358922.0)</f>
        <v>358922</v>
      </c>
      <c r="G387" s="2" t="s">
        <v>14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IFERROR(__xludf.DUMMYFUNCTION("""COMPUTED_VALUE"""),122.9)</f>
        <v>122.9</v>
      </c>
      <c r="C388" s="1">
        <f>IFERROR(__xludf.DUMMYFUNCTION("""COMPUTED_VALUE"""),123.66)</f>
        <v>123.66</v>
      </c>
      <c r="D388" s="1">
        <f>IFERROR(__xludf.DUMMYFUNCTION("""COMPUTED_VALUE"""),122.08)</f>
        <v>122.08</v>
      </c>
      <c r="E388" s="1">
        <f>IFERROR(__xludf.DUMMYFUNCTION("""COMPUTED_VALUE"""),123.62)</f>
        <v>123.62</v>
      </c>
      <c r="F388" s="1">
        <f>IFERROR(__xludf.DUMMYFUNCTION("""COMPUTED_VALUE"""),659389.0)</f>
        <v>659389</v>
      </c>
      <c r="G388" s="2" t="s">
        <v>14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IFERROR(__xludf.DUMMYFUNCTION("""COMPUTED_VALUE"""),123.08)</f>
        <v>123.08</v>
      </c>
      <c r="C389" s="1">
        <f>IFERROR(__xludf.DUMMYFUNCTION("""COMPUTED_VALUE"""),123.1)</f>
        <v>123.1</v>
      </c>
      <c r="D389" s="1">
        <f>IFERROR(__xludf.DUMMYFUNCTION("""COMPUTED_VALUE"""),120.46)</f>
        <v>120.46</v>
      </c>
      <c r="E389" s="1">
        <f>IFERROR(__xludf.DUMMYFUNCTION("""COMPUTED_VALUE"""),121.36)</f>
        <v>121.36</v>
      </c>
      <c r="F389" s="1">
        <f>IFERROR(__xludf.DUMMYFUNCTION("""COMPUTED_VALUE"""),1023389.0)</f>
        <v>1023389</v>
      </c>
      <c r="G389" s="2" t="s">
        <v>14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IFERROR(__xludf.DUMMYFUNCTION("""COMPUTED_VALUE"""),121.0)</f>
        <v>121</v>
      </c>
      <c r="C390" s="1">
        <f>IFERROR(__xludf.DUMMYFUNCTION("""COMPUTED_VALUE"""),122.4)</f>
        <v>122.4</v>
      </c>
      <c r="D390" s="1">
        <f>IFERROR(__xludf.DUMMYFUNCTION("""COMPUTED_VALUE"""),120.06)</f>
        <v>120.06</v>
      </c>
      <c r="E390" s="1">
        <f>IFERROR(__xludf.DUMMYFUNCTION("""COMPUTED_VALUE"""),122.36)</f>
        <v>122.36</v>
      </c>
      <c r="F390" s="1">
        <f>IFERROR(__xludf.DUMMYFUNCTION("""COMPUTED_VALUE"""),621622.0)</f>
        <v>621622</v>
      </c>
      <c r="G390" s="2" t="s">
        <v>14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IFERROR(__xludf.DUMMYFUNCTION("""COMPUTED_VALUE"""),122.16)</f>
        <v>122.16</v>
      </c>
      <c r="C391" s="1">
        <f>IFERROR(__xludf.DUMMYFUNCTION("""COMPUTED_VALUE"""),122.5)</f>
        <v>122.5</v>
      </c>
      <c r="D391" s="1">
        <f>IFERROR(__xludf.DUMMYFUNCTION("""COMPUTED_VALUE"""),120.38)</f>
        <v>120.38</v>
      </c>
      <c r="E391" s="1">
        <f>IFERROR(__xludf.DUMMYFUNCTION("""COMPUTED_VALUE"""),122.04)</f>
        <v>122.04</v>
      </c>
      <c r="F391" s="1">
        <f>IFERROR(__xludf.DUMMYFUNCTION("""COMPUTED_VALUE"""),478414.0)</f>
        <v>478414</v>
      </c>
      <c r="G391" s="2" t="s">
        <v>14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IFERROR(__xludf.DUMMYFUNCTION("""COMPUTED_VALUE"""),122.52)</f>
        <v>122.52</v>
      </c>
      <c r="C392" s="1">
        <f>IFERROR(__xludf.DUMMYFUNCTION("""COMPUTED_VALUE"""),123.06)</f>
        <v>123.06</v>
      </c>
      <c r="D392" s="1">
        <f>IFERROR(__xludf.DUMMYFUNCTION("""COMPUTED_VALUE"""),120.26)</f>
        <v>120.26</v>
      </c>
      <c r="E392" s="1">
        <f>IFERROR(__xludf.DUMMYFUNCTION("""COMPUTED_VALUE"""),122.74)</f>
        <v>122.74</v>
      </c>
      <c r="F392" s="1">
        <f>IFERROR(__xludf.DUMMYFUNCTION("""COMPUTED_VALUE"""),751299.0)</f>
        <v>751299</v>
      </c>
      <c r="G392" s="2" t="s">
        <v>14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IFERROR(__xludf.DUMMYFUNCTION("""COMPUTED_VALUE"""),123.3)</f>
        <v>123.3</v>
      </c>
      <c r="C393" s="1">
        <f>IFERROR(__xludf.DUMMYFUNCTION("""COMPUTED_VALUE"""),123.56)</f>
        <v>123.56</v>
      </c>
      <c r="D393" s="1">
        <f>IFERROR(__xludf.DUMMYFUNCTION("""COMPUTED_VALUE"""),122.34)</f>
        <v>122.34</v>
      </c>
      <c r="E393" s="1">
        <f>IFERROR(__xludf.DUMMYFUNCTION("""COMPUTED_VALUE"""),123.56)</f>
        <v>123.56</v>
      </c>
      <c r="F393" s="1">
        <f>IFERROR(__xludf.DUMMYFUNCTION("""COMPUTED_VALUE"""),693224.0)</f>
        <v>693224</v>
      </c>
      <c r="G393" s="2" t="s">
        <v>14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IFERROR(__xludf.DUMMYFUNCTION("""COMPUTED_VALUE"""),123.4)</f>
        <v>123.4</v>
      </c>
      <c r="C394" s="1">
        <f>IFERROR(__xludf.DUMMYFUNCTION("""COMPUTED_VALUE"""),124.88)</f>
        <v>124.88</v>
      </c>
      <c r="D394" s="1">
        <f>IFERROR(__xludf.DUMMYFUNCTION("""COMPUTED_VALUE"""),122.54)</f>
        <v>122.54</v>
      </c>
      <c r="E394" s="1">
        <f>IFERROR(__xludf.DUMMYFUNCTION("""COMPUTED_VALUE"""),123.9)</f>
        <v>123.9</v>
      </c>
      <c r="F394" s="1">
        <f>IFERROR(__xludf.DUMMYFUNCTION("""COMPUTED_VALUE"""),837240.0)</f>
        <v>837240</v>
      </c>
      <c r="G394" s="2" t="s">
        <v>14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IFERROR(__xludf.DUMMYFUNCTION("""COMPUTED_VALUE"""),123.64)</f>
        <v>123.64</v>
      </c>
      <c r="C395" s="1">
        <f>IFERROR(__xludf.DUMMYFUNCTION("""COMPUTED_VALUE"""),123.9)</f>
        <v>123.9</v>
      </c>
      <c r="D395" s="1">
        <f>IFERROR(__xludf.DUMMYFUNCTION("""COMPUTED_VALUE"""),122.0)</f>
        <v>122</v>
      </c>
      <c r="E395" s="1">
        <f>IFERROR(__xludf.DUMMYFUNCTION("""COMPUTED_VALUE"""),123.16)</f>
        <v>123.16</v>
      </c>
      <c r="F395" s="1">
        <f>IFERROR(__xludf.DUMMYFUNCTION("""COMPUTED_VALUE"""),721229.0)</f>
        <v>721229</v>
      </c>
      <c r="G395" s="2" t="s">
        <v>14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IFERROR(__xludf.DUMMYFUNCTION("""COMPUTED_VALUE"""),122.44)</f>
        <v>122.44</v>
      </c>
      <c r="C396" s="1">
        <f>IFERROR(__xludf.DUMMYFUNCTION("""COMPUTED_VALUE"""),122.82)</f>
        <v>122.82</v>
      </c>
      <c r="D396" s="1">
        <f>IFERROR(__xludf.DUMMYFUNCTION("""COMPUTED_VALUE"""),121.52)</f>
        <v>121.52</v>
      </c>
      <c r="E396" s="1">
        <f>IFERROR(__xludf.DUMMYFUNCTION("""COMPUTED_VALUE"""),122.06)</f>
        <v>122.06</v>
      </c>
      <c r="F396" s="1">
        <f>IFERROR(__xludf.DUMMYFUNCTION("""COMPUTED_VALUE"""),656897.0)</f>
        <v>656897</v>
      </c>
      <c r="G396" s="2" t="s">
        <v>14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IFERROR(__xludf.DUMMYFUNCTION("""COMPUTED_VALUE"""),122.14)</f>
        <v>122.14</v>
      </c>
      <c r="C397" s="1">
        <f>IFERROR(__xludf.DUMMYFUNCTION("""COMPUTED_VALUE"""),123.24)</f>
        <v>123.24</v>
      </c>
      <c r="D397" s="1">
        <f>IFERROR(__xludf.DUMMYFUNCTION("""COMPUTED_VALUE"""),121.82)</f>
        <v>121.82</v>
      </c>
      <c r="E397" s="1">
        <f>IFERROR(__xludf.DUMMYFUNCTION("""COMPUTED_VALUE"""),122.72)</f>
        <v>122.72</v>
      </c>
      <c r="F397" s="1">
        <f>IFERROR(__xludf.DUMMYFUNCTION("""COMPUTED_VALUE"""),621094.0)</f>
        <v>621094</v>
      </c>
      <c r="G397" s="2" t="s">
        <v>14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IFERROR(__xludf.DUMMYFUNCTION("""COMPUTED_VALUE"""),123.02)</f>
        <v>123.02</v>
      </c>
      <c r="C398" s="1">
        <f>IFERROR(__xludf.DUMMYFUNCTION("""COMPUTED_VALUE"""),123.9)</f>
        <v>123.9</v>
      </c>
      <c r="D398" s="1">
        <f>IFERROR(__xludf.DUMMYFUNCTION("""COMPUTED_VALUE"""),122.2)</f>
        <v>122.2</v>
      </c>
      <c r="E398" s="1">
        <f>IFERROR(__xludf.DUMMYFUNCTION("""COMPUTED_VALUE"""),123.76)</f>
        <v>123.76</v>
      </c>
      <c r="F398" s="1">
        <f>IFERROR(__xludf.DUMMYFUNCTION("""COMPUTED_VALUE"""),596337.0)</f>
        <v>596337</v>
      </c>
      <c r="G398" s="2" t="s">
        <v>14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IFERROR(__xludf.DUMMYFUNCTION("""COMPUTED_VALUE"""),123.5)</f>
        <v>123.5</v>
      </c>
      <c r="C399" s="1">
        <f>IFERROR(__xludf.DUMMYFUNCTION("""COMPUTED_VALUE"""),124.86)</f>
        <v>124.86</v>
      </c>
      <c r="D399" s="1">
        <f>IFERROR(__xludf.DUMMYFUNCTION("""COMPUTED_VALUE"""),123.28)</f>
        <v>123.28</v>
      </c>
      <c r="E399" s="1">
        <f>IFERROR(__xludf.DUMMYFUNCTION("""COMPUTED_VALUE"""),124.06)</f>
        <v>124.06</v>
      </c>
      <c r="F399" s="1">
        <f>IFERROR(__xludf.DUMMYFUNCTION("""COMPUTED_VALUE"""),674981.0)</f>
        <v>674981</v>
      </c>
      <c r="G399" s="2" t="s">
        <v>14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IFERROR(__xludf.DUMMYFUNCTION("""COMPUTED_VALUE"""),123.9)</f>
        <v>123.9</v>
      </c>
      <c r="C400" s="1">
        <f>IFERROR(__xludf.DUMMYFUNCTION("""COMPUTED_VALUE"""),125.1)</f>
        <v>125.1</v>
      </c>
      <c r="D400" s="1">
        <f>IFERROR(__xludf.DUMMYFUNCTION("""COMPUTED_VALUE"""),123.36)</f>
        <v>123.36</v>
      </c>
      <c r="E400" s="1">
        <f>IFERROR(__xludf.DUMMYFUNCTION("""COMPUTED_VALUE"""),124.92)</f>
        <v>124.92</v>
      </c>
      <c r="F400" s="1">
        <f>IFERROR(__xludf.DUMMYFUNCTION("""COMPUTED_VALUE"""),712217.0)</f>
        <v>712217</v>
      </c>
      <c r="G400" s="2" t="s">
        <v>14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IFERROR(__xludf.DUMMYFUNCTION("""COMPUTED_VALUE"""),124.62)</f>
        <v>124.62</v>
      </c>
      <c r="C401" s="1">
        <f>IFERROR(__xludf.DUMMYFUNCTION("""COMPUTED_VALUE"""),125.7)</f>
        <v>125.7</v>
      </c>
      <c r="D401" s="1">
        <f>IFERROR(__xludf.DUMMYFUNCTION("""COMPUTED_VALUE"""),124.16)</f>
        <v>124.16</v>
      </c>
      <c r="E401" s="1">
        <f>IFERROR(__xludf.DUMMYFUNCTION("""COMPUTED_VALUE"""),125.6)</f>
        <v>125.6</v>
      </c>
      <c r="F401" s="1">
        <f>IFERROR(__xludf.DUMMYFUNCTION("""COMPUTED_VALUE"""),568850.0)</f>
        <v>568850</v>
      </c>
      <c r="G401" s="2" t="s">
        <v>14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IFERROR(__xludf.DUMMYFUNCTION("""COMPUTED_VALUE"""),126.08)</f>
        <v>126.08</v>
      </c>
      <c r="C402" s="1">
        <f>IFERROR(__xludf.DUMMYFUNCTION("""COMPUTED_VALUE"""),126.24)</f>
        <v>126.24</v>
      </c>
      <c r="D402" s="1">
        <f>IFERROR(__xludf.DUMMYFUNCTION("""COMPUTED_VALUE"""),125.28)</f>
        <v>125.28</v>
      </c>
      <c r="E402" s="1">
        <f>IFERROR(__xludf.DUMMYFUNCTION("""COMPUTED_VALUE"""),125.28)</f>
        <v>125.28</v>
      </c>
      <c r="F402" s="1">
        <f>IFERROR(__xludf.DUMMYFUNCTION("""COMPUTED_VALUE"""),432137.0)</f>
        <v>432137</v>
      </c>
      <c r="G402" s="2" t="s">
        <v>14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IFERROR(__xludf.DUMMYFUNCTION("""COMPUTED_VALUE"""),125.6)</f>
        <v>125.6</v>
      </c>
      <c r="C403" s="1">
        <f>IFERROR(__xludf.DUMMYFUNCTION("""COMPUTED_VALUE"""),126.14)</f>
        <v>126.14</v>
      </c>
      <c r="D403" s="1">
        <f>IFERROR(__xludf.DUMMYFUNCTION("""COMPUTED_VALUE"""),121.7)</f>
        <v>121.7</v>
      </c>
      <c r="E403" s="1">
        <f>IFERROR(__xludf.DUMMYFUNCTION("""COMPUTED_VALUE"""),123.5)</f>
        <v>123.5</v>
      </c>
      <c r="F403" s="1">
        <f>IFERROR(__xludf.DUMMYFUNCTION("""COMPUTED_VALUE"""),1288234.0)</f>
        <v>1288234</v>
      </c>
      <c r="G403" s="2" t="s">
        <v>14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IFERROR(__xludf.DUMMYFUNCTION("""COMPUTED_VALUE"""),121.5)</f>
        <v>121.5</v>
      </c>
      <c r="C404" s="1">
        <f>IFERROR(__xludf.DUMMYFUNCTION("""COMPUTED_VALUE"""),121.58)</f>
        <v>121.58</v>
      </c>
      <c r="D404" s="1">
        <f>IFERROR(__xludf.DUMMYFUNCTION("""COMPUTED_VALUE"""),118.1)</f>
        <v>118.1</v>
      </c>
      <c r="E404" s="1">
        <f>IFERROR(__xludf.DUMMYFUNCTION("""COMPUTED_VALUE"""),120.96)</f>
        <v>120.96</v>
      </c>
      <c r="F404" s="1">
        <f>IFERROR(__xludf.DUMMYFUNCTION("""COMPUTED_VALUE"""),3727790.0)</f>
        <v>3727790</v>
      </c>
      <c r="G404" s="2" t="s">
        <v>14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IFERROR(__xludf.DUMMYFUNCTION("""COMPUTED_VALUE"""),120.0)</f>
        <v>120</v>
      </c>
      <c r="C405" s="1">
        <f>IFERROR(__xludf.DUMMYFUNCTION("""COMPUTED_VALUE"""),121.44)</f>
        <v>121.44</v>
      </c>
      <c r="D405" s="1">
        <f>IFERROR(__xludf.DUMMYFUNCTION("""COMPUTED_VALUE"""),118.76)</f>
        <v>118.76</v>
      </c>
      <c r="E405" s="1">
        <f>IFERROR(__xludf.DUMMYFUNCTION("""COMPUTED_VALUE"""),121.28)</f>
        <v>121.28</v>
      </c>
      <c r="F405" s="1">
        <f>IFERROR(__xludf.DUMMYFUNCTION("""COMPUTED_VALUE"""),1272264.0)</f>
        <v>1272264</v>
      </c>
      <c r="G405" s="2" t="s">
        <v>14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IFERROR(__xludf.DUMMYFUNCTION("GOOGLEFINANCE(""ZAL"",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IFERROR(__xludf.DUMMYFUNCTION("""COMPUTED_VALUE"""),71.5)</f>
        <v>71.5</v>
      </c>
      <c r="C2" s="1">
        <f>IFERROR(__xludf.DUMMYFUNCTION("""COMPUTED_VALUE"""),73.74)</f>
        <v>73.74</v>
      </c>
      <c r="D2" s="1">
        <f>IFERROR(__xludf.DUMMYFUNCTION("""COMPUTED_VALUE"""),71.32)</f>
        <v>71.32</v>
      </c>
      <c r="E2" s="1">
        <f>IFERROR(__xludf.DUMMYFUNCTION("""COMPUTED_VALUE"""),73.02)</f>
        <v>73.02</v>
      </c>
      <c r="F2" s="1">
        <f>IFERROR(__xludf.DUMMYFUNCTION("""COMPUTED_VALUE"""),610658.0)</f>
        <v>610658</v>
      </c>
      <c r="G2" s="2" t="s">
        <v>15</v>
      </c>
    </row>
    <row r="3">
      <c r="A3" s="3">
        <f>IFERROR(__xludf.DUMMYFUNCTION("""COMPUTED_VALUE"""),44565.72916666667)</f>
        <v>44565.72917</v>
      </c>
      <c r="B3" s="1">
        <f>IFERROR(__xludf.DUMMYFUNCTION("""COMPUTED_VALUE"""),72.92)</f>
        <v>72.92</v>
      </c>
      <c r="C3" s="1">
        <f>IFERROR(__xludf.DUMMYFUNCTION("""COMPUTED_VALUE"""),73.28)</f>
        <v>73.28</v>
      </c>
      <c r="D3" s="1">
        <f>IFERROR(__xludf.DUMMYFUNCTION("""COMPUTED_VALUE"""),69.52)</f>
        <v>69.52</v>
      </c>
      <c r="E3" s="1">
        <f>IFERROR(__xludf.DUMMYFUNCTION("""COMPUTED_VALUE"""),69.96)</f>
        <v>69.96</v>
      </c>
      <c r="F3" s="1">
        <f>IFERROR(__xludf.DUMMYFUNCTION("""COMPUTED_VALUE"""),788343.0)</f>
        <v>788343</v>
      </c>
      <c r="G3" s="2" t="s">
        <v>15</v>
      </c>
    </row>
    <row r="4">
      <c r="A4" s="3">
        <f>IFERROR(__xludf.DUMMYFUNCTION("""COMPUTED_VALUE"""),44566.72916666667)</f>
        <v>44566.72917</v>
      </c>
      <c r="B4" s="1">
        <f>IFERROR(__xludf.DUMMYFUNCTION("""COMPUTED_VALUE"""),69.96)</f>
        <v>69.96</v>
      </c>
      <c r="C4" s="1">
        <f>IFERROR(__xludf.DUMMYFUNCTION("""COMPUTED_VALUE"""),70.32)</f>
        <v>70.32</v>
      </c>
      <c r="D4" s="1">
        <f>IFERROR(__xludf.DUMMYFUNCTION("""COMPUTED_VALUE"""),69.16)</f>
        <v>69.16</v>
      </c>
      <c r="E4" s="1">
        <f>IFERROR(__xludf.DUMMYFUNCTION("""COMPUTED_VALUE"""),70.14)</f>
        <v>70.14</v>
      </c>
      <c r="F4" s="1">
        <f>IFERROR(__xludf.DUMMYFUNCTION("""COMPUTED_VALUE"""),757397.0)</f>
        <v>757397</v>
      </c>
      <c r="G4" s="2" t="s">
        <v>15</v>
      </c>
    </row>
    <row r="5">
      <c r="A5" s="3">
        <f>IFERROR(__xludf.DUMMYFUNCTION("""COMPUTED_VALUE"""),44567.72916666667)</f>
        <v>44567.72917</v>
      </c>
      <c r="B5" s="1">
        <f>IFERROR(__xludf.DUMMYFUNCTION("""COMPUTED_VALUE"""),68.78)</f>
        <v>68.78</v>
      </c>
      <c r="C5" s="1">
        <f>IFERROR(__xludf.DUMMYFUNCTION("""COMPUTED_VALUE"""),69.7)</f>
        <v>69.7</v>
      </c>
      <c r="D5" s="1">
        <f>IFERROR(__xludf.DUMMYFUNCTION("""COMPUTED_VALUE"""),65.72)</f>
        <v>65.72</v>
      </c>
      <c r="E5" s="1">
        <f>IFERROR(__xludf.DUMMYFUNCTION("""COMPUTED_VALUE"""),67.18)</f>
        <v>67.18</v>
      </c>
      <c r="F5" s="1">
        <f>IFERROR(__xludf.DUMMYFUNCTION("""COMPUTED_VALUE"""),1304436.0)</f>
        <v>1304436</v>
      </c>
      <c r="G5" s="2" t="s">
        <v>15</v>
      </c>
    </row>
    <row r="6">
      <c r="A6" s="3">
        <f>IFERROR(__xludf.DUMMYFUNCTION("""COMPUTED_VALUE"""),44568.72916666667)</f>
        <v>44568.72917</v>
      </c>
      <c r="B6" s="1">
        <f>IFERROR(__xludf.DUMMYFUNCTION("""COMPUTED_VALUE"""),67.58)</f>
        <v>67.58</v>
      </c>
      <c r="C6" s="1">
        <f>IFERROR(__xludf.DUMMYFUNCTION("""COMPUTED_VALUE"""),68.0)</f>
        <v>68</v>
      </c>
      <c r="D6" s="1">
        <f>IFERROR(__xludf.DUMMYFUNCTION("""COMPUTED_VALUE"""),66.68)</f>
        <v>66.68</v>
      </c>
      <c r="E6" s="1">
        <f>IFERROR(__xludf.DUMMYFUNCTION("""COMPUTED_VALUE"""),66.96)</f>
        <v>66.96</v>
      </c>
      <c r="F6" s="1">
        <f>IFERROR(__xludf.DUMMYFUNCTION("""COMPUTED_VALUE"""),1011102.0)</f>
        <v>1011102</v>
      </c>
      <c r="G6" s="2" t="s">
        <v>15</v>
      </c>
    </row>
    <row r="7">
      <c r="A7" s="3">
        <f>IFERROR(__xludf.DUMMYFUNCTION("""COMPUTED_VALUE"""),44571.72916666667)</f>
        <v>44571.72917</v>
      </c>
      <c r="B7" s="1">
        <f>IFERROR(__xludf.DUMMYFUNCTION("""COMPUTED_VALUE"""),67.0)</f>
        <v>67</v>
      </c>
      <c r="C7" s="1">
        <f>IFERROR(__xludf.DUMMYFUNCTION("""COMPUTED_VALUE"""),67.18)</f>
        <v>67.18</v>
      </c>
      <c r="D7" s="1">
        <f>IFERROR(__xludf.DUMMYFUNCTION("""COMPUTED_VALUE"""),64.4)</f>
        <v>64.4</v>
      </c>
      <c r="E7" s="1">
        <f>IFERROR(__xludf.DUMMYFUNCTION("""COMPUTED_VALUE"""),64.5)</f>
        <v>64.5</v>
      </c>
      <c r="F7" s="1">
        <f>IFERROR(__xludf.DUMMYFUNCTION("""COMPUTED_VALUE"""),848378.0)</f>
        <v>848378</v>
      </c>
      <c r="G7" s="2" t="s">
        <v>15</v>
      </c>
    </row>
    <row r="8">
      <c r="A8" s="3">
        <f>IFERROR(__xludf.DUMMYFUNCTION("""COMPUTED_VALUE"""),44572.72916666667)</f>
        <v>44572.72917</v>
      </c>
      <c r="B8" s="1">
        <f>IFERROR(__xludf.DUMMYFUNCTION("""COMPUTED_VALUE"""),65.66)</f>
        <v>65.66</v>
      </c>
      <c r="C8" s="1">
        <f>IFERROR(__xludf.DUMMYFUNCTION("""COMPUTED_VALUE"""),66.88)</f>
        <v>66.88</v>
      </c>
      <c r="D8" s="1">
        <f>IFERROR(__xludf.DUMMYFUNCTION("""COMPUTED_VALUE"""),65.32)</f>
        <v>65.32</v>
      </c>
      <c r="E8" s="1">
        <f>IFERROR(__xludf.DUMMYFUNCTION("""COMPUTED_VALUE"""),66.12)</f>
        <v>66.12</v>
      </c>
      <c r="F8" s="1">
        <f>IFERROR(__xludf.DUMMYFUNCTION("""COMPUTED_VALUE"""),747730.0)</f>
        <v>747730</v>
      </c>
      <c r="G8" s="2" t="s">
        <v>15</v>
      </c>
    </row>
    <row r="9">
      <c r="A9" s="3">
        <f>IFERROR(__xludf.DUMMYFUNCTION("""COMPUTED_VALUE"""),44573.72916666667)</f>
        <v>44573.72917</v>
      </c>
      <c r="B9" s="1">
        <f>IFERROR(__xludf.DUMMYFUNCTION("""COMPUTED_VALUE"""),66.72)</f>
        <v>66.72</v>
      </c>
      <c r="C9" s="1">
        <f>IFERROR(__xludf.DUMMYFUNCTION("""COMPUTED_VALUE"""),67.34)</f>
        <v>67.34</v>
      </c>
      <c r="D9" s="1">
        <f>IFERROR(__xludf.DUMMYFUNCTION("""COMPUTED_VALUE"""),65.52)</f>
        <v>65.52</v>
      </c>
      <c r="E9" s="1">
        <f>IFERROR(__xludf.DUMMYFUNCTION("""COMPUTED_VALUE"""),65.62)</f>
        <v>65.62</v>
      </c>
      <c r="F9" s="1">
        <f>IFERROR(__xludf.DUMMYFUNCTION("""COMPUTED_VALUE"""),836976.0)</f>
        <v>836976</v>
      </c>
      <c r="G9" s="2" t="s">
        <v>15</v>
      </c>
    </row>
    <row r="10">
      <c r="A10" s="3">
        <f>IFERROR(__xludf.DUMMYFUNCTION("""COMPUTED_VALUE"""),44574.72916666667)</f>
        <v>44574.72917</v>
      </c>
      <c r="B10" s="1">
        <f>IFERROR(__xludf.DUMMYFUNCTION("""COMPUTED_VALUE"""),65.52)</f>
        <v>65.52</v>
      </c>
      <c r="C10" s="1">
        <f>IFERROR(__xludf.DUMMYFUNCTION("""COMPUTED_VALUE"""),68.56)</f>
        <v>68.56</v>
      </c>
      <c r="D10" s="1">
        <f>IFERROR(__xludf.DUMMYFUNCTION("""COMPUTED_VALUE"""),64.98)</f>
        <v>64.98</v>
      </c>
      <c r="E10" s="1">
        <f>IFERROR(__xludf.DUMMYFUNCTION("""COMPUTED_VALUE"""),67.24)</f>
        <v>67.24</v>
      </c>
      <c r="F10" s="1">
        <f>IFERROR(__xludf.DUMMYFUNCTION("""COMPUTED_VALUE"""),960997.0)</f>
        <v>960997</v>
      </c>
      <c r="G10" s="2" t="s">
        <v>15</v>
      </c>
    </row>
    <row r="11">
      <c r="A11" s="3">
        <f>IFERROR(__xludf.DUMMYFUNCTION("""COMPUTED_VALUE"""),44575.72916666667)</f>
        <v>44575.72917</v>
      </c>
      <c r="B11" s="1">
        <f>IFERROR(__xludf.DUMMYFUNCTION("""COMPUTED_VALUE"""),66.38)</f>
        <v>66.38</v>
      </c>
      <c r="C11" s="1">
        <f>IFERROR(__xludf.DUMMYFUNCTION("""COMPUTED_VALUE"""),66.4)</f>
        <v>66.4</v>
      </c>
      <c r="D11" s="1">
        <f>IFERROR(__xludf.DUMMYFUNCTION("""COMPUTED_VALUE"""),65.24)</f>
        <v>65.24</v>
      </c>
      <c r="E11" s="1">
        <f>IFERROR(__xludf.DUMMYFUNCTION("""COMPUTED_VALUE"""),65.56)</f>
        <v>65.56</v>
      </c>
      <c r="F11" s="1">
        <f>IFERROR(__xludf.DUMMYFUNCTION("""COMPUTED_VALUE"""),818290.0)</f>
        <v>818290</v>
      </c>
      <c r="G11" s="2" t="s">
        <v>15</v>
      </c>
    </row>
    <row r="12">
      <c r="A12" s="3">
        <f>IFERROR(__xludf.DUMMYFUNCTION("""COMPUTED_VALUE"""),44578.72916666667)</f>
        <v>44578.72917</v>
      </c>
      <c r="B12" s="1">
        <f>IFERROR(__xludf.DUMMYFUNCTION("""COMPUTED_VALUE"""),65.72)</f>
        <v>65.72</v>
      </c>
      <c r="C12" s="1">
        <f>IFERROR(__xludf.DUMMYFUNCTION("""COMPUTED_VALUE"""),66.7)</f>
        <v>66.7</v>
      </c>
      <c r="D12" s="1">
        <f>IFERROR(__xludf.DUMMYFUNCTION("""COMPUTED_VALUE"""),65.46)</f>
        <v>65.46</v>
      </c>
      <c r="E12" s="1">
        <f>IFERROR(__xludf.DUMMYFUNCTION("""COMPUTED_VALUE"""),66.08)</f>
        <v>66.08</v>
      </c>
      <c r="F12" s="1">
        <f>IFERROR(__xludf.DUMMYFUNCTION("""COMPUTED_VALUE"""),472367.0)</f>
        <v>472367</v>
      </c>
      <c r="G12" s="2" t="s">
        <v>15</v>
      </c>
    </row>
    <row r="13">
      <c r="A13" s="3">
        <f>IFERROR(__xludf.DUMMYFUNCTION("""COMPUTED_VALUE"""),44579.72916666667)</f>
        <v>44579.72917</v>
      </c>
      <c r="B13" s="1">
        <f>IFERROR(__xludf.DUMMYFUNCTION("""COMPUTED_VALUE"""),66.5)</f>
        <v>66.5</v>
      </c>
      <c r="C13" s="1">
        <f>IFERROR(__xludf.DUMMYFUNCTION("""COMPUTED_VALUE"""),67.54)</f>
        <v>67.54</v>
      </c>
      <c r="D13" s="1">
        <f>IFERROR(__xludf.DUMMYFUNCTION("""COMPUTED_VALUE"""),65.08)</f>
        <v>65.08</v>
      </c>
      <c r="E13" s="1">
        <f>IFERROR(__xludf.DUMMYFUNCTION("""COMPUTED_VALUE"""),66.22)</f>
        <v>66.22</v>
      </c>
      <c r="F13" s="1">
        <f>IFERROR(__xludf.DUMMYFUNCTION("""COMPUTED_VALUE"""),847990.0)</f>
        <v>847990</v>
      </c>
      <c r="G13" s="2" t="s">
        <v>15</v>
      </c>
    </row>
    <row r="14">
      <c r="A14" s="3">
        <f>IFERROR(__xludf.DUMMYFUNCTION("""COMPUTED_VALUE"""),44580.72916666667)</f>
        <v>44580.72917</v>
      </c>
      <c r="B14" s="1">
        <f>IFERROR(__xludf.DUMMYFUNCTION("""COMPUTED_VALUE"""),65.6)</f>
        <v>65.6</v>
      </c>
      <c r="C14" s="1">
        <f>IFERROR(__xludf.DUMMYFUNCTION("""COMPUTED_VALUE"""),69.2)</f>
        <v>69.2</v>
      </c>
      <c r="D14" s="1">
        <f>IFERROR(__xludf.DUMMYFUNCTION("""COMPUTED_VALUE"""),65.6)</f>
        <v>65.6</v>
      </c>
      <c r="E14" s="1">
        <f>IFERROR(__xludf.DUMMYFUNCTION("""COMPUTED_VALUE"""),68.44)</f>
        <v>68.44</v>
      </c>
      <c r="F14" s="1">
        <f>IFERROR(__xludf.DUMMYFUNCTION("""COMPUTED_VALUE"""),848225.0)</f>
        <v>848225</v>
      </c>
      <c r="G14" s="2" t="s">
        <v>15</v>
      </c>
    </row>
    <row r="15">
      <c r="A15" s="3">
        <f>IFERROR(__xludf.DUMMYFUNCTION("""COMPUTED_VALUE"""),44581.72916666667)</f>
        <v>44581.72917</v>
      </c>
      <c r="B15" s="1">
        <f>IFERROR(__xludf.DUMMYFUNCTION("""COMPUTED_VALUE"""),69.1)</f>
        <v>69.1</v>
      </c>
      <c r="C15" s="1">
        <f>IFERROR(__xludf.DUMMYFUNCTION("""COMPUTED_VALUE"""),69.14)</f>
        <v>69.14</v>
      </c>
      <c r="D15" s="1">
        <f>IFERROR(__xludf.DUMMYFUNCTION("""COMPUTED_VALUE"""),67.28)</f>
        <v>67.28</v>
      </c>
      <c r="E15" s="1">
        <f>IFERROR(__xludf.DUMMYFUNCTION("""COMPUTED_VALUE"""),68.54)</f>
        <v>68.54</v>
      </c>
      <c r="F15" s="1">
        <f>IFERROR(__xludf.DUMMYFUNCTION("""COMPUTED_VALUE"""),571188.0)</f>
        <v>571188</v>
      </c>
      <c r="G15" s="2" t="s">
        <v>15</v>
      </c>
    </row>
    <row r="16">
      <c r="A16" s="3">
        <f>IFERROR(__xludf.DUMMYFUNCTION("""COMPUTED_VALUE"""),44582.72916666667)</f>
        <v>44582.72917</v>
      </c>
      <c r="B16" s="1">
        <f>IFERROR(__xludf.DUMMYFUNCTION("""COMPUTED_VALUE"""),67.08)</f>
        <v>67.08</v>
      </c>
      <c r="C16" s="1">
        <f>IFERROR(__xludf.DUMMYFUNCTION("""COMPUTED_VALUE"""),67.9)</f>
        <v>67.9</v>
      </c>
      <c r="D16" s="1">
        <f>IFERROR(__xludf.DUMMYFUNCTION("""COMPUTED_VALUE"""),65.8)</f>
        <v>65.8</v>
      </c>
      <c r="E16" s="1">
        <f>IFERROR(__xludf.DUMMYFUNCTION("""COMPUTED_VALUE"""),67.16)</f>
        <v>67.16</v>
      </c>
      <c r="F16" s="1">
        <f>IFERROR(__xludf.DUMMYFUNCTION("""COMPUTED_VALUE"""),1188866.0)</f>
        <v>1188866</v>
      </c>
      <c r="G16" s="2" t="s">
        <v>15</v>
      </c>
    </row>
    <row r="17">
      <c r="A17" s="3">
        <f>IFERROR(__xludf.DUMMYFUNCTION("""COMPUTED_VALUE"""),44585.72916666667)</f>
        <v>44585.72917</v>
      </c>
      <c r="B17" s="1">
        <f>IFERROR(__xludf.DUMMYFUNCTION("""COMPUTED_VALUE"""),66.6)</f>
        <v>66.6</v>
      </c>
      <c r="C17" s="1">
        <f>IFERROR(__xludf.DUMMYFUNCTION("""COMPUTED_VALUE"""),66.84)</f>
        <v>66.84</v>
      </c>
      <c r="D17" s="1">
        <f>IFERROR(__xludf.DUMMYFUNCTION("""COMPUTED_VALUE"""),63.54)</f>
        <v>63.54</v>
      </c>
      <c r="E17" s="1">
        <f>IFERROR(__xludf.DUMMYFUNCTION("""COMPUTED_VALUE"""),64.58)</f>
        <v>64.58</v>
      </c>
      <c r="F17" s="1">
        <f>IFERROR(__xludf.DUMMYFUNCTION("""COMPUTED_VALUE"""),1396750.0)</f>
        <v>1396750</v>
      </c>
      <c r="G17" s="2" t="s">
        <v>15</v>
      </c>
    </row>
    <row r="18">
      <c r="A18" s="3">
        <f>IFERROR(__xludf.DUMMYFUNCTION("""COMPUTED_VALUE"""),44586.72916666667)</f>
        <v>44586.72917</v>
      </c>
      <c r="B18" s="1">
        <f>IFERROR(__xludf.DUMMYFUNCTION("""COMPUTED_VALUE"""),65.42)</f>
        <v>65.42</v>
      </c>
      <c r="C18" s="1">
        <f>IFERROR(__xludf.DUMMYFUNCTION("""COMPUTED_VALUE"""),65.48)</f>
        <v>65.48</v>
      </c>
      <c r="D18" s="1">
        <f>IFERROR(__xludf.DUMMYFUNCTION("""COMPUTED_VALUE"""),63.46)</f>
        <v>63.46</v>
      </c>
      <c r="E18" s="1">
        <f>IFERROR(__xludf.DUMMYFUNCTION("""COMPUTED_VALUE"""),64.14)</f>
        <v>64.14</v>
      </c>
      <c r="F18" s="1">
        <f>IFERROR(__xludf.DUMMYFUNCTION("""COMPUTED_VALUE"""),1052359.0)</f>
        <v>1052359</v>
      </c>
      <c r="G18" s="2" t="s">
        <v>15</v>
      </c>
    </row>
    <row r="19">
      <c r="A19" s="3">
        <f>IFERROR(__xludf.DUMMYFUNCTION("""COMPUTED_VALUE"""),44587.72916666667)</f>
        <v>44587.72917</v>
      </c>
      <c r="B19" s="1">
        <f>IFERROR(__xludf.DUMMYFUNCTION("""COMPUTED_VALUE"""),64.34)</f>
        <v>64.34</v>
      </c>
      <c r="C19" s="1">
        <f>IFERROR(__xludf.DUMMYFUNCTION("""COMPUTED_VALUE"""),66.64)</f>
        <v>66.64</v>
      </c>
      <c r="D19" s="1">
        <f>IFERROR(__xludf.DUMMYFUNCTION("""COMPUTED_VALUE"""),64.28)</f>
        <v>64.28</v>
      </c>
      <c r="E19" s="1">
        <f>IFERROR(__xludf.DUMMYFUNCTION("""COMPUTED_VALUE"""),66.5)</f>
        <v>66.5</v>
      </c>
      <c r="F19" s="1">
        <f>IFERROR(__xludf.DUMMYFUNCTION("""COMPUTED_VALUE"""),1075098.0)</f>
        <v>1075098</v>
      </c>
      <c r="G19" s="2" t="s">
        <v>15</v>
      </c>
    </row>
    <row r="20">
      <c r="A20" s="3">
        <f>IFERROR(__xludf.DUMMYFUNCTION("""COMPUTED_VALUE"""),44588.72916666667)</f>
        <v>44588.72917</v>
      </c>
      <c r="B20" s="1">
        <f>IFERROR(__xludf.DUMMYFUNCTION("""COMPUTED_VALUE"""),65.24)</f>
        <v>65.24</v>
      </c>
      <c r="C20" s="1">
        <f>IFERROR(__xludf.DUMMYFUNCTION("""COMPUTED_VALUE"""),66.2)</f>
        <v>66.2</v>
      </c>
      <c r="D20" s="1">
        <f>IFERROR(__xludf.DUMMYFUNCTION("""COMPUTED_VALUE"""),64.28)</f>
        <v>64.28</v>
      </c>
      <c r="E20" s="1">
        <f>IFERROR(__xludf.DUMMYFUNCTION("""COMPUTED_VALUE"""),65.24)</f>
        <v>65.24</v>
      </c>
      <c r="F20" s="1">
        <f>IFERROR(__xludf.DUMMYFUNCTION("""COMPUTED_VALUE"""),1081256.0)</f>
        <v>1081256</v>
      </c>
      <c r="G20" s="2" t="s">
        <v>15</v>
      </c>
    </row>
    <row r="21">
      <c r="A21" s="3">
        <f>IFERROR(__xludf.DUMMYFUNCTION("""COMPUTED_VALUE"""),44589.72916666667)</f>
        <v>44589.72917</v>
      </c>
      <c r="B21" s="1">
        <f>IFERROR(__xludf.DUMMYFUNCTION("""COMPUTED_VALUE"""),64.62)</f>
        <v>64.62</v>
      </c>
      <c r="C21" s="1">
        <f>IFERROR(__xludf.DUMMYFUNCTION("""COMPUTED_VALUE"""),66.52)</f>
        <v>66.52</v>
      </c>
      <c r="D21" s="1">
        <f>IFERROR(__xludf.DUMMYFUNCTION("""COMPUTED_VALUE"""),64.6)</f>
        <v>64.6</v>
      </c>
      <c r="E21" s="1">
        <f>IFERROR(__xludf.DUMMYFUNCTION("""COMPUTED_VALUE"""),66.52)</f>
        <v>66.52</v>
      </c>
      <c r="F21" s="1">
        <f>IFERROR(__xludf.DUMMYFUNCTION("""COMPUTED_VALUE"""),1029920.0)</f>
        <v>1029920</v>
      </c>
      <c r="G21" s="2" t="s">
        <v>15</v>
      </c>
    </row>
    <row r="22">
      <c r="A22" s="3">
        <f>IFERROR(__xludf.DUMMYFUNCTION("""COMPUTED_VALUE"""),44592.72916666667)</f>
        <v>44592.72917</v>
      </c>
      <c r="B22" s="1">
        <f>IFERROR(__xludf.DUMMYFUNCTION("""COMPUTED_VALUE"""),67.84)</f>
        <v>67.84</v>
      </c>
      <c r="C22" s="1">
        <f>IFERROR(__xludf.DUMMYFUNCTION("""COMPUTED_VALUE"""),69.98)</f>
        <v>69.98</v>
      </c>
      <c r="D22" s="1">
        <f>IFERROR(__xludf.DUMMYFUNCTION("""COMPUTED_VALUE"""),67.3)</f>
        <v>67.3</v>
      </c>
      <c r="E22" s="1">
        <f>IFERROR(__xludf.DUMMYFUNCTION("""COMPUTED_VALUE"""),69.98)</f>
        <v>69.98</v>
      </c>
      <c r="F22" s="1">
        <f>IFERROR(__xludf.DUMMYFUNCTION("""COMPUTED_VALUE"""),1053665.0)</f>
        <v>1053665</v>
      </c>
      <c r="G22" s="2" t="s">
        <v>15</v>
      </c>
    </row>
    <row r="23">
      <c r="A23" s="3">
        <f>IFERROR(__xludf.DUMMYFUNCTION("""COMPUTED_VALUE"""),44593.72916666667)</f>
        <v>44593.72917</v>
      </c>
      <c r="B23" s="1">
        <f>IFERROR(__xludf.DUMMYFUNCTION("""COMPUTED_VALUE"""),70.24)</f>
        <v>70.24</v>
      </c>
      <c r="C23" s="1">
        <f>IFERROR(__xludf.DUMMYFUNCTION("""COMPUTED_VALUE"""),71.9)</f>
        <v>71.9</v>
      </c>
      <c r="D23" s="1">
        <f>IFERROR(__xludf.DUMMYFUNCTION("""COMPUTED_VALUE"""),70.14)</f>
        <v>70.14</v>
      </c>
      <c r="E23" s="1">
        <f>IFERROR(__xludf.DUMMYFUNCTION("""COMPUTED_VALUE"""),70.84)</f>
        <v>70.84</v>
      </c>
      <c r="F23" s="1">
        <f>IFERROR(__xludf.DUMMYFUNCTION("""COMPUTED_VALUE"""),866994.0)</f>
        <v>866994</v>
      </c>
      <c r="G23" s="2" t="s">
        <v>15</v>
      </c>
    </row>
    <row r="24">
      <c r="A24" s="3">
        <f>IFERROR(__xludf.DUMMYFUNCTION("""COMPUTED_VALUE"""),44594.72916666667)</f>
        <v>44594.72917</v>
      </c>
      <c r="B24" s="1">
        <f>IFERROR(__xludf.DUMMYFUNCTION("""COMPUTED_VALUE"""),70.84)</f>
        <v>70.84</v>
      </c>
      <c r="C24" s="1">
        <f>IFERROR(__xludf.DUMMYFUNCTION("""COMPUTED_VALUE"""),71.66)</f>
        <v>71.66</v>
      </c>
      <c r="D24" s="1">
        <f>IFERROR(__xludf.DUMMYFUNCTION("""COMPUTED_VALUE"""),69.94)</f>
        <v>69.94</v>
      </c>
      <c r="E24" s="1">
        <f>IFERROR(__xludf.DUMMYFUNCTION("""COMPUTED_VALUE"""),69.94)</f>
        <v>69.94</v>
      </c>
      <c r="F24" s="1">
        <f>IFERROR(__xludf.DUMMYFUNCTION("""COMPUTED_VALUE"""),805953.0)</f>
        <v>805953</v>
      </c>
      <c r="G24" s="2" t="s">
        <v>15</v>
      </c>
    </row>
    <row r="25">
      <c r="A25" s="3">
        <f>IFERROR(__xludf.DUMMYFUNCTION("""COMPUTED_VALUE"""),44595.72916666667)</f>
        <v>44595.72917</v>
      </c>
      <c r="B25" s="1">
        <f>IFERROR(__xludf.DUMMYFUNCTION("""COMPUTED_VALUE"""),69.14)</f>
        <v>69.14</v>
      </c>
      <c r="C25" s="1">
        <f>IFERROR(__xludf.DUMMYFUNCTION("""COMPUTED_VALUE"""),69.88)</f>
        <v>69.88</v>
      </c>
      <c r="D25" s="1">
        <f>IFERROR(__xludf.DUMMYFUNCTION("""COMPUTED_VALUE"""),66.62)</f>
        <v>66.62</v>
      </c>
      <c r="E25" s="1">
        <f>IFERROR(__xludf.DUMMYFUNCTION("""COMPUTED_VALUE"""),66.64)</f>
        <v>66.64</v>
      </c>
      <c r="F25" s="1">
        <f>IFERROR(__xludf.DUMMYFUNCTION("""COMPUTED_VALUE"""),995802.0)</f>
        <v>995802</v>
      </c>
      <c r="G25" s="2" t="s">
        <v>15</v>
      </c>
    </row>
    <row r="26">
      <c r="A26" s="3">
        <f>IFERROR(__xludf.DUMMYFUNCTION("""COMPUTED_VALUE"""),44596.72916666667)</f>
        <v>44596.72917</v>
      </c>
      <c r="B26" s="1">
        <f>IFERROR(__xludf.DUMMYFUNCTION("""COMPUTED_VALUE"""),66.66)</f>
        <v>66.66</v>
      </c>
      <c r="C26" s="1">
        <f>IFERROR(__xludf.DUMMYFUNCTION("""COMPUTED_VALUE"""),67.68)</f>
        <v>67.68</v>
      </c>
      <c r="D26" s="1">
        <f>IFERROR(__xludf.DUMMYFUNCTION("""COMPUTED_VALUE"""),64.9)</f>
        <v>64.9</v>
      </c>
      <c r="E26" s="1">
        <f>IFERROR(__xludf.DUMMYFUNCTION("""COMPUTED_VALUE"""),65.98)</f>
        <v>65.98</v>
      </c>
      <c r="F26" s="1">
        <f>IFERROR(__xludf.DUMMYFUNCTION("""COMPUTED_VALUE"""),989921.0)</f>
        <v>989921</v>
      </c>
      <c r="G26" s="2" t="s">
        <v>15</v>
      </c>
    </row>
    <row r="27">
      <c r="A27" s="3">
        <f>IFERROR(__xludf.DUMMYFUNCTION("""COMPUTED_VALUE"""),44599.72916666667)</f>
        <v>44599.72917</v>
      </c>
      <c r="B27" s="1">
        <f>IFERROR(__xludf.DUMMYFUNCTION("""COMPUTED_VALUE"""),67.0)</f>
        <v>67</v>
      </c>
      <c r="C27" s="1">
        <f>IFERROR(__xludf.DUMMYFUNCTION("""COMPUTED_VALUE"""),67.4)</f>
        <v>67.4</v>
      </c>
      <c r="D27" s="1">
        <f>IFERROR(__xludf.DUMMYFUNCTION("""COMPUTED_VALUE"""),65.76)</f>
        <v>65.76</v>
      </c>
      <c r="E27" s="1">
        <f>IFERROR(__xludf.DUMMYFUNCTION("""COMPUTED_VALUE"""),66.12)</f>
        <v>66.12</v>
      </c>
      <c r="F27" s="1">
        <f>IFERROR(__xludf.DUMMYFUNCTION("""COMPUTED_VALUE"""),611154.0)</f>
        <v>611154</v>
      </c>
      <c r="G27" s="2" t="s">
        <v>15</v>
      </c>
    </row>
    <row r="28">
      <c r="A28" s="3">
        <f>IFERROR(__xludf.DUMMYFUNCTION("""COMPUTED_VALUE"""),44600.72916666667)</f>
        <v>44600.72917</v>
      </c>
      <c r="B28" s="1">
        <f>IFERROR(__xludf.DUMMYFUNCTION("""COMPUTED_VALUE"""),65.88)</f>
        <v>65.88</v>
      </c>
      <c r="C28" s="1">
        <f>IFERROR(__xludf.DUMMYFUNCTION("""COMPUTED_VALUE"""),65.88)</f>
        <v>65.88</v>
      </c>
      <c r="D28" s="1">
        <f>IFERROR(__xludf.DUMMYFUNCTION("""COMPUTED_VALUE"""),62.58)</f>
        <v>62.58</v>
      </c>
      <c r="E28" s="1">
        <f>IFERROR(__xludf.DUMMYFUNCTION("""COMPUTED_VALUE"""),64.24)</f>
        <v>64.24</v>
      </c>
      <c r="F28" s="1">
        <f>IFERROR(__xludf.DUMMYFUNCTION("""COMPUTED_VALUE"""),930377.0)</f>
        <v>930377</v>
      </c>
      <c r="G28" s="2" t="s">
        <v>15</v>
      </c>
    </row>
    <row r="29">
      <c r="A29" s="3">
        <f>IFERROR(__xludf.DUMMYFUNCTION("""COMPUTED_VALUE"""),44601.72916666667)</f>
        <v>44601.72917</v>
      </c>
      <c r="B29" s="1">
        <f>IFERROR(__xludf.DUMMYFUNCTION("""COMPUTED_VALUE"""),64.86)</f>
        <v>64.86</v>
      </c>
      <c r="C29" s="1">
        <f>IFERROR(__xludf.DUMMYFUNCTION("""COMPUTED_VALUE"""),66.36)</f>
        <v>66.36</v>
      </c>
      <c r="D29" s="1">
        <f>IFERROR(__xludf.DUMMYFUNCTION("""COMPUTED_VALUE"""),64.38)</f>
        <v>64.38</v>
      </c>
      <c r="E29" s="1">
        <f>IFERROR(__xludf.DUMMYFUNCTION("""COMPUTED_VALUE"""),66.0)</f>
        <v>66</v>
      </c>
      <c r="F29" s="1">
        <f>IFERROR(__xludf.DUMMYFUNCTION("""COMPUTED_VALUE"""),563076.0)</f>
        <v>563076</v>
      </c>
      <c r="G29" s="2" t="s">
        <v>15</v>
      </c>
    </row>
    <row r="30">
      <c r="A30" s="3">
        <f>IFERROR(__xludf.DUMMYFUNCTION("""COMPUTED_VALUE"""),44602.72916666667)</f>
        <v>44602.72917</v>
      </c>
      <c r="B30" s="1">
        <f>IFERROR(__xludf.DUMMYFUNCTION("""COMPUTED_VALUE"""),66.52)</f>
        <v>66.52</v>
      </c>
      <c r="C30" s="1">
        <f>IFERROR(__xludf.DUMMYFUNCTION("""COMPUTED_VALUE"""),66.7)</f>
        <v>66.7</v>
      </c>
      <c r="D30" s="1">
        <f>IFERROR(__xludf.DUMMYFUNCTION("""COMPUTED_VALUE"""),63.52)</f>
        <v>63.52</v>
      </c>
      <c r="E30" s="1">
        <f>IFERROR(__xludf.DUMMYFUNCTION("""COMPUTED_VALUE"""),65.08)</f>
        <v>65.08</v>
      </c>
      <c r="F30" s="1">
        <f>IFERROR(__xludf.DUMMYFUNCTION("""COMPUTED_VALUE"""),1091918.0)</f>
        <v>1091918</v>
      </c>
      <c r="G30" s="2" t="s">
        <v>15</v>
      </c>
    </row>
    <row r="31">
      <c r="A31" s="3">
        <f>IFERROR(__xludf.DUMMYFUNCTION("""COMPUTED_VALUE"""),44603.72916666667)</f>
        <v>44603.72917</v>
      </c>
      <c r="B31" s="1">
        <f>IFERROR(__xludf.DUMMYFUNCTION("""COMPUTED_VALUE"""),64.3)</f>
        <v>64.3</v>
      </c>
      <c r="C31" s="1">
        <f>IFERROR(__xludf.DUMMYFUNCTION("""COMPUTED_VALUE"""),64.5)</f>
        <v>64.5</v>
      </c>
      <c r="D31" s="1">
        <f>IFERROR(__xludf.DUMMYFUNCTION("""COMPUTED_VALUE"""),62.44)</f>
        <v>62.44</v>
      </c>
      <c r="E31" s="1">
        <f>IFERROR(__xludf.DUMMYFUNCTION("""COMPUTED_VALUE"""),62.44)</f>
        <v>62.44</v>
      </c>
      <c r="F31" s="1">
        <f>IFERROR(__xludf.DUMMYFUNCTION("""COMPUTED_VALUE"""),1143605.0)</f>
        <v>1143605</v>
      </c>
      <c r="G31" s="2" t="s">
        <v>15</v>
      </c>
    </row>
    <row r="32">
      <c r="A32" s="3">
        <f>IFERROR(__xludf.DUMMYFUNCTION("""COMPUTED_VALUE"""),44606.72916666667)</f>
        <v>44606.72917</v>
      </c>
      <c r="B32" s="1">
        <f>IFERROR(__xludf.DUMMYFUNCTION("""COMPUTED_VALUE"""),60.98)</f>
        <v>60.98</v>
      </c>
      <c r="C32" s="1">
        <f>IFERROR(__xludf.DUMMYFUNCTION("""COMPUTED_VALUE"""),61.72)</f>
        <v>61.72</v>
      </c>
      <c r="D32" s="1">
        <f>IFERROR(__xludf.DUMMYFUNCTION("""COMPUTED_VALUE"""),59.46)</f>
        <v>59.46</v>
      </c>
      <c r="E32" s="1">
        <f>IFERROR(__xludf.DUMMYFUNCTION("""COMPUTED_VALUE"""),61.72)</f>
        <v>61.72</v>
      </c>
      <c r="F32" s="1">
        <f>IFERROR(__xludf.DUMMYFUNCTION("""COMPUTED_VALUE"""),1292642.0)</f>
        <v>1292642</v>
      </c>
      <c r="G32" s="2" t="s">
        <v>15</v>
      </c>
    </row>
    <row r="33">
      <c r="A33" s="3">
        <f>IFERROR(__xludf.DUMMYFUNCTION("""COMPUTED_VALUE"""),44607.72916666667)</f>
        <v>44607.72917</v>
      </c>
      <c r="B33" s="1">
        <f>IFERROR(__xludf.DUMMYFUNCTION("""COMPUTED_VALUE"""),61.48)</f>
        <v>61.48</v>
      </c>
      <c r="C33" s="1">
        <f>IFERROR(__xludf.DUMMYFUNCTION("""COMPUTED_VALUE"""),63.72)</f>
        <v>63.72</v>
      </c>
      <c r="D33" s="1">
        <f>IFERROR(__xludf.DUMMYFUNCTION("""COMPUTED_VALUE"""),61.36)</f>
        <v>61.36</v>
      </c>
      <c r="E33" s="1">
        <f>IFERROR(__xludf.DUMMYFUNCTION("""COMPUTED_VALUE"""),63.72)</f>
        <v>63.72</v>
      </c>
      <c r="F33" s="1">
        <f>IFERROR(__xludf.DUMMYFUNCTION("""COMPUTED_VALUE"""),708445.0)</f>
        <v>708445</v>
      </c>
      <c r="G33" s="2" t="s">
        <v>15</v>
      </c>
    </row>
    <row r="34">
      <c r="A34" s="3">
        <f>IFERROR(__xludf.DUMMYFUNCTION("""COMPUTED_VALUE"""),44608.72916666667)</f>
        <v>44608.72917</v>
      </c>
      <c r="B34" s="1">
        <f>IFERROR(__xludf.DUMMYFUNCTION("""COMPUTED_VALUE"""),63.5)</f>
        <v>63.5</v>
      </c>
      <c r="C34" s="1">
        <f>IFERROR(__xludf.DUMMYFUNCTION("""COMPUTED_VALUE"""),63.98)</f>
        <v>63.98</v>
      </c>
      <c r="D34" s="1">
        <f>IFERROR(__xludf.DUMMYFUNCTION("""COMPUTED_VALUE"""),62.2)</f>
        <v>62.2</v>
      </c>
      <c r="E34" s="1">
        <f>IFERROR(__xludf.DUMMYFUNCTION("""COMPUTED_VALUE"""),63.02)</f>
        <v>63.02</v>
      </c>
      <c r="F34" s="1">
        <f>IFERROR(__xludf.DUMMYFUNCTION("""COMPUTED_VALUE"""),620705.0)</f>
        <v>620705</v>
      </c>
      <c r="G34" s="2" t="s">
        <v>15</v>
      </c>
    </row>
    <row r="35">
      <c r="A35" s="3">
        <f>IFERROR(__xludf.DUMMYFUNCTION("""COMPUTED_VALUE"""),44609.72916666667)</f>
        <v>44609.72917</v>
      </c>
      <c r="B35" s="1">
        <f>IFERROR(__xludf.DUMMYFUNCTION("""COMPUTED_VALUE"""),62.9)</f>
        <v>62.9</v>
      </c>
      <c r="C35" s="1">
        <f>IFERROR(__xludf.DUMMYFUNCTION("""COMPUTED_VALUE"""),64.28)</f>
        <v>64.28</v>
      </c>
      <c r="D35" s="1">
        <f>IFERROR(__xludf.DUMMYFUNCTION("""COMPUTED_VALUE"""),62.38)</f>
        <v>62.38</v>
      </c>
      <c r="E35" s="1">
        <f>IFERROR(__xludf.DUMMYFUNCTION("""COMPUTED_VALUE"""),62.5)</f>
        <v>62.5</v>
      </c>
      <c r="F35" s="1">
        <f>IFERROR(__xludf.DUMMYFUNCTION("""COMPUTED_VALUE"""),595525.0)</f>
        <v>595525</v>
      </c>
      <c r="G35" s="2" t="s">
        <v>15</v>
      </c>
    </row>
    <row r="36">
      <c r="A36" s="3">
        <f>IFERROR(__xludf.DUMMYFUNCTION("""COMPUTED_VALUE"""),44610.72916666667)</f>
        <v>44610.72917</v>
      </c>
      <c r="B36" s="1">
        <f>IFERROR(__xludf.DUMMYFUNCTION("""COMPUTED_VALUE"""),62.5)</f>
        <v>62.5</v>
      </c>
      <c r="C36" s="1">
        <f>IFERROR(__xludf.DUMMYFUNCTION("""COMPUTED_VALUE"""),62.5)</f>
        <v>62.5</v>
      </c>
      <c r="D36" s="1">
        <f>IFERROR(__xludf.DUMMYFUNCTION("""COMPUTED_VALUE"""),59.48)</f>
        <v>59.48</v>
      </c>
      <c r="E36" s="1">
        <f>IFERROR(__xludf.DUMMYFUNCTION("""COMPUTED_VALUE"""),59.48)</f>
        <v>59.48</v>
      </c>
      <c r="F36" s="1">
        <f>IFERROR(__xludf.DUMMYFUNCTION("""COMPUTED_VALUE"""),889212.0)</f>
        <v>889212</v>
      </c>
      <c r="G36" s="2" t="s">
        <v>15</v>
      </c>
    </row>
    <row r="37">
      <c r="A37" s="3">
        <f>IFERROR(__xludf.DUMMYFUNCTION("""COMPUTED_VALUE"""),44613.72916666667)</f>
        <v>44613.72917</v>
      </c>
      <c r="B37" s="1">
        <f>IFERROR(__xludf.DUMMYFUNCTION("""COMPUTED_VALUE"""),59.92)</f>
        <v>59.92</v>
      </c>
      <c r="C37" s="1">
        <f>IFERROR(__xludf.DUMMYFUNCTION("""COMPUTED_VALUE"""),60.5)</f>
        <v>60.5</v>
      </c>
      <c r="D37" s="1">
        <f>IFERROR(__xludf.DUMMYFUNCTION("""COMPUTED_VALUE"""),57.32)</f>
        <v>57.32</v>
      </c>
      <c r="E37" s="1">
        <f>IFERROR(__xludf.DUMMYFUNCTION("""COMPUTED_VALUE"""),58.5)</f>
        <v>58.5</v>
      </c>
      <c r="F37" s="1">
        <f>IFERROR(__xludf.DUMMYFUNCTION("""COMPUTED_VALUE"""),971656.0)</f>
        <v>971656</v>
      </c>
      <c r="G37" s="2" t="s">
        <v>15</v>
      </c>
    </row>
    <row r="38">
      <c r="A38" s="3">
        <f>IFERROR(__xludf.DUMMYFUNCTION("""COMPUTED_VALUE"""),44614.72916666667)</f>
        <v>44614.72917</v>
      </c>
      <c r="B38" s="1">
        <f>IFERROR(__xludf.DUMMYFUNCTION("""COMPUTED_VALUE"""),56.46)</f>
        <v>56.46</v>
      </c>
      <c r="C38" s="1">
        <f>IFERROR(__xludf.DUMMYFUNCTION("""COMPUTED_VALUE"""),58.94)</f>
        <v>58.94</v>
      </c>
      <c r="D38" s="1">
        <f>IFERROR(__xludf.DUMMYFUNCTION("""COMPUTED_VALUE"""),56.26)</f>
        <v>56.26</v>
      </c>
      <c r="E38" s="1">
        <f>IFERROR(__xludf.DUMMYFUNCTION("""COMPUTED_VALUE"""),57.94)</f>
        <v>57.94</v>
      </c>
      <c r="F38" s="1">
        <f>IFERROR(__xludf.DUMMYFUNCTION("""COMPUTED_VALUE"""),753513.0)</f>
        <v>753513</v>
      </c>
      <c r="G38" s="2" t="s">
        <v>15</v>
      </c>
    </row>
    <row r="39">
      <c r="A39" s="3">
        <f>IFERROR(__xludf.DUMMYFUNCTION("""COMPUTED_VALUE"""),44615.72916666667)</f>
        <v>44615.72917</v>
      </c>
      <c r="B39" s="1">
        <f>IFERROR(__xludf.DUMMYFUNCTION("""COMPUTED_VALUE"""),57.96)</f>
        <v>57.96</v>
      </c>
      <c r="C39" s="1">
        <f>IFERROR(__xludf.DUMMYFUNCTION("""COMPUTED_VALUE"""),58.36)</f>
        <v>58.36</v>
      </c>
      <c r="D39" s="1">
        <f>IFERROR(__xludf.DUMMYFUNCTION("""COMPUTED_VALUE"""),55.98)</f>
        <v>55.98</v>
      </c>
      <c r="E39" s="1">
        <f>IFERROR(__xludf.DUMMYFUNCTION("""COMPUTED_VALUE"""),56.0)</f>
        <v>56</v>
      </c>
      <c r="F39" s="1">
        <f>IFERROR(__xludf.DUMMYFUNCTION("""COMPUTED_VALUE"""),831284.0)</f>
        <v>831284</v>
      </c>
      <c r="G39" s="2" t="s">
        <v>15</v>
      </c>
    </row>
    <row r="40">
      <c r="A40" s="3">
        <f>IFERROR(__xludf.DUMMYFUNCTION("""COMPUTED_VALUE"""),44616.72916666667)</f>
        <v>44616.72917</v>
      </c>
      <c r="B40" s="1">
        <f>IFERROR(__xludf.DUMMYFUNCTION("""COMPUTED_VALUE"""),53.32)</f>
        <v>53.32</v>
      </c>
      <c r="C40" s="1">
        <f>IFERROR(__xludf.DUMMYFUNCTION("""COMPUTED_VALUE"""),55.88)</f>
        <v>55.88</v>
      </c>
      <c r="D40" s="1">
        <f>IFERROR(__xludf.DUMMYFUNCTION("""COMPUTED_VALUE"""),52.78)</f>
        <v>52.78</v>
      </c>
      <c r="E40" s="1">
        <f>IFERROR(__xludf.DUMMYFUNCTION("""COMPUTED_VALUE"""),55.5)</f>
        <v>55.5</v>
      </c>
      <c r="F40" s="1">
        <f>IFERROR(__xludf.DUMMYFUNCTION("""COMPUTED_VALUE"""),1662084.0)</f>
        <v>1662084</v>
      </c>
      <c r="G40" s="2" t="s">
        <v>15</v>
      </c>
    </row>
    <row r="41">
      <c r="A41" s="3">
        <f>IFERROR(__xludf.DUMMYFUNCTION("""COMPUTED_VALUE"""),44617.72916666667)</f>
        <v>44617.72917</v>
      </c>
      <c r="B41" s="1">
        <f>IFERROR(__xludf.DUMMYFUNCTION("""COMPUTED_VALUE"""),56.42)</f>
        <v>56.42</v>
      </c>
      <c r="C41" s="1">
        <f>IFERROR(__xludf.DUMMYFUNCTION("""COMPUTED_VALUE"""),56.62)</f>
        <v>56.62</v>
      </c>
      <c r="D41" s="1">
        <f>IFERROR(__xludf.DUMMYFUNCTION("""COMPUTED_VALUE"""),54.7)</f>
        <v>54.7</v>
      </c>
      <c r="E41" s="1">
        <f>IFERROR(__xludf.DUMMYFUNCTION("""COMPUTED_VALUE"""),55.96)</f>
        <v>55.96</v>
      </c>
      <c r="F41" s="1">
        <f>IFERROR(__xludf.DUMMYFUNCTION("""COMPUTED_VALUE"""),1075723.0)</f>
        <v>1075723</v>
      </c>
      <c r="G41" s="2" t="s">
        <v>15</v>
      </c>
    </row>
    <row r="42">
      <c r="A42" s="3">
        <f>IFERROR(__xludf.DUMMYFUNCTION("""COMPUTED_VALUE"""),44620.72916666667)</f>
        <v>44620.72917</v>
      </c>
      <c r="B42" s="1">
        <f>IFERROR(__xludf.DUMMYFUNCTION("""COMPUTED_VALUE"""),54.22)</f>
        <v>54.22</v>
      </c>
      <c r="C42" s="1">
        <f>IFERROR(__xludf.DUMMYFUNCTION("""COMPUTED_VALUE"""),59.76)</f>
        <v>59.76</v>
      </c>
      <c r="D42" s="1">
        <f>IFERROR(__xludf.DUMMYFUNCTION("""COMPUTED_VALUE"""),54.18)</f>
        <v>54.18</v>
      </c>
      <c r="E42" s="1">
        <f>IFERROR(__xludf.DUMMYFUNCTION("""COMPUTED_VALUE"""),59.58)</f>
        <v>59.58</v>
      </c>
      <c r="F42" s="1">
        <f>IFERROR(__xludf.DUMMYFUNCTION("""COMPUTED_VALUE"""),1687074.0)</f>
        <v>1687074</v>
      </c>
      <c r="G42" s="2" t="s">
        <v>15</v>
      </c>
    </row>
    <row r="43">
      <c r="A43" s="3">
        <f>IFERROR(__xludf.DUMMYFUNCTION("""COMPUTED_VALUE"""),44621.72916666667)</f>
        <v>44621.72917</v>
      </c>
      <c r="B43" s="1">
        <f>IFERROR(__xludf.DUMMYFUNCTION("""COMPUTED_VALUE"""),58.22)</f>
        <v>58.22</v>
      </c>
      <c r="C43" s="1">
        <f>IFERROR(__xludf.DUMMYFUNCTION("""COMPUTED_VALUE"""),58.5)</f>
        <v>58.5</v>
      </c>
      <c r="D43" s="1">
        <f>IFERROR(__xludf.DUMMYFUNCTION("""COMPUTED_VALUE"""),52.7)</f>
        <v>52.7</v>
      </c>
      <c r="E43" s="1">
        <f>IFERROR(__xludf.DUMMYFUNCTION("""COMPUTED_VALUE"""),53.84)</f>
        <v>53.84</v>
      </c>
      <c r="F43" s="1">
        <f>IFERROR(__xludf.DUMMYFUNCTION("""COMPUTED_VALUE"""),2142002.0)</f>
        <v>2142002</v>
      </c>
      <c r="G43" s="2" t="s">
        <v>15</v>
      </c>
    </row>
    <row r="44">
      <c r="A44" s="3">
        <f>IFERROR(__xludf.DUMMYFUNCTION("""COMPUTED_VALUE"""),44622.72916666667)</f>
        <v>44622.72917</v>
      </c>
      <c r="B44" s="1">
        <f>IFERROR(__xludf.DUMMYFUNCTION("""COMPUTED_VALUE"""),53.0)</f>
        <v>53</v>
      </c>
      <c r="C44" s="1">
        <f>IFERROR(__xludf.DUMMYFUNCTION("""COMPUTED_VALUE"""),54.16)</f>
        <v>54.16</v>
      </c>
      <c r="D44" s="1">
        <f>IFERROR(__xludf.DUMMYFUNCTION("""COMPUTED_VALUE"""),51.18)</f>
        <v>51.18</v>
      </c>
      <c r="E44" s="1">
        <f>IFERROR(__xludf.DUMMYFUNCTION("""COMPUTED_VALUE"""),51.82)</f>
        <v>51.82</v>
      </c>
      <c r="F44" s="1">
        <f>IFERROR(__xludf.DUMMYFUNCTION("""COMPUTED_VALUE"""),1637674.0)</f>
        <v>1637674</v>
      </c>
      <c r="G44" s="2" t="s">
        <v>15</v>
      </c>
    </row>
    <row r="45">
      <c r="A45" s="3">
        <f>IFERROR(__xludf.DUMMYFUNCTION("""COMPUTED_VALUE"""),44623.72916666667)</f>
        <v>44623.72917</v>
      </c>
      <c r="B45" s="1">
        <f>IFERROR(__xludf.DUMMYFUNCTION("""COMPUTED_VALUE"""),51.86)</f>
        <v>51.86</v>
      </c>
      <c r="C45" s="1">
        <f>IFERROR(__xludf.DUMMYFUNCTION("""COMPUTED_VALUE"""),53.42)</f>
        <v>53.42</v>
      </c>
      <c r="D45" s="1">
        <f>IFERROR(__xludf.DUMMYFUNCTION("""COMPUTED_VALUE"""),49.62)</f>
        <v>49.62</v>
      </c>
      <c r="E45" s="1">
        <f>IFERROR(__xludf.DUMMYFUNCTION("""COMPUTED_VALUE"""),49.74)</f>
        <v>49.74</v>
      </c>
      <c r="F45" s="1">
        <f>IFERROR(__xludf.DUMMYFUNCTION("""COMPUTED_VALUE"""),1185620.0)</f>
        <v>1185620</v>
      </c>
      <c r="G45" s="2" t="s">
        <v>15</v>
      </c>
    </row>
    <row r="46">
      <c r="A46" s="3">
        <f>IFERROR(__xludf.DUMMYFUNCTION("""COMPUTED_VALUE"""),44624.72916666667)</f>
        <v>44624.72917</v>
      </c>
      <c r="B46" s="1">
        <f>IFERROR(__xludf.DUMMYFUNCTION("""COMPUTED_VALUE"""),48.43)</f>
        <v>48.43</v>
      </c>
      <c r="C46" s="1">
        <f>IFERROR(__xludf.DUMMYFUNCTION("""COMPUTED_VALUE"""),49.33)</f>
        <v>49.33</v>
      </c>
      <c r="D46" s="1">
        <f>IFERROR(__xludf.DUMMYFUNCTION("""COMPUTED_VALUE"""),45.61)</f>
        <v>45.61</v>
      </c>
      <c r="E46" s="1">
        <f>IFERROR(__xludf.DUMMYFUNCTION("""COMPUTED_VALUE"""),45.61)</f>
        <v>45.61</v>
      </c>
      <c r="F46" s="1">
        <f>IFERROR(__xludf.DUMMYFUNCTION("""COMPUTED_VALUE"""),1604106.0)</f>
        <v>1604106</v>
      </c>
      <c r="G46" s="2" t="s">
        <v>15</v>
      </c>
    </row>
    <row r="47">
      <c r="A47" s="3">
        <f>IFERROR(__xludf.DUMMYFUNCTION("""COMPUTED_VALUE"""),44627.72916666667)</f>
        <v>44627.72917</v>
      </c>
      <c r="B47" s="1">
        <f>IFERROR(__xludf.DUMMYFUNCTION("""COMPUTED_VALUE"""),44.09)</f>
        <v>44.09</v>
      </c>
      <c r="C47" s="1">
        <f>IFERROR(__xludf.DUMMYFUNCTION("""COMPUTED_VALUE"""),45.88)</f>
        <v>45.88</v>
      </c>
      <c r="D47" s="1">
        <f>IFERROR(__xludf.DUMMYFUNCTION("""COMPUTED_VALUE"""),42.81)</f>
        <v>42.81</v>
      </c>
      <c r="E47" s="1">
        <f>IFERROR(__xludf.DUMMYFUNCTION("""COMPUTED_VALUE"""),44.75)</f>
        <v>44.75</v>
      </c>
      <c r="F47" s="1">
        <f>IFERROR(__xludf.DUMMYFUNCTION("""COMPUTED_VALUE"""),1945741.0)</f>
        <v>1945741</v>
      </c>
      <c r="G47" s="2" t="s">
        <v>15</v>
      </c>
    </row>
    <row r="48">
      <c r="A48" s="3">
        <f>IFERROR(__xludf.DUMMYFUNCTION("""COMPUTED_VALUE"""),44628.72916666667)</f>
        <v>44628.72917</v>
      </c>
      <c r="B48" s="1">
        <f>IFERROR(__xludf.DUMMYFUNCTION("""COMPUTED_VALUE"""),43.58)</f>
        <v>43.58</v>
      </c>
      <c r="C48" s="1">
        <f>IFERROR(__xludf.DUMMYFUNCTION("""COMPUTED_VALUE"""),45.47)</f>
        <v>45.47</v>
      </c>
      <c r="D48" s="1">
        <f>IFERROR(__xludf.DUMMYFUNCTION("""COMPUTED_VALUE"""),42.77)</f>
        <v>42.77</v>
      </c>
      <c r="E48" s="1">
        <f>IFERROR(__xludf.DUMMYFUNCTION("""COMPUTED_VALUE"""),45.04)</f>
        <v>45.04</v>
      </c>
      <c r="F48" s="1">
        <f>IFERROR(__xludf.DUMMYFUNCTION("""COMPUTED_VALUE"""),1598364.0)</f>
        <v>1598364</v>
      </c>
      <c r="G48" s="2" t="s">
        <v>15</v>
      </c>
    </row>
    <row r="49">
      <c r="A49" s="3">
        <f>IFERROR(__xludf.DUMMYFUNCTION("""COMPUTED_VALUE"""),44629.72916666667)</f>
        <v>44629.72917</v>
      </c>
      <c r="B49" s="1">
        <f>IFERROR(__xludf.DUMMYFUNCTION("""COMPUTED_VALUE"""),46.97)</f>
        <v>46.97</v>
      </c>
      <c r="C49" s="1">
        <f>IFERROR(__xludf.DUMMYFUNCTION("""COMPUTED_VALUE"""),49.48)</f>
        <v>49.48</v>
      </c>
      <c r="D49" s="1">
        <f>IFERROR(__xludf.DUMMYFUNCTION("""COMPUTED_VALUE"""),45.79)</f>
        <v>45.79</v>
      </c>
      <c r="E49" s="1">
        <f>IFERROR(__xludf.DUMMYFUNCTION("""COMPUTED_VALUE"""),49.48)</f>
        <v>49.48</v>
      </c>
      <c r="F49" s="1">
        <f>IFERROR(__xludf.DUMMYFUNCTION("""COMPUTED_VALUE"""),1887687.0)</f>
        <v>1887687</v>
      </c>
      <c r="G49" s="2" t="s">
        <v>15</v>
      </c>
    </row>
    <row r="50">
      <c r="A50" s="3">
        <f>IFERROR(__xludf.DUMMYFUNCTION("""COMPUTED_VALUE"""),44630.72916666667)</f>
        <v>44630.72917</v>
      </c>
      <c r="B50" s="1">
        <f>IFERROR(__xludf.DUMMYFUNCTION("""COMPUTED_VALUE"""),49.8)</f>
        <v>49.8</v>
      </c>
      <c r="C50" s="1">
        <f>IFERROR(__xludf.DUMMYFUNCTION("""COMPUTED_VALUE"""),49.8)</f>
        <v>49.8</v>
      </c>
      <c r="D50" s="1">
        <f>IFERROR(__xludf.DUMMYFUNCTION("""COMPUTED_VALUE"""),46.88)</f>
        <v>46.88</v>
      </c>
      <c r="E50" s="1">
        <f>IFERROR(__xludf.DUMMYFUNCTION("""COMPUTED_VALUE"""),47.25)</f>
        <v>47.25</v>
      </c>
      <c r="F50" s="1">
        <f>IFERROR(__xludf.DUMMYFUNCTION("""COMPUTED_VALUE"""),1260758.0)</f>
        <v>1260758</v>
      </c>
      <c r="G50" s="2" t="s">
        <v>15</v>
      </c>
    </row>
    <row r="51">
      <c r="A51" s="3">
        <f>IFERROR(__xludf.DUMMYFUNCTION("""COMPUTED_VALUE"""),44631.72916666667)</f>
        <v>44631.72917</v>
      </c>
      <c r="B51" s="1">
        <f>IFERROR(__xludf.DUMMYFUNCTION("""COMPUTED_VALUE"""),47.35)</f>
        <v>47.35</v>
      </c>
      <c r="C51" s="1">
        <f>IFERROR(__xludf.DUMMYFUNCTION("""COMPUTED_VALUE"""),48.87)</f>
        <v>48.87</v>
      </c>
      <c r="D51" s="1">
        <f>IFERROR(__xludf.DUMMYFUNCTION("""COMPUTED_VALUE"""),46.12)</f>
        <v>46.12</v>
      </c>
      <c r="E51" s="1">
        <f>IFERROR(__xludf.DUMMYFUNCTION("""COMPUTED_VALUE"""),47.36)</f>
        <v>47.36</v>
      </c>
      <c r="F51" s="1">
        <f>IFERROR(__xludf.DUMMYFUNCTION("""COMPUTED_VALUE"""),1459175.0)</f>
        <v>1459175</v>
      </c>
      <c r="G51" s="2" t="s">
        <v>15</v>
      </c>
    </row>
    <row r="52">
      <c r="A52" s="3">
        <f>IFERROR(__xludf.DUMMYFUNCTION("""COMPUTED_VALUE"""),44634.72916666667)</f>
        <v>44634.72917</v>
      </c>
      <c r="B52" s="1">
        <f>IFERROR(__xludf.DUMMYFUNCTION("""COMPUTED_VALUE"""),48.01)</f>
        <v>48.01</v>
      </c>
      <c r="C52" s="1">
        <f>IFERROR(__xludf.DUMMYFUNCTION("""COMPUTED_VALUE"""),48.93)</f>
        <v>48.93</v>
      </c>
      <c r="D52" s="1">
        <f>IFERROR(__xludf.DUMMYFUNCTION("""COMPUTED_VALUE"""),47.0)</f>
        <v>47</v>
      </c>
      <c r="E52" s="1">
        <f>IFERROR(__xludf.DUMMYFUNCTION("""COMPUTED_VALUE"""),47.92)</f>
        <v>47.92</v>
      </c>
      <c r="F52" s="1">
        <f>IFERROR(__xludf.DUMMYFUNCTION("""COMPUTED_VALUE"""),1184379.0)</f>
        <v>1184379</v>
      </c>
      <c r="G52" s="2" t="s">
        <v>15</v>
      </c>
    </row>
    <row r="53">
      <c r="A53" s="3">
        <f>IFERROR(__xludf.DUMMYFUNCTION("""COMPUTED_VALUE"""),44635.72916666667)</f>
        <v>44635.72917</v>
      </c>
      <c r="B53" s="1">
        <f>IFERROR(__xludf.DUMMYFUNCTION("""COMPUTED_VALUE"""),47.84)</f>
        <v>47.84</v>
      </c>
      <c r="C53" s="1">
        <f>IFERROR(__xludf.DUMMYFUNCTION("""COMPUTED_VALUE"""),48.85)</f>
        <v>48.85</v>
      </c>
      <c r="D53" s="1">
        <f>IFERROR(__xludf.DUMMYFUNCTION("""COMPUTED_VALUE"""),46.03)</f>
        <v>46.03</v>
      </c>
      <c r="E53" s="1">
        <f>IFERROR(__xludf.DUMMYFUNCTION("""COMPUTED_VALUE"""),46.72)</f>
        <v>46.72</v>
      </c>
      <c r="F53" s="1">
        <f>IFERROR(__xludf.DUMMYFUNCTION("""COMPUTED_VALUE"""),1508840.0)</f>
        <v>1508840</v>
      </c>
      <c r="G53" s="2" t="s">
        <v>15</v>
      </c>
    </row>
    <row r="54">
      <c r="A54" s="3">
        <f>IFERROR(__xludf.DUMMYFUNCTION("""COMPUTED_VALUE"""),44636.72916666667)</f>
        <v>44636.72917</v>
      </c>
      <c r="B54" s="1">
        <f>IFERROR(__xludf.DUMMYFUNCTION("""COMPUTED_VALUE"""),48.01)</f>
        <v>48.01</v>
      </c>
      <c r="C54" s="1">
        <f>IFERROR(__xludf.DUMMYFUNCTION("""COMPUTED_VALUE"""),50.9)</f>
        <v>50.9</v>
      </c>
      <c r="D54" s="1">
        <f>IFERROR(__xludf.DUMMYFUNCTION("""COMPUTED_VALUE"""),48.01)</f>
        <v>48.01</v>
      </c>
      <c r="E54" s="1">
        <f>IFERROR(__xludf.DUMMYFUNCTION("""COMPUTED_VALUE"""),50.22)</f>
        <v>50.22</v>
      </c>
      <c r="F54" s="1">
        <f>IFERROR(__xludf.DUMMYFUNCTION("""COMPUTED_VALUE"""),1539503.0)</f>
        <v>1539503</v>
      </c>
      <c r="G54" s="2" t="s">
        <v>15</v>
      </c>
    </row>
    <row r="55">
      <c r="A55" s="3">
        <f>IFERROR(__xludf.DUMMYFUNCTION("""COMPUTED_VALUE"""),44637.72916666667)</f>
        <v>44637.72917</v>
      </c>
      <c r="B55" s="1">
        <f>IFERROR(__xludf.DUMMYFUNCTION("""COMPUTED_VALUE"""),50.88)</f>
        <v>50.88</v>
      </c>
      <c r="C55" s="1">
        <f>IFERROR(__xludf.DUMMYFUNCTION("""COMPUTED_VALUE"""),51.38)</f>
        <v>51.38</v>
      </c>
      <c r="D55" s="1">
        <f>IFERROR(__xludf.DUMMYFUNCTION("""COMPUTED_VALUE"""),48.05)</f>
        <v>48.05</v>
      </c>
      <c r="E55" s="1">
        <f>IFERROR(__xludf.DUMMYFUNCTION("""COMPUTED_VALUE"""),49.03)</f>
        <v>49.03</v>
      </c>
      <c r="F55" s="1">
        <f>IFERROR(__xludf.DUMMYFUNCTION("""COMPUTED_VALUE"""),1094151.0)</f>
        <v>1094151</v>
      </c>
      <c r="G55" s="2" t="s">
        <v>15</v>
      </c>
    </row>
    <row r="56">
      <c r="A56" s="3">
        <f>IFERROR(__xludf.DUMMYFUNCTION("""COMPUTED_VALUE"""),44638.72916666667)</f>
        <v>44638.72917</v>
      </c>
      <c r="B56" s="1">
        <f>IFERROR(__xludf.DUMMYFUNCTION("""COMPUTED_VALUE"""),49.22)</f>
        <v>49.22</v>
      </c>
      <c r="C56" s="1">
        <f>IFERROR(__xludf.DUMMYFUNCTION("""COMPUTED_VALUE"""),51.3)</f>
        <v>51.3</v>
      </c>
      <c r="D56" s="1">
        <f>IFERROR(__xludf.DUMMYFUNCTION("""COMPUTED_VALUE"""),48.65)</f>
        <v>48.65</v>
      </c>
      <c r="E56" s="1">
        <f>IFERROR(__xludf.DUMMYFUNCTION("""COMPUTED_VALUE"""),51.3)</f>
        <v>51.3</v>
      </c>
      <c r="F56" s="1">
        <f>IFERROR(__xludf.DUMMYFUNCTION("""COMPUTED_VALUE"""),1756818.0)</f>
        <v>1756818</v>
      </c>
      <c r="G56" s="2" t="s">
        <v>15</v>
      </c>
    </row>
    <row r="57">
      <c r="A57" s="3">
        <f>IFERROR(__xludf.DUMMYFUNCTION("""COMPUTED_VALUE"""),44641.72916666667)</f>
        <v>44641.72917</v>
      </c>
      <c r="B57" s="1">
        <f>IFERROR(__xludf.DUMMYFUNCTION("""COMPUTED_VALUE"""),51.12)</f>
        <v>51.12</v>
      </c>
      <c r="C57" s="1">
        <f>IFERROR(__xludf.DUMMYFUNCTION("""COMPUTED_VALUE"""),51.14)</f>
        <v>51.14</v>
      </c>
      <c r="D57" s="1">
        <f>IFERROR(__xludf.DUMMYFUNCTION("""COMPUTED_VALUE"""),48.97)</f>
        <v>48.97</v>
      </c>
      <c r="E57" s="1">
        <f>IFERROR(__xludf.DUMMYFUNCTION("""COMPUTED_VALUE"""),49.45)</f>
        <v>49.45</v>
      </c>
      <c r="F57" s="1">
        <f>IFERROR(__xludf.DUMMYFUNCTION("""COMPUTED_VALUE"""),638883.0)</f>
        <v>638883</v>
      </c>
      <c r="G57" s="2" t="s">
        <v>15</v>
      </c>
    </row>
    <row r="58">
      <c r="A58" s="3">
        <f>IFERROR(__xludf.DUMMYFUNCTION("""COMPUTED_VALUE"""),44642.72916666667)</f>
        <v>44642.72917</v>
      </c>
      <c r="B58" s="1">
        <f>IFERROR(__xludf.DUMMYFUNCTION("""COMPUTED_VALUE"""),49.47)</f>
        <v>49.47</v>
      </c>
      <c r="C58" s="1">
        <f>IFERROR(__xludf.DUMMYFUNCTION("""COMPUTED_VALUE"""),50.42)</f>
        <v>50.42</v>
      </c>
      <c r="D58" s="1">
        <f>IFERROR(__xludf.DUMMYFUNCTION("""COMPUTED_VALUE"""),48.93)</f>
        <v>48.93</v>
      </c>
      <c r="E58" s="1">
        <f>IFERROR(__xludf.DUMMYFUNCTION("""COMPUTED_VALUE"""),50.42)</f>
        <v>50.42</v>
      </c>
      <c r="F58" s="1">
        <f>IFERROR(__xludf.DUMMYFUNCTION("""COMPUTED_VALUE"""),697665.0)</f>
        <v>697665</v>
      </c>
      <c r="G58" s="2" t="s">
        <v>15</v>
      </c>
    </row>
    <row r="59">
      <c r="A59" s="3">
        <f>IFERROR(__xludf.DUMMYFUNCTION("""COMPUTED_VALUE"""),44643.72916666667)</f>
        <v>44643.72917</v>
      </c>
      <c r="B59" s="1">
        <f>IFERROR(__xludf.DUMMYFUNCTION("""COMPUTED_VALUE"""),50.56)</f>
        <v>50.56</v>
      </c>
      <c r="C59" s="1">
        <f>IFERROR(__xludf.DUMMYFUNCTION("""COMPUTED_VALUE"""),50.72)</f>
        <v>50.72</v>
      </c>
      <c r="D59" s="1">
        <f>IFERROR(__xludf.DUMMYFUNCTION("""COMPUTED_VALUE"""),47.94)</f>
        <v>47.94</v>
      </c>
      <c r="E59" s="1">
        <f>IFERROR(__xludf.DUMMYFUNCTION("""COMPUTED_VALUE"""),48.99)</f>
        <v>48.99</v>
      </c>
      <c r="F59" s="1">
        <f>IFERROR(__xludf.DUMMYFUNCTION("""COMPUTED_VALUE"""),922981.0)</f>
        <v>922981</v>
      </c>
      <c r="G59" s="2" t="s">
        <v>15</v>
      </c>
    </row>
    <row r="60">
      <c r="A60" s="3">
        <f>IFERROR(__xludf.DUMMYFUNCTION("""COMPUTED_VALUE"""),44644.72916666667)</f>
        <v>44644.72917</v>
      </c>
      <c r="B60" s="1">
        <f>IFERROR(__xludf.DUMMYFUNCTION("""COMPUTED_VALUE"""),48.88)</f>
        <v>48.88</v>
      </c>
      <c r="C60" s="1">
        <f>IFERROR(__xludf.DUMMYFUNCTION("""COMPUTED_VALUE"""),49.45)</f>
        <v>49.45</v>
      </c>
      <c r="D60" s="1">
        <f>IFERROR(__xludf.DUMMYFUNCTION("""COMPUTED_VALUE"""),47.35)</f>
        <v>47.35</v>
      </c>
      <c r="E60" s="1">
        <f>IFERROR(__xludf.DUMMYFUNCTION("""COMPUTED_VALUE"""),47.88)</f>
        <v>47.88</v>
      </c>
      <c r="F60" s="1">
        <f>IFERROR(__xludf.DUMMYFUNCTION("""COMPUTED_VALUE"""),1087922.0)</f>
        <v>1087922</v>
      </c>
      <c r="G60" s="2" t="s">
        <v>15</v>
      </c>
    </row>
    <row r="61">
      <c r="A61" s="3">
        <f>IFERROR(__xludf.DUMMYFUNCTION("""COMPUTED_VALUE"""),44645.72916666667)</f>
        <v>44645.72917</v>
      </c>
      <c r="B61" s="1">
        <f>IFERROR(__xludf.DUMMYFUNCTION("""COMPUTED_VALUE"""),48.0)</f>
        <v>48</v>
      </c>
      <c r="C61" s="1">
        <f>IFERROR(__xludf.DUMMYFUNCTION("""COMPUTED_VALUE"""),48.9)</f>
        <v>48.9</v>
      </c>
      <c r="D61" s="1">
        <f>IFERROR(__xludf.DUMMYFUNCTION("""COMPUTED_VALUE"""),47.03)</f>
        <v>47.03</v>
      </c>
      <c r="E61" s="1">
        <f>IFERROR(__xludf.DUMMYFUNCTION("""COMPUTED_VALUE"""),47.13)</f>
        <v>47.13</v>
      </c>
      <c r="F61" s="1">
        <f>IFERROR(__xludf.DUMMYFUNCTION("""COMPUTED_VALUE"""),1035643.0)</f>
        <v>1035643</v>
      </c>
      <c r="G61" s="2" t="s">
        <v>15</v>
      </c>
    </row>
    <row r="62">
      <c r="A62" s="3">
        <f>IFERROR(__xludf.DUMMYFUNCTION("""COMPUTED_VALUE"""),44648.72916666667)</f>
        <v>44648.72917</v>
      </c>
      <c r="B62" s="1">
        <f>IFERROR(__xludf.DUMMYFUNCTION("""COMPUTED_VALUE"""),47.46)</f>
        <v>47.46</v>
      </c>
      <c r="C62" s="1">
        <f>IFERROR(__xludf.DUMMYFUNCTION("""COMPUTED_VALUE"""),49.65)</f>
        <v>49.65</v>
      </c>
      <c r="D62" s="1">
        <f>IFERROR(__xludf.DUMMYFUNCTION("""COMPUTED_VALUE"""),47.35)</f>
        <v>47.35</v>
      </c>
      <c r="E62" s="1">
        <f>IFERROR(__xludf.DUMMYFUNCTION("""COMPUTED_VALUE"""),47.86)</f>
        <v>47.86</v>
      </c>
      <c r="F62" s="1">
        <f>IFERROR(__xludf.DUMMYFUNCTION("""COMPUTED_VALUE"""),840558.0)</f>
        <v>840558</v>
      </c>
      <c r="G62" s="2" t="s">
        <v>15</v>
      </c>
    </row>
    <row r="63">
      <c r="A63" s="3">
        <f>IFERROR(__xludf.DUMMYFUNCTION("""COMPUTED_VALUE"""),44649.72916666667)</f>
        <v>44649.72917</v>
      </c>
      <c r="B63" s="1">
        <f>IFERROR(__xludf.DUMMYFUNCTION("""COMPUTED_VALUE"""),48.67)</f>
        <v>48.67</v>
      </c>
      <c r="C63" s="1">
        <f>IFERROR(__xludf.DUMMYFUNCTION("""COMPUTED_VALUE"""),50.46)</f>
        <v>50.46</v>
      </c>
      <c r="D63" s="1">
        <f>IFERROR(__xludf.DUMMYFUNCTION("""COMPUTED_VALUE"""),48.53)</f>
        <v>48.53</v>
      </c>
      <c r="E63" s="1">
        <f>IFERROR(__xludf.DUMMYFUNCTION("""COMPUTED_VALUE"""),50.2)</f>
        <v>50.2</v>
      </c>
      <c r="F63" s="1">
        <f>IFERROR(__xludf.DUMMYFUNCTION("""COMPUTED_VALUE"""),2231355.0)</f>
        <v>2231355</v>
      </c>
      <c r="G63" s="2" t="s">
        <v>15</v>
      </c>
    </row>
    <row r="64">
      <c r="A64" s="3">
        <f>IFERROR(__xludf.DUMMYFUNCTION("""COMPUTED_VALUE"""),44650.72916666667)</f>
        <v>44650.72917</v>
      </c>
      <c r="B64" s="1">
        <f>IFERROR(__xludf.DUMMYFUNCTION("""COMPUTED_VALUE"""),50.32)</f>
        <v>50.32</v>
      </c>
      <c r="C64" s="1">
        <f>IFERROR(__xludf.DUMMYFUNCTION("""COMPUTED_VALUE"""),50.36)</f>
        <v>50.36</v>
      </c>
      <c r="D64" s="1">
        <f>IFERROR(__xludf.DUMMYFUNCTION("""COMPUTED_VALUE"""),47.64)</f>
        <v>47.64</v>
      </c>
      <c r="E64" s="1">
        <f>IFERROR(__xludf.DUMMYFUNCTION("""COMPUTED_VALUE"""),49.25)</f>
        <v>49.25</v>
      </c>
      <c r="F64" s="1">
        <f>IFERROR(__xludf.DUMMYFUNCTION("""COMPUTED_VALUE"""),1344717.0)</f>
        <v>1344717</v>
      </c>
      <c r="G64" s="2" t="s">
        <v>15</v>
      </c>
    </row>
    <row r="65">
      <c r="A65" s="3">
        <f>IFERROR(__xludf.DUMMYFUNCTION("""COMPUTED_VALUE"""),44651.72916666667)</f>
        <v>44651.72917</v>
      </c>
      <c r="B65" s="1">
        <f>IFERROR(__xludf.DUMMYFUNCTION("""COMPUTED_VALUE"""),49.48)</f>
        <v>49.48</v>
      </c>
      <c r="C65" s="1">
        <f>IFERROR(__xludf.DUMMYFUNCTION("""COMPUTED_VALUE"""),50.08)</f>
        <v>50.08</v>
      </c>
      <c r="D65" s="1">
        <f>IFERROR(__xludf.DUMMYFUNCTION("""COMPUTED_VALUE"""),45.79)</f>
        <v>45.79</v>
      </c>
      <c r="E65" s="1">
        <f>IFERROR(__xludf.DUMMYFUNCTION("""COMPUTED_VALUE"""),46.0)</f>
        <v>46</v>
      </c>
      <c r="F65" s="1">
        <f>IFERROR(__xludf.DUMMYFUNCTION("""COMPUTED_VALUE"""),1541702.0)</f>
        <v>1541702</v>
      </c>
      <c r="G65" s="2" t="s">
        <v>15</v>
      </c>
    </row>
    <row r="66">
      <c r="A66" s="3">
        <f>IFERROR(__xludf.DUMMYFUNCTION("""COMPUTED_VALUE"""),44652.72916666667)</f>
        <v>44652.72917</v>
      </c>
      <c r="B66" s="1">
        <f>IFERROR(__xludf.DUMMYFUNCTION("""COMPUTED_VALUE"""),46.28)</f>
        <v>46.28</v>
      </c>
      <c r="C66" s="1">
        <f>IFERROR(__xludf.DUMMYFUNCTION("""COMPUTED_VALUE"""),48.22)</f>
        <v>48.22</v>
      </c>
      <c r="D66" s="1">
        <f>IFERROR(__xludf.DUMMYFUNCTION("""COMPUTED_VALUE"""),46.08)</f>
        <v>46.08</v>
      </c>
      <c r="E66" s="1">
        <f>IFERROR(__xludf.DUMMYFUNCTION("""COMPUTED_VALUE"""),47.36)</f>
        <v>47.36</v>
      </c>
      <c r="F66" s="1">
        <f>IFERROR(__xludf.DUMMYFUNCTION("""COMPUTED_VALUE"""),1290512.0)</f>
        <v>1290512</v>
      </c>
      <c r="G66" s="2" t="s">
        <v>15</v>
      </c>
    </row>
    <row r="67">
      <c r="A67" s="3">
        <f>IFERROR(__xludf.DUMMYFUNCTION("""COMPUTED_VALUE"""),44655.72916666667)</f>
        <v>44655.72917</v>
      </c>
      <c r="B67" s="1">
        <f>IFERROR(__xludf.DUMMYFUNCTION("""COMPUTED_VALUE"""),47.77)</f>
        <v>47.77</v>
      </c>
      <c r="C67" s="1">
        <f>IFERROR(__xludf.DUMMYFUNCTION("""COMPUTED_VALUE"""),51.04)</f>
        <v>51.04</v>
      </c>
      <c r="D67" s="1">
        <f>IFERROR(__xludf.DUMMYFUNCTION("""COMPUTED_VALUE"""),47.23)</f>
        <v>47.23</v>
      </c>
      <c r="E67" s="1">
        <f>IFERROR(__xludf.DUMMYFUNCTION("""COMPUTED_VALUE"""),50.54)</f>
        <v>50.54</v>
      </c>
      <c r="F67" s="1">
        <f>IFERROR(__xludf.DUMMYFUNCTION("""COMPUTED_VALUE"""),1259404.0)</f>
        <v>1259404</v>
      </c>
      <c r="G67" s="2" t="s">
        <v>15</v>
      </c>
    </row>
    <row r="68">
      <c r="A68" s="3">
        <f>IFERROR(__xludf.DUMMYFUNCTION("""COMPUTED_VALUE"""),44656.72916666667)</f>
        <v>44656.72917</v>
      </c>
      <c r="B68" s="1">
        <f>IFERROR(__xludf.DUMMYFUNCTION("""COMPUTED_VALUE"""),50.58)</f>
        <v>50.58</v>
      </c>
      <c r="C68" s="1">
        <f>IFERROR(__xludf.DUMMYFUNCTION("""COMPUTED_VALUE"""),51.6)</f>
        <v>51.6</v>
      </c>
      <c r="D68" s="1">
        <f>IFERROR(__xludf.DUMMYFUNCTION("""COMPUTED_VALUE"""),49.73)</f>
        <v>49.73</v>
      </c>
      <c r="E68" s="1">
        <f>IFERROR(__xludf.DUMMYFUNCTION("""COMPUTED_VALUE"""),50.56)</f>
        <v>50.56</v>
      </c>
      <c r="F68" s="1">
        <f>IFERROR(__xludf.DUMMYFUNCTION("""COMPUTED_VALUE"""),711713.0)</f>
        <v>711713</v>
      </c>
      <c r="G68" s="2" t="s">
        <v>15</v>
      </c>
    </row>
    <row r="69">
      <c r="A69" s="3">
        <f>IFERROR(__xludf.DUMMYFUNCTION("""COMPUTED_VALUE"""),44657.72916666667)</f>
        <v>44657.72917</v>
      </c>
      <c r="B69" s="1">
        <f>IFERROR(__xludf.DUMMYFUNCTION("""COMPUTED_VALUE"""),50.56)</f>
        <v>50.56</v>
      </c>
      <c r="C69" s="1">
        <f>IFERROR(__xludf.DUMMYFUNCTION("""COMPUTED_VALUE"""),50.84)</f>
        <v>50.84</v>
      </c>
      <c r="D69" s="1">
        <f>IFERROR(__xludf.DUMMYFUNCTION("""COMPUTED_VALUE"""),46.9)</f>
        <v>46.9</v>
      </c>
      <c r="E69" s="1">
        <f>IFERROR(__xludf.DUMMYFUNCTION("""COMPUTED_VALUE"""),47.06)</f>
        <v>47.06</v>
      </c>
      <c r="F69" s="1">
        <f>IFERROR(__xludf.DUMMYFUNCTION("""COMPUTED_VALUE"""),1284769.0)</f>
        <v>1284769</v>
      </c>
      <c r="G69" s="2" t="s">
        <v>15</v>
      </c>
    </row>
    <row r="70">
      <c r="A70" s="3">
        <f>IFERROR(__xludf.DUMMYFUNCTION("""COMPUTED_VALUE"""),44658.72916666667)</f>
        <v>44658.72917</v>
      </c>
      <c r="B70" s="1">
        <f>IFERROR(__xludf.DUMMYFUNCTION("""COMPUTED_VALUE"""),47.32)</f>
        <v>47.32</v>
      </c>
      <c r="C70" s="1">
        <f>IFERROR(__xludf.DUMMYFUNCTION("""COMPUTED_VALUE"""),47.77)</f>
        <v>47.77</v>
      </c>
      <c r="D70" s="1">
        <f>IFERROR(__xludf.DUMMYFUNCTION("""COMPUTED_VALUE"""),46.1)</f>
        <v>46.1</v>
      </c>
      <c r="E70" s="1">
        <f>IFERROR(__xludf.DUMMYFUNCTION("""COMPUTED_VALUE"""),46.13)</f>
        <v>46.13</v>
      </c>
      <c r="F70" s="1">
        <f>IFERROR(__xludf.DUMMYFUNCTION("""COMPUTED_VALUE"""),1311373.0)</f>
        <v>1311373</v>
      </c>
      <c r="G70" s="2" t="s">
        <v>15</v>
      </c>
    </row>
    <row r="71">
      <c r="A71" s="3">
        <f>IFERROR(__xludf.DUMMYFUNCTION("""COMPUTED_VALUE"""),44659.72916666667)</f>
        <v>44659.72917</v>
      </c>
      <c r="B71" s="1">
        <f>IFERROR(__xludf.DUMMYFUNCTION("""COMPUTED_VALUE"""),47.16)</f>
        <v>47.16</v>
      </c>
      <c r="C71" s="1">
        <f>IFERROR(__xludf.DUMMYFUNCTION("""COMPUTED_VALUE"""),47.35)</f>
        <v>47.35</v>
      </c>
      <c r="D71" s="1">
        <f>IFERROR(__xludf.DUMMYFUNCTION("""COMPUTED_VALUE"""),45.17)</f>
        <v>45.17</v>
      </c>
      <c r="E71" s="1">
        <f>IFERROR(__xludf.DUMMYFUNCTION("""COMPUTED_VALUE"""),45.95)</f>
        <v>45.95</v>
      </c>
      <c r="F71" s="1">
        <f>IFERROR(__xludf.DUMMYFUNCTION("""COMPUTED_VALUE"""),881935.0)</f>
        <v>881935</v>
      </c>
      <c r="G71" s="2" t="s">
        <v>15</v>
      </c>
    </row>
    <row r="72">
      <c r="A72" s="3">
        <f>IFERROR(__xludf.DUMMYFUNCTION("""COMPUTED_VALUE"""),44662.72916666667)</f>
        <v>44662.72917</v>
      </c>
      <c r="B72" s="1">
        <f>IFERROR(__xludf.DUMMYFUNCTION("""COMPUTED_VALUE"""),45.22)</f>
        <v>45.22</v>
      </c>
      <c r="C72" s="1">
        <f>IFERROR(__xludf.DUMMYFUNCTION("""COMPUTED_VALUE"""),45.7)</f>
        <v>45.7</v>
      </c>
      <c r="D72" s="1">
        <f>IFERROR(__xludf.DUMMYFUNCTION("""COMPUTED_VALUE"""),43.28)</f>
        <v>43.28</v>
      </c>
      <c r="E72" s="1">
        <f>IFERROR(__xludf.DUMMYFUNCTION("""COMPUTED_VALUE"""),43.5)</f>
        <v>43.5</v>
      </c>
      <c r="F72" s="1">
        <f>IFERROR(__xludf.DUMMYFUNCTION("""COMPUTED_VALUE"""),868467.0)</f>
        <v>868467</v>
      </c>
      <c r="G72" s="2" t="s">
        <v>15</v>
      </c>
    </row>
    <row r="73">
      <c r="A73" s="3">
        <f>IFERROR(__xludf.DUMMYFUNCTION("""COMPUTED_VALUE"""),44663.72916666667)</f>
        <v>44663.72917</v>
      </c>
      <c r="B73" s="1">
        <f>IFERROR(__xludf.DUMMYFUNCTION("""COMPUTED_VALUE"""),42.47)</f>
        <v>42.47</v>
      </c>
      <c r="C73" s="1">
        <f>IFERROR(__xludf.DUMMYFUNCTION("""COMPUTED_VALUE"""),45.19)</f>
        <v>45.19</v>
      </c>
      <c r="D73" s="1">
        <f>IFERROR(__xludf.DUMMYFUNCTION("""COMPUTED_VALUE"""),42.2)</f>
        <v>42.2</v>
      </c>
      <c r="E73" s="1">
        <f>IFERROR(__xludf.DUMMYFUNCTION("""COMPUTED_VALUE"""),44.56)</f>
        <v>44.56</v>
      </c>
      <c r="F73" s="1">
        <f>IFERROR(__xludf.DUMMYFUNCTION("""COMPUTED_VALUE"""),1023031.0)</f>
        <v>1023031</v>
      </c>
      <c r="G73" s="2" t="s">
        <v>15</v>
      </c>
    </row>
    <row r="74">
      <c r="A74" s="3">
        <f>IFERROR(__xludf.DUMMYFUNCTION("""COMPUTED_VALUE"""),44664.72916666667)</f>
        <v>44664.72917</v>
      </c>
      <c r="B74" s="1">
        <f>IFERROR(__xludf.DUMMYFUNCTION("""COMPUTED_VALUE"""),44.6)</f>
        <v>44.6</v>
      </c>
      <c r="C74" s="1">
        <f>IFERROR(__xludf.DUMMYFUNCTION("""COMPUTED_VALUE"""),44.74)</f>
        <v>44.74</v>
      </c>
      <c r="D74" s="1">
        <f>IFERROR(__xludf.DUMMYFUNCTION("""COMPUTED_VALUE"""),42.26)</f>
        <v>42.26</v>
      </c>
      <c r="E74" s="1">
        <f>IFERROR(__xludf.DUMMYFUNCTION("""COMPUTED_VALUE"""),44.14)</f>
        <v>44.14</v>
      </c>
      <c r="F74" s="1">
        <f>IFERROR(__xludf.DUMMYFUNCTION("""COMPUTED_VALUE"""),913640.0)</f>
        <v>913640</v>
      </c>
      <c r="G74" s="2" t="s">
        <v>15</v>
      </c>
    </row>
    <row r="75">
      <c r="A75" s="3">
        <f>IFERROR(__xludf.DUMMYFUNCTION("""COMPUTED_VALUE"""),44665.72916666667)</f>
        <v>44665.72917</v>
      </c>
      <c r="B75" s="1">
        <f>IFERROR(__xludf.DUMMYFUNCTION("""COMPUTED_VALUE"""),44.3)</f>
        <v>44.3</v>
      </c>
      <c r="C75" s="1">
        <f>IFERROR(__xludf.DUMMYFUNCTION("""COMPUTED_VALUE"""),44.34)</f>
        <v>44.34</v>
      </c>
      <c r="D75" s="1">
        <f>IFERROR(__xludf.DUMMYFUNCTION("""COMPUTED_VALUE"""),43.07)</f>
        <v>43.07</v>
      </c>
      <c r="E75" s="1">
        <f>IFERROR(__xludf.DUMMYFUNCTION("""COMPUTED_VALUE"""),43.59)</f>
        <v>43.59</v>
      </c>
      <c r="F75" s="1">
        <f>IFERROR(__xludf.DUMMYFUNCTION("""COMPUTED_VALUE"""),963843.0)</f>
        <v>963843</v>
      </c>
      <c r="G75" s="2" t="s">
        <v>15</v>
      </c>
    </row>
    <row r="76">
      <c r="A76" s="3">
        <f>IFERROR(__xludf.DUMMYFUNCTION("""COMPUTED_VALUE"""),44670.72916666667)</f>
        <v>44670.72917</v>
      </c>
      <c r="B76" s="1">
        <f>IFERROR(__xludf.DUMMYFUNCTION("""COMPUTED_VALUE"""),43.33)</f>
        <v>43.33</v>
      </c>
      <c r="C76" s="1">
        <f>IFERROR(__xludf.DUMMYFUNCTION("""COMPUTED_VALUE"""),43.61)</f>
        <v>43.61</v>
      </c>
      <c r="D76" s="1">
        <f>IFERROR(__xludf.DUMMYFUNCTION("""COMPUTED_VALUE"""),42.03)</f>
        <v>42.03</v>
      </c>
      <c r="E76" s="1">
        <f>IFERROR(__xludf.DUMMYFUNCTION("""COMPUTED_VALUE"""),43.44)</f>
        <v>43.44</v>
      </c>
      <c r="F76" s="1">
        <f>IFERROR(__xludf.DUMMYFUNCTION("""COMPUTED_VALUE"""),837044.0)</f>
        <v>837044</v>
      </c>
      <c r="G76" s="2" t="s">
        <v>15</v>
      </c>
    </row>
    <row r="77">
      <c r="A77" s="3">
        <f>IFERROR(__xludf.DUMMYFUNCTION("""COMPUTED_VALUE"""),44671.72916666667)</f>
        <v>44671.72917</v>
      </c>
      <c r="B77" s="1">
        <f>IFERROR(__xludf.DUMMYFUNCTION("""COMPUTED_VALUE"""),43.15)</f>
        <v>43.15</v>
      </c>
      <c r="C77" s="1">
        <f>IFERROR(__xludf.DUMMYFUNCTION("""COMPUTED_VALUE"""),44.43)</f>
        <v>44.43</v>
      </c>
      <c r="D77" s="1">
        <f>IFERROR(__xludf.DUMMYFUNCTION("""COMPUTED_VALUE"""),42.31)</f>
        <v>42.31</v>
      </c>
      <c r="E77" s="1">
        <f>IFERROR(__xludf.DUMMYFUNCTION("""COMPUTED_VALUE"""),43.44)</f>
        <v>43.44</v>
      </c>
      <c r="F77" s="1">
        <f>IFERROR(__xludf.DUMMYFUNCTION("""COMPUTED_VALUE"""),1080971.0)</f>
        <v>1080971</v>
      </c>
      <c r="G77" s="2" t="s">
        <v>15</v>
      </c>
    </row>
    <row r="78">
      <c r="A78" s="3">
        <f>IFERROR(__xludf.DUMMYFUNCTION("""COMPUTED_VALUE"""),44672.72916666667)</f>
        <v>44672.72917</v>
      </c>
      <c r="B78" s="1">
        <f>IFERROR(__xludf.DUMMYFUNCTION("""COMPUTED_VALUE"""),43.04)</f>
        <v>43.04</v>
      </c>
      <c r="C78" s="1">
        <f>IFERROR(__xludf.DUMMYFUNCTION("""COMPUTED_VALUE"""),43.11)</f>
        <v>43.11</v>
      </c>
      <c r="D78" s="1">
        <f>IFERROR(__xludf.DUMMYFUNCTION("""COMPUTED_VALUE"""),42.02)</f>
        <v>42.02</v>
      </c>
      <c r="E78" s="1">
        <f>IFERROR(__xludf.DUMMYFUNCTION("""COMPUTED_VALUE"""),42.33)</f>
        <v>42.33</v>
      </c>
      <c r="F78" s="1">
        <f>IFERROR(__xludf.DUMMYFUNCTION("""COMPUTED_VALUE"""),1148786.0)</f>
        <v>1148786</v>
      </c>
      <c r="G78" s="2" t="s">
        <v>15</v>
      </c>
    </row>
    <row r="79">
      <c r="A79" s="3">
        <f>IFERROR(__xludf.DUMMYFUNCTION("""COMPUTED_VALUE"""),44673.72916666667)</f>
        <v>44673.72917</v>
      </c>
      <c r="B79" s="1">
        <f>IFERROR(__xludf.DUMMYFUNCTION("""COMPUTED_VALUE"""),41.56)</f>
        <v>41.56</v>
      </c>
      <c r="C79" s="1">
        <f>IFERROR(__xludf.DUMMYFUNCTION("""COMPUTED_VALUE"""),41.62)</f>
        <v>41.62</v>
      </c>
      <c r="D79" s="1">
        <f>IFERROR(__xludf.DUMMYFUNCTION("""COMPUTED_VALUE"""),40.38)</f>
        <v>40.38</v>
      </c>
      <c r="E79" s="1">
        <f>IFERROR(__xludf.DUMMYFUNCTION("""COMPUTED_VALUE"""),40.41)</f>
        <v>40.41</v>
      </c>
      <c r="F79" s="1">
        <f>IFERROR(__xludf.DUMMYFUNCTION("""COMPUTED_VALUE"""),1392926.0)</f>
        <v>1392926</v>
      </c>
      <c r="G79" s="2" t="s">
        <v>15</v>
      </c>
    </row>
    <row r="80">
      <c r="A80" s="3">
        <f>IFERROR(__xludf.DUMMYFUNCTION("""COMPUTED_VALUE"""),44676.72916666667)</f>
        <v>44676.72917</v>
      </c>
      <c r="B80" s="1">
        <f>IFERROR(__xludf.DUMMYFUNCTION("""COMPUTED_VALUE"""),39.21)</f>
        <v>39.21</v>
      </c>
      <c r="C80" s="1">
        <f>IFERROR(__xludf.DUMMYFUNCTION("""COMPUTED_VALUE"""),40.31)</f>
        <v>40.31</v>
      </c>
      <c r="D80" s="1">
        <f>IFERROR(__xludf.DUMMYFUNCTION("""COMPUTED_VALUE"""),38.33)</f>
        <v>38.33</v>
      </c>
      <c r="E80" s="1">
        <f>IFERROR(__xludf.DUMMYFUNCTION("""COMPUTED_VALUE"""),39.5)</f>
        <v>39.5</v>
      </c>
      <c r="F80" s="1">
        <f>IFERROR(__xludf.DUMMYFUNCTION("""COMPUTED_VALUE"""),923927.0)</f>
        <v>923927</v>
      </c>
      <c r="G80" s="2" t="s">
        <v>15</v>
      </c>
    </row>
    <row r="81">
      <c r="A81" s="3">
        <f>IFERROR(__xludf.DUMMYFUNCTION("""COMPUTED_VALUE"""),44677.72916666667)</f>
        <v>44677.72917</v>
      </c>
      <c r="B81" s="1">
        <f>IFERROR(__xludf.DUMMYFUNCTION("""COMPUTED_VALUE"""),40.0)</f>
        <v>40</v>
      </c>
      <c r="C81" s="1">
        <f>IFERROR(__xludf.DUMMYFUNCTION("""COMPUTED_VALUE"""),40.02)</f>
        <v>40.02</v>
      </c>
      <c r="D81" s="1">
        <f>IFERROR(__xludf.DUMMYFUNCTION("""COMPUTED_VALUE"""),37.24)</f>
        <v>37.24</v>
      </c>
      <c r="E81" s="1">
        <f>IFERROR(__xludf.DUMMYFUNCTION("""COMPUTED_VALUE"""),37.24)</f>
        <v>37.24</v>
      </c>
      <c r="F81" s="1">
        <f>IFERROR(__xludf.DUMMYFUNCTION("""COMPUTED_VALUE"""),1175258.0)</f>
        <v>1175258</v>
      </c>
      <c r="G81" s="2" t="s">
        <v>15</v>
      </c>
    </row>
    <row r="82">
      <c r="A82" s="3">
        <f>IFERROR(__xludf.DUMMYFUNCTION("""COMPUTED_VALUE"""),44678.72916666667)</f>
        <v>44678.72917</v>
      </c>
      <c r="B82" s="1">
        <f>IFERROR(__xludf.DUMMYFUNCTION("""COMPUTED_VALUE"""),37.18)</f>
        <v>37.18</v>
      </c>
      <c r="C82" s="1">
        <f>IFERROR(__xludf.DUMMYFUNCTION("""COMPUTED_VALUE"""),37.36)</f>
        <v>37.36</v>
      </c>
      <c r="D82" s="1">
        <f>IFERROR(__xludf.DUMMYFUNCTION("""COMPUTED_VALUE"""),35.55)</f>
        <v>35.55</v>
      </c>
      <c r="E82" s="1">
        <f>IFERROR(__xludf.DUMMYFUNCTION("""COMPUTED_VALUE"""),36.38)</f>
        <v>36.38</v>
      </c>
      <c r="F82" s="1">
        <f>IFERROR(__xludf.DUMMYFUNCTION("""COMPUTED_VALUE"""),1857679.0)</f>
        <v>1857679</v>
      </c>
      <c r="G82" s="2" t="s">
        <v>15</v>
      </c>
    </row>
    <row r="83">
      <c r="A83" s="3">
        <f>IFERROR(__xludf.DUMMYFUNCTION("""COMPUTED_VALUE"""),44679.72916666667)</f>
        <v>44679.72917</v>
      </c>
      <c r="B83" s="1">
        <f>IFERROR(__xludf.DUMMYFUNCTION("""COMPUTED_VALUE"""),37.18)</f>
        <v>37.18</v>
      </c>
      <c r="C83" s="1">
        <f>IFERROR(__xludf.DUMMYFUNCTION("""COMPUTED_VALUE"""),37.54)</f>
        <v>37.54</v>
      </c>
      <c r="D83" s="1">
        <f>IFERROR(__xludf.DUMMYFUNCTION("""COMPUTED_VALUE"""),36.2)</f>
        <v>36.2</v>
      </c>
      <c r="E83" s="1">
        <f>IFERROR(__xludf.DUMMYFUNCTION("""COMPUTED_VALUE"""),37.08)</f>
        <v>37.08</v>
      </c>
      <c r="F83" s="1">
        <f>IFERROR(__xludf.DUMMYFUNCTION("""COMPUTED_VALUE"""),1383566.0)</f>
        <v>1383566</v>
      </c>
      <c r="G83" s="2" t="s">
        <v>15</v>
      </c>
    </row>
    <row r="84">
      <c r="A84" s="3">
        <f>IFERROR(__xludf.DUMMYFUNCTION("""COMPUTED_VALUE"""),44680.72916666667)</f>
        <v>44680.72917</v>
      </c>
      <c r="B84" s="1">
        <f>IFERROR(__xludf.DUMMYFUNCTION("""COMPUTED_VALUE"""),37.23)</f>
        <v>37.23</v>
      </c>
      <c r="C84" s="1">
        <f>IFERROR(__xludf.DUMMYFUNCTION("""COMPUTED_VALUE"""),38.05)</f>
        <v>38.05</v>
      </c>
      <c r="D84" s="1">
        <f>IFERROR(__xludf.DUMMYFUNCTION("""COMPUTED_VALUE"""),36.97)</f>
        <v>36.97</v>
      </c>
      <c r="E84" s="1">
        <f>IFERROR(__xludf.DUMMYFUNCTION("""COMPUTED_VALUE"""),37.83)</f>
        <v>37.83</v>
      </c>
      <c r="F84" s="1">
        <f>IFERROR(__xludf.DUMMYFUNCTION("""COMPUTED_VALUE"""),1336456.0)</f>
        <v>1336456</v>
      </c>
      <c r="G84" s="2" t="s">
        <v>15</v>
      </c>
    </row>
    <row r="85">
      <c r="A85" s="3">
        <f>IFERROR(__xludf.DUMMYFUNCTION("""COMPUTED_VALUE"""),44683.72916666667)</f>
        <v>44683.72917</v>
      </c>
      <c r="B85" s="1">
        <f>IFERROR(__xludf.DUMMYFUNCTION("""COMPUTED_VALUE"""),37.6)</f>
        <v>37.6</v>
      </c>
      <c r="C85" s="1">
        <f>IFERROR(__xludf.DUMMYFUNCTION("""COMPUTED_VALUE"""),38.19)</f>
        <v>38.19</v>
      </c>
      <c r="D85" s="1">
        <f>IFERROR(__xludf.DUMMYFUNCTION("""COMPUTED_VALUE"""),35.12)</f>
        <v>35.12</v>
      </c>
      <c r="E85" s="1">
        <f>IFERROR(__xludf.DUMMYFUNCTION("""COMPUTED_VALUE"""),37.74)</f>
        <v>37.74</v>
      </c>
      <c r="F85" s="1">
        <f>IFERROR(__xludf.DUMMYFUNCTION("""COMPUTED_VALUE"""),805932.0)</f>
        <v>805932</v>
      </c>
      <c r="G85" s="2" t="s">
        <v>15</v>
      </c>
    </row>
    <row r="86">
      <c r="A86" s="3">
        <f>IFERROR(__xludf.DUMMYFUNCTION("""COMPUTED_VALUE"""),44684.72916666667)</f>
        <v>44684.72917</v>
      </c>
      <c r="B86" s="1">
        <f>IFERROR(__xludf.DUMMYFUNCTION("""COMPUTED_VALUE"""),38.1)</f>
        <v>38.1</v>
      </c>
      <c r="C86" s="1">
        <f>IFERROR(__xludf.DUMMYFUNCTION("""COMPUTED_VALUE"""),38.66)</f>
        <v>38.66</v>
      </c>
      <c r="D86" s="1">
        <f>IFERROR(__xludf.DUMMYFUNCTION("""COMPUTED_VALUE"""),37.37)</f>
        <v>37.37</v>
      </c>
      <c r="E86" s="1">
        <f>IFERROR(__xludf.DUMMYFUNCTION("""COMPUTED_VALUE"""),38.07)</f>
        <v>38.07</v>
      </c>
      <c r="F86" s="1">
        <f>IFERROR(__xludf.DUMMYFUNCTION("""COMPUTED_VALUE"""),731010.0)</f>
        <v>731010</v>
      </c>
      <c r="G86" s="2" t="s">
        <v>15</v>
      </c>
    </row>
    <row r="87">
      <c r="A87" s="3">
        <f>IFERROR(__xludf.DUMMYFUNCTION("""COMPUTED_VALUE"""),44685.72916666667)</f>
        <v>44685.72917</v>
      </c>
      <c r="B87" s="1">
        <f>IFERROR(__xludf.DUMMYFUNCTION("""COMPUTED_VALUE"""),37.7)</f>
        <v>37.7</v>
      </c>
      <c r="C87" s="1">
        <f>IFERROR(__xludf.DUMMYFUNCTION("""COMPUTED_VALUE"""),38.06)</f>
        <v>38.06</v>
      </c>
      <c r="D87" s="1">
        <f>IFERROR(__xludf.DUMMYFUNCTION("""COMPUTED_VALUE"""),36.22)</f>
        <v>36.22</v>
      </c>
      <c r="E87" s="1">
        <f>IFERROR(__xludf.DUMMYFUNCTION("""COMPUTED_VALUE"""),37.15)</f>
        <v>37.15</v>
      </c>
      <c r="F87" s="1">
        <f>IFERROR(__xludf.DUMMYFUNCTION("""COMPUTED_VALUE"""),1202992.0)</f>
        <v>1202992</v>
      </c>
      <c r="G87" s="2" t="s">
        <v>15</v>
      </c>
    </row>
    <row r="88">
      <c r="A88" s="3">
        <f>IFERROR(__xludf.DUMMYFUNCTION("""COMPUTED_VALUE"""),44686.72916666667)</f>
        <v>44686.72917</v>
      </c>
      <c r="B88" s="1">
        <f>IFERROR(__xludf.DUMMYFUNCTION("""COMPUTED_VALUE"""),38.11)</f>
        <v>38.11</v>
      </c>
      <c r="C88" s="1">
        <f>IFERROR(__xludf.DUMMYFUNCTION("""COMPUTED_VALUE"""),38.38)</f>
        <v>38.38</v>
      </c>
      <c r="D88" s="1">
        <f>IFERROR(__xludf.DUMMYFUNCTION("""COMPUTED_VALUE"""),32.1)</f>
        <v>32.1</v>
      </c>
      <c r="E88" s="1">
        <f>IFERROR(__xludf.DUMMYFUNCTION("""COMPUTED_VALUE"""),33.21)</f>
        <v>33.21</v>
      </c>
      <c r="F88" s="1">
        <f>IFERROR(__xludf.DUMMYFUNCTION("""COMPUTED_VALUE"""),3327991.0)</f>
        <v>3327991</v>
      </c>
      <c r="G88" s="2" t="s">
        <v>15</v>
      </c>
    </row>
    <row r="89">
      <c r="A89" s="3">
        <f>IFERROR(__xludf.DUMMYFUNCTION("""COMPUTED_VALUE"""),44687.72916666667)</f>
        <v>44687.72917</v>
      </c>
      <c r="B89" s="1">
        <f>IFERROR(__xludf.DUMMYFUNCTION("""COMPUTED_VALUE"""),32.5)</f>
        <v>32.5</v>
      </c>
      <c r="C89" s="1">
        <f>IFERROR(__xludf.DUMMYFUNCTION("""COMPUTED_VALUE"""),33.61)</f>
        <v>33.61</v>
      </c>
      <c r="D89" s="1">
        <f>IFERROR(__xludf.DUMMYFUNCTION("""COMPUTED_VALUE"""),30.89)</f>
        <v>30.89</v>
      </c>
      <c r="E89" s="1">
        <f>IFERROR(__xludf.DUMMYFUNCTION("""COMPUTED_VALUE"""),33.42)</f>
        <v>33.42</v>
      </c>
      <c r="F89" s="1">
        <f>IFERROR(__xludf.DUMMYFUNCTION("""COMPUTED_VALUE"""),2703720.0)</f>
        <v>2703720</v>
      </c>
      <c r="G89" s="2" t="s">
        <v>15</v>
      </c>
    </row>
    <row r="90">
      <c r="A90" s="3">
        <f>IFERROR(__xludf.DUMMYFUNCTION("""COMPUTED_VALUE"""),44690.72916666667)</f>
        <v>44690.72917</v>
      </c>
      <c r="B90" s="1">
        <f>IFERROR(__xludf.DUMMYFUNCTION("""COMPUTED_VALUE"""),33.19)</f>
        <v>33.19</v>
      </c>
      <c r="C90" s="1">
        <f>IFERROR(__xludf.DUMMYFUNCTION("""COMPUTED_VALUE"""),34.58)</f>
        <v>34.58</v>
      </c>
      <c r="D90" s="1">
        <f>IFERROR(__xludf.DUMMYFUNCTION("""COMPUTED_VALUE"""),31.9)</f>
        <v>31.9</v>
      </c>
      <c r="E90" s="1">
        <f>IFERROR(__xludf.DUMMYFUNCTION("""COMPUTED_VALUE"""),31.9)</f>
        <v>31.9</v>
      </c>
      <c r="F90" s="1">
        <f>IFERROR(__xludf.DUMMYFUNCTION("""COMPUTED_VALUE"""),1548648.0)</f>
        <v>1548648</v>
      </c>
      <c r="G90" s="2" t="s">
        <v>15</v>
      </c>
    </row>
    <row r="91">
      <c r="A91" s="3">
        <f>IFERROR(__xludf.DUMMYFUNCTION("""COMPUTED_VALUE"""),44691.72916666667)</f>
        <v>44691.72917</v>
      </c>
      <c r="B91" s="1">
        <f>IFERROR(__xludf.DUMMYFUNCTION("""COMPUTED_VALUE"""),32.56)</f>
        <v>32.56</v>
      </c>
      <c r="C91" s="1">
        <f>IFERROR(__xludf.DUMMYFUNCTION("""COMPUTED_VALUE"""),33.47)</f>
        <v>33.47</v>
      </c>
      <c r="D91" s="1">
        <f>IFERROR(__xludf.DUMMYFUNCTION("""COMPUTED_VALUE"""),32.15)</f>
        <v>32.15</v>
      </c>
      <c r="E91" s="1">
        <f>IFERROR(__xludf.DUMMYFUNCTION("""COMPUTED_VALUE"""),32.53)</f>
        <v>32.53</v>
      </c>
      <c r="F91" s="1">
        <f>IFERROR(__xludf.DUMMYFUNCTION("""COMPUTED_VALUE"""),1660052.0)</f>
        <v>1660052</v>
      </c>
      <c r="G91" s="2" t="s">
        <v>15</v>
      </c>
    </row>
    <row r="92">
      <c r="A92" s="3">
        <f>IFERROR(__xludf.DUMMYFUNCTION("""COMPUTED_VALUE"""),44692.72916666667)</f>
        <v>44692.72917</v>
      </c>
      <c r="B92" s="1">
        <f>IFERROR(__xludf.DUMMYFUNCTION("""COMPUTED_VALUE"""),32.67)</f>
        <v>32.67</v>
      </c>
      <c r="C92" s="1">
        <f>IFERROR(__xludf.DUMMYFUNCTION("""COMPUTED_VALUE"""),33.87)</f>
        <v>33.87</v>
      </c>
      <c r="D92" s="1">
        <f>IFERROR(__xludf.DUMMYFUNCTION("""COMPUTED_VALUE"""),31.84)</f>
        <v>31.84</v>
      </c>
      <c r="E92" s="1">
        <f>IFERROR(__xludf.DUMMYFUNCTION("""COMPUTED_VALUE"""),32.17)</f>
        <v>32.17</v>
      </c>
      <c r="F92" s="1">
        <f>IFERROR(__xludf.DUMMYFUNCTION("""COMPUTED_VALUE"""),1293173.0)</f>
        <v>1293173</v>
      </c>
      <c r="G92" s="2" t="s">
        <v>15</v>
      </c>
    </row>
    <row r="93">
      <c r="A93" s="3">
        <f>IFERROR(__xludf.DUMMYFUNCTION("""COMPUTED_VALUE"""),44693.72916666667)</f>
        <v>44693.72917</v>
      </c>
      <c r="B93" s="1">
        <f>IFERROR(__xludf.DUMMYFUNCTION("""COMPUTED_VALUE"""),31.0)</f>
        <v>31</v>
      </c>
      <c r="C93" s="1">
        <f>IFERROR(__xludf.DUMMYFUNCTION("""COMPUTED_VALUE"""),33.12)</f>
        <v>33.12</v>
      </c>
      <c r="D93" s="1">
        <f>IFERROR(__xludf.DUMMYFUNCTION("""COMPUTED_VALUE"""),29.91)</f>
        <v>29.91</v>
      </c>
      <c r="E93" s="1">
        <f>IFERROR(__xludf.DUMMYFUNCTION("""COMPUTED_VALUE"""),33.09)</f>
        <v>33.09</v>
      </c>
      <c r="F93" s="1">
        <f>IFERROR(__xludf.DUMMYFUNCTION("""COMPUTED_VALUE"""),1625582.0)</f>
        <v>1625582</v>
      </c>
      <c r="G93" s="2" t="s">
        <v>15</v>
      </c>
    </row>
    <row r="94">
      <c r="A94" s="3">
        <f>IFERROR(__xludf.DUMMYFUNCTION("""COMPUTED_VALUE"""),44694.72916666667)</f>
        <v>44694.72917</v>
      </c>
      <c r="B94" s="1">
        <f>IFERROR(__xludf.DUMMYFUNCTION("""COMPUTED_VALUE"""),33.37)</f>
        <v>33.37</v>
      </c>
      <c r="C94" s="1">
        <f>IFERROR(__xludf.DUMMYFUNCTION("""COMPUTED_VALUE"""),34.69)</f>
        <v>34.69</v>
      </c>
      <c r="D94" s="1">
        <f>IFERROR(__xludf.DUMMYFUNCTION("""COMPUTED_VALUE"""),33.32)</f>
        <v>33.32</v>
      </c>
      <c r="E94" s="1">
        <f>IFERROR(__xludf.DUMMYFUNCTION("""COMPUTED_VALUE"""),34.12)</f>
        <v>34.12</v>
      </c>
      <c r="F94" s="1">
        <f>IFERROR(__xludf.DUMMYFUNCTION("""COMPUTED_VALUE"""),1252340.0)</f>
        <v>1252340</v>
      </c>
      <c r="G94" s="2" t="s">
        <v>15</v>
      </c>
    </row>
    <row r="95">
      <c r="A95" s="3">
        <f>IFERROR(__xludf.DUMMYFUNCTION("""COMPUTED_VALUE"""),44697.72916666667)</f>
        <v>44697.72917</v>
      </c>
      <c r="B95" s="1">
        <f>IFERROR(__xludf.DUMMYFUNCTION("""COMPUTED_VALUE"""),34.11)</f>
        <v>34.11</v>
      </c>
      <c r="C95" s="1">
        <f>IFERROR(__xludf.DUMMYFUNCTION("""COMPUTED_VALUE"""),34.87)</f>
        <v>34.87</v>
      </c>
      <c r="D95" s="1">
        <f>IFERROR(__xludf.DUMMYFUNCTION("""COMPUTED_VALUE"""),33.46)</f>
        <v>33.46</v>
      </c>
      <c r="E95" s="1">
        <f>IFERROR(__xludf.DUMMYFUNCTION("""COMPUTED_VALUE"""),34.67)</f>
        <v>34.67</v>
      </c>
      <c r="F95" s="1">
        <f>IFERROR(__xludf.DUMMYFUNCTION("""COMPUTED_VALUE"""),1160075.0)</f>
        <v>1160075</v>
      </c>
      <c r="G95" s="2" t="s">
        <v>15</v>
      </c>
    </row>
    <row r="96">
      <c r="A96" s="3">
        <f>IFERROR(__xludf.DUMMYFUNCTION("""COMPUTED_VALUE"""),44698.72916666667)</f>
        <v>44698.72917</v>
      </c>
      <c r="B96" s="1">
        <f>IFERROR(__xludf.DUMMYFUNCTION("""COMPUTED_VALUE"""),34.57)</f>
        <v>34.57</v>
      </c>
      <c r="C96" s="1">
        <f>IFERROR(__xludf.DUMMYFUNCTION("""COMPUTED_VALUE"""),36.52)</f>
        <v>36.52</v>
      </c>
      <c r="D96" s="1">
        <f>IFERROR(__xludf.DUMMYFUNCTION("""COMPUTED_VALUE"""),34.51)</f>
        <v>34.51</v>
      </c>
      <c r="E96" s="1">
        <f>IFERROR(__xludf.DUMMYFUNCTION("""COMPUTED_VALUE"""),35.61)</f>
        <v>35.61</v>
      </c>
      <c r="F96" s="1">
        <f>IFERROR(__xludf.DUMMYFUNCTION("""COMPUTED_VALUE"""),1079221.0)</f>
        <v>1079221</v>
      </c>
      <c r="G96" s="2" t="s">
        <v>15</v>
      </c>
    </row>
    <row r="97">
      <c r="A97" s="3">
        <f>IFERROR(__xludf.DUMMYFUNCTION("""COMPUTED_VALUE"""),44699.72916666667)</f>
        <v>44699.72917</v>
      </c>
      <c r="B97" s="1">
        <f>IFERROR(__xludf.DUMMYFUNCTION("""COMPUTED_VALUE"""),34.83)</f>
        <v>34.83</v>
      </c>
      <c r="C97" s="1">
        <f>IFERROR(__xludf.DUMMYFUNCTION("""COMPUTED_VALUE"""),36.15)</f>
        <v>36.15</v>
      </c>
      <c r="D97" s="1">
        <f>IFERROR(__xludf.DUMMYFUNCTION("""COMPUTED_VALUE"""),34.48)</f>
        <v>34.48</v>
      </c>
      <c r="E97" s="1">
        <f>IFERROR(__xludf.DUMMYFUNCTION("""COMPUTED_VALUE"""),34.48)</f>
        <v>34.48</v>
      </c>
      <c r="F97" s="1">
        <f>IFERROR(__xludf.DUMMYFUNCTION("""COMPUTED_VALUE"""),2086378.0)</f>
        <v>2086378</v>
      </c>
      <c r="G97" s="2" t="s">
        <v>15</v>
      </c>
    </row>
    <row r="98">
      <c r="A98" s="3">
        <f>IFERROR(__xludf.DUMMYFUNCTION("""COMPUTED_VALUE"""),44700.72916666667)</f>
        <v>44700.72917</v>
      </c>
      <c r="B98" s="1">
        <f>IFERROR(__xludf.DUMMYFUNCTION("""COMPUTED_VALUE"""),34.0)</f>
        <v>34</v>
      </c>
      <c r="C98" s="1">
        <f>IFERROR(__xludf.DUMMYFUNCTION("""COMPUTED_VALUE"""),36.17)</f>
        <v>36.17</v>
      </c>
      <c r="D98" s="1">
        <f>IFERROR(__xludf.DUMMYFUNCTION("""COMPUTED_VALUE"""),33.65)</f>
        <v>33.65</v>
      </c>
      <c r="E98" s="1">
        <f>IFERROR(__xludf.DUMMYFUNCTION("""COMPUTED_VALUE"""),35.92)</f>
        <v>35.92</v>
      </c>
      <c r="F98" s="1">
        <f>IFERROR(__xludf.DUMMYFUNCTION("""COMPUTED_VALUE"""),2463987.0)</f>
        <v>2463987</v>
      </c>
      <c r="G98" s="2" t="s">
        <v>15</v>
      </c>
    </row>
    <row r="99">
      <c r="A99" s="3">
        <f>IFERROR(__xludf.DUMMYFUNCTION("""COMPUTED_VALUE"""),44701.72916666667)</f>
        <v>44701.72917</v>
      </c>
      <c r="B99" s="1">
        <f>IFERROR(__xludf.DUMMYFUNCTION("""COMPUTED_VALUE"""),36.54)</f>
        <v>36.54</v>
      </c>
      <c r="C99" s="1">
        <f>IFERROR(__xludf.DUMMYFUNCTION("""COMPUTED_VALUE"""),37.82)</f>
        <v>37.82</v>
      </c>
      <c r="D99" s="1">
        <f>IFERROR(__xludf.DUMMYFUNCTION("""COMPUTED_VALUE"""),35.91)</f>
        <v>35.91</v>
      </c>
      <c r="E99" s="1">
        <f>IFERROR(__xludf.DUMMYFUNCTION("""COMPUTED_VALUE"""),36.0)</f>
        <v>36</v>
      </c>
      <c r="F99" s="1">
        <f>IFERROR(__xludf.DUMMYFUNCTION("""COMPUTED_VALUE"""),1893395.0)</f>
        <v>1893395</v>
      </c>
      <c r="G99" s="2" t="s">
        <v>15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IFERROR(__xludf.DUMMYFUNCTION("""COMPUTED_VALUE"""),36.7)</f>
        <v>36.7</v>
      </c>
      <c r="C100" s="1">
        <f>IFERROR(__xludf.DUMMYFUNCTION("""COMPUTED_VALUE"""),37.15)</f>
        <v>37.15</v>
      </c>
      <c r="D100" s="1">
        <f>IFERROR(__xludf.DUMMYFUNCTION("""COMPUTED_VALUE"""),35.23)</f>
        <v>35.23</v>
      </c>
      <c r="E100" s="1">
        <f>IFERROR(__xludf.DUMMYFUNCTION("""COMPUTED_VALUE"""),35.72)</f>
        <v>35.72</v>
      </c>
      <c r="F100" s="1">
        <f>IFERROR(__xludf.DUMMYFUNCTION("""COMPUTED_VALUE"""),941324.0)</f>
        <v>941324</v>
      </c>
      <c r="G100" s="2" t="s">
        <v>15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IFERROR(__xludf.DUMMYFUNCTION("""COMPUTED_VALUE"""),35.0)</f>
        <v>35</v>
      </c>
      <c r="C101" s="1">
        <f>IFERROR(__xludf.DUMMYFUNCTION("""COMPUTED_VALUE"""),35.07)</f>
        <v>35.07</v>
      </c>
      <c r="D101" s="1">
        <f>IFERROR(__xludf.DUMMYFUNCTION("""COMPUTED_VALUE"""),32.02)</f>
        <v>32.02</v>
      </c>
      <c r="E101" s="1">
        <f>IFERROR(__xludf.DUMMYFUNCTION("""COMPUTED_VALUE"""),32.43)</f>
        <v>32.43</v>
      </c>
      <c r="F101" s="1">
        <f>IFERROR(__xludf.DUMMYFUNCTION("""COMPUTED_VALUE"""),1711467.0)</f>
        <v>1711467</v>
      </c>
      <c r="G101" s="2" t="s">
        <v>15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IFERROR(__xludf.DUMMYFUNCTION("""COMPUTED_VALUE"""),32.57)</f>
        <v>32.57</v>
      </c>
      <c r="C102" s="1">
        <f>IFERROR(__xludf.DUMMYFUNCTION("""COMPUTED_VALUE"""),34.21)</f>
        <v>34.21</v>
      </c>
      <c r="D102" s="1">
        <f>IFERROR(__xludf.DUMMYFUNCTION("""COMPUTED_VALUE"""),31.65)</f>
        <v>31.65</v>
      </c>
      <c r="E102" s="1">
        <f>IFERROR(__xludf.DUMMYFUNCTION("""COMPUTED_VALUE"""),33.75)</f>
        <v>33.75</v>
      </c>
      <c r="F102" s="1">
        <f>IFERROR(__xludf.DUMMYFUNCTION("""COMPUTED_VALUE"""),1113198.0)</f>
        <v>1113198</v>
      </c>
      <c r="G102" s="2" t="s">
        <v>15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IFERROR(__xludf.DUMMYFUNCTION("""COMPUTED_VALUE"""),33.89)</f>
        <v>33.89</v>
      </c>
      <c r="C103" s="1">
        <f>IFERROR(__xludf.DUMMYFUNCTION("""COMPUTED_VALUE"""),37.22)</f>
        <v>37.22</v>
      </c>
      <c r="D103" s="1">
        <f>IFERROR(__xludf.DUMMYFUNCTION("""COMPUTED_VALUE"""),33.76)</f>
        <v>33.76</v>
      </c>
      <c r="E103" s="1">
        <f>IFERROR(__xludf.DUMMYFUNCTION("""COMPUTED_VALUE"""),37.2)</f>
        <v>37.2</v>
      </c>
      <c r="F103" s="1">
        <f>IFERROR(__xludf.DUMMYFUNCTION("""COMPUTED_VALUE"""),1558694.0)</f>
        <v>1558694</v>
      </c>
      <c r="G103" s="2" t="s">
        <v>15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IFERROR(__xludf.DUMMYFUNCTION("""COMPUTED_VALUE"""),37.0)</f>
        <v>37</v>
      </c>
      <c r="C104" s="1">
        <f>IFERROR(__xludf.DUMMYFUNCTION("""COMPUTED_VALUE"""),37.69)</f>
        <v>37.69</v>
      </c>
      <c r="D104" s="1">
        <f>IFERROR(__xludf.DUMMYFUNCTION("""COMPUTED_VALUE"""),36.26)</f>
        <v>36.26</v>
      </c>
      <c r="E104" s="1">
        <f>IFERROR(__xludf.DUMMYFUNCTION("""COMPUTED_VALUE"""),37.48)</f>
        <v>37.48</v>
      </c>
      <c r="F104" s="1">
        <f>IFERROR(__xludf.DUMMYFUNCTION("""COMPUTED_VALUE"""),1328235.0)</f>
        <v>1328235</v>
      </c>
      <c r="G104" s="2" t="s">
        <v>15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IFERROR(__xludf.DUMMYFUNCTION("""COMPUTED_VALUE"""),38.04)</f>
        <v>38.04</v>
      </c>
      <c r="C105" s="1">
        <f>IFERROR(__xludf.DUMMYFUNCTION("""COMPUTED_VALUE"""),39.27)</f>
        <v>39.27</v>
      </c>
      <c r="D105" s="1">
        <f>IFERROR(__xludf.DUMMYFUNCTION("""COMPUTED_VALUE"""),37.87)</f>
        <v>37.87</v>
      </c>
      <c r="E105" s="1">
        <f>IFERROR(__xludf.DUMMYFUNCTION("""COMPUTED_VALUE"""),39.08)</f>
        <v>39.08</v>
      </c>
      <c r="F105" s="1">
        <f>IFERROR(__xludf.DUMMYFUNCTION("""COMPUTED_VALUE"""),1199099.0)</f>
        <v>1199099</v>
      </c>
      <c r="G105" s="2" t="s">
        <v>15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IFERROR(__xludf.DUMMYFUNCTION("""COMPUTED_VALUE"""),38.72)</f>
        <v>38.72</v>
      </c>
      <c r="C106" s="1">
        <f>IFERROR(__xludf.DUMMYFUNCTION("""COMPUTED_VALUE"""),39.16)</f>
        <v>39.16</v>
      </c>
      <c r="D106" s="1">
        <f>IFERROR(__xludf.DUMMYFUNCTION("""COMPUTED_VALUE"""),37.78)</f>
        <v>37.78</v>
      </c>
      <c r="E106" s="1">
        <f>IFERROR(__xludf.DUMMYFUNCTION("""COMPUTED_VALUE"""),37.85)</f>
        <v>37.85</v>
      </c>
      <c r="F106" s="1">
        <f>IFERROR(__xludf.DUMMYFUNCTION("""COMPUTED_VALUE"""),3116969.0)</f>
        <v>3116969</v>
      </c>
      <c r="G106" s="2" t="s">
        <v>15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IFERROR(__xludf.DUMMYFUNCTION("""COMPUTED_VALUE"""),36.8)</f>
        <v>36.8</v>
      </c>
      <c r="C107" s="1">
        <f>IFERROR(__xludf.DUMMYFUNCTION("""COMPUTED_VALUE"""),37.47)</f>
        <v>37.47</v>
      </c>
      <c r="D107" s="1">
        <f>IFERROR(__xludf.DUMMYFUNCTION("""COMPUTED_VALUE"""),35.01)</f>
        <v>35.01</v>
      </c>
      <c r="E107" s="1">
        <f>IFERROR(__xludf.DUMMYFUNCTION("""COMPUTED_VALUE"""),35.36)</f>
        <v>35.36</v>
      </c>
      <c r="F107" s="1">
        <f>IFERROR(__xludf.DUMMYFUNCTION("""COMPUTED_VALUE"""),1513043.0)</f>
        <v>1513043</v>
      </c>
      <c r="G107" s="2" t="s">
        <v>15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IFERROR(__xludf.DUMMYFUNCTION("""COMPUTED_VALUE"""),35.37)</f>
        <v>35.37</v>
      </c>
      <c r="C108" s="1">
        <f>IFERROR(__xludf.DUMMYFUNCTION("""COMPUTED_VALUE"""),36.59)</f>
        <v>36.59</v>
      </c>
      <c r="D108" s="1">
        <f>IFERROR(__xludf.DUMMYFUNCTION("""COMPUTED_VALUE"""),34.93)</f>
        <v>34.93</v>
      </c>
      <c r="E108" s="1">
        <f>IFERROR(__xludf.DUMMYFUNCTION("""COMPUTED_VALUE"""),36.59)</f>
        <v>36.59</v>
      </c>
      <c r="F108" s="1">
        <f>IFERROR(__xludf.DUMMYFUNCTION("""COMPUTED_VALUE"""),778358.0)</f>
        <v>778358</v>
      </c>
      <c r="G108" s="2" t="s">
        <v>15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IFERROR(__xludf.DUMMYFUNCTION("""COMPUTED_VALUE"""),36.95)</f>
        <v>36.95</v>
      </c>
      <c r="C109" s="1">
        <f>IFERROR(__xludf.DUMMYFUNCTION("""COMPUTED_VALUE"""),37.58)</f>
        <v>37.58</v>
      </c>
      <c r="D109" s="1">
        <f>IFERROR(__xludf.DUMMYFUNCTION("""COMPUTED_VALUE"""),35.14)</f>
        <v>35.14</v>
      </c>
      <c r="E109" s="1">
        <f>IFERROR(__xludf.DUMMYFUNCTION("""COMPUTED_VALUE"""),35.22)</f>
        <v>35.22</v>
      </c>
      <c r="F109" s="1">
        <f>IFERROR(__xludf.DUMMYFUNCTION("""COMPUTED_VALUE"""),870680.0)</f>
        <v>870680</v>
      </c>
      <c r="G109" s="2" t="s">
        <v>15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IFERROR(__xludf.DUMMYFUNCTION("""COMPUTED_VALUE"""),35.54)</f>
        <v>35.54</v>
      </c>
      <c r="C110" s="1">
        <f>IFERROR(__xludf.DUMMYFUNCTION("""COMPUTED_VALUE"""),37.01)</f>
        <v>37.01</v>
      </c>
      <c r="D110" s="1">
        <f>IFERROR(__xludf.DUMMYFUNCTION("""COMPUTED_VALUE"""),35.27)</f>
        <v>35.27</v>
      </c>
      <c r="E110" s="1">
        <f>IFERROR(__xludf.DUMMYFUNCTION("""COMPUTED_VALUE"""),36.6)</f>
        <v>36.6</v>
      </c>
      <c r="F110" s="1">
        <f>IFERROR(__xludf.DUMMYFUNCTION("""COMPUTED_VALUE"""),713520.0)</f>
        <v>713520</v>
      </c>
      <c r="G110" s="2" t="s">
        <v>15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IFERROR(__xludf.DUMMYFUNCTION("""COMPUTED_VALUE"""),36.17)</f>
        <v>36.17</v>
      </c>
      <c r="C111" s="1">
        <f>IFERROR(__xludf.DUMMYFUNCTION("""COMPUTED_VALUE"""),36.2)</f>
        <v>36.2</v>
      </c>
      <c r="D111" s="1">
        <f>IFERROR(__xludf.DUMMYFUNCTION("""COMPUTED_VALUE"""),33.84)</f>
        <v>33.84</v>
      </c>
      <c r="E111" s="1">
        <f>IFERROR(__xludf.DUMMYFUNCTION("""COMPUTED_VALUE"""),34.83)</f>
        <v>34.83</v>
      </c>
      <c r="F111" s="1">
        <f>IFERROR(__xludf.DUMMYFUNCTION("""COMPUTED_VALUE"""),1245955.0)</f>
        <v>1245955</v>
      </c>
      <c r="G111" s="2" t="s">
        <v>15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IFERROR(__xludf.DUMMYFUNCTION("""COMPUTED_VALUE"""),35.46)</f>
        <v>35.46</v>
      </c>
      <c r="C112" s="1">
        <f>IFERROR(__xludf.DUMMYFUNCTION("""COMPUTED_VALUE"""),35.46)</f>
        <v>35.46</v>
      </c>
      <c r="D112" s="1">
        <f>IFERROR(__xludf.DUMMYFUNCTION("""COMPUTED_VALUE"""),34.11)</f>
        <v>34.11</v>
      </c>
      <c r="E112" s="1">
        <f>IFERROR(__xludf.DUMMYFUNCTION("""COMPUTED_VALUE"""),34.51)</f>
        <v>34.51</v>
      </c>
      <c r="F112" s="1">
        <f>IFERROR(__xludf.DUMMYFUNCTION("""COMPUTED_VALUE"""),1128749.0)</f>
        <v>1128749</v>
      </c>
      <c r="G112" s="2" t="s">
        <v>15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IFERROR(__xludf.DUMMYFUNCTION("""COMPUTED_VALUE"""),33.92)</f>
        <v>33.92</v>
      </c>
      <c r="C113" s="1">
        <f>IFERROR(__xludf.DUMMYFUNCTION("""COMPUTED_VALUE"""),33.92)</f>
        <v>33.92</v>
      </c>
      <c r="D113" s="1">
        <f>IFERROR(__xludf.DUMMYFUNCTION("""COMPUTED_VALUE"""),31.32)</f>
        <v>31.32</v>
      </c>
      <c r="E113" s="1">
        <f>IFERROR(__xludf.DUMMYFUNCTION("""COMPUTED_VALUE"""),31.59)</f>
        <v>31.59</v>
      </c>
      <c r="F113" s="1">
        <f>IFERROR(__xludf.DUMMYFUNCTION("""COMPUTED_VALUE"""),2102220.0)</f>
        <v>2102220</v>
      </c>
      <c r="G113" s="2" t="s">
        <v>15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IFERROR(__xludf.DUMMYFUNCTION("""COMPUTED_VALUE"""),31.44)</f>
        <v>31.44</v>
      </c>
      <c r="C114" s="1">
        <f>IFERROR(__xludf.DUMMYFUNCTION("""COMPUTED_VALUE"""),31.8)</f>
        <v>31.8</v>
      </c>
      <c r="D114" s="1">
        <f>IFERROR(__xludf.DUMMYFUNCTION("""COMPUTED_VALUE"""),30.66)</f>
        <v>30.66</v>
      </c>
      <c r="E114" s="1">
        <f>IFERROR(__xludf.DUMMYFUNCTION("""COMPUTED_VALUE"""),30.76)</f>
        <v>30.76</v>
      </c>
      <c r="F114" s="1">
        <f>IFERROR(__xludf.DUMMYFUNCTION("""COMPUTED_VALUE"""),1321328.0)</f>
        <v>1321328</v>
      </c>
      <c r="G114" s="2" t="s">
        <v>15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IFERROR(__xludf.DUMMYFUNCTION("""COMPUTED_VALUE"""),29.89)</f>
        <v>29.89</v>
      </c>
      <c r="C115" s="1">
        <f>IFERROR(__xludf.DUMMYFUNCTION("""COMPUTED_VALUE"""),30.11)</f>
        <v>30.11</v>
      </c>
      <c r="D115" s="1">
        <f>IFERROR(__xludf.DUMMYFUNCTION("""COMPUTED_VALUE"""),28.91)</f>
        <v>28.91</v>
      </c>
      <c r="E115" s="1">
        <f>IFERROR(__xludf.DUMMYFUNCTION("""COMPUTED_VALUE"""),29.5)</f>
        <v>29.5</v>
      </c>
      <c r="F115" s="1">
        <f>IFERROR(__xludf.DUMMYFUNCTION("""COMPUTED_VALUE"""),2323480.0)</f>
        <v>2323480</v>
      </c>
      <c r="G115" s="2" t="s">
        <v>15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IFERROR(__xludf.DUMMYFUNCTION("""COMPUTED_VALUE"""),29.92)</f>
        <v>29.92</v>
      </c>
      <c r="C116" s="1">
        <f>IFERROR(__xludf.DUMMYFUNCTION("""COMPUTED_VALUE"""),30.66)</f>
        <v>30.66</v>
      </c>
      <c r="D116" s="1">
        <f>IFERROR(__xludf.DUMMYFUNCTION("""COMPUTED_VALUE"""),27.54)</f>
        <v>27.54</v>
      </c>
      <c r="E116" s="1">
        <f>IFERROR(__xludf.DUMMYFUNCTION("""COMPUTED_VALUE"""),27.67)</f>
        <v>27.67</v>
      </c>
      <c r="F116" s="1">
        <f>IFERROR(__xludf.DUMMYFUNCTION("""COMPUTED_VALUE"""),1785459.0)</f>
        <v>1785459</v>
      </c>
      <c r="G116" s="2" t="s">
        <v>15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IFERROR(__xludf.DUMMYFUNCTION("""COMPUTED_VALUE"""),28.13)</f>
        <v>28.13</v>
      </c>
      <c r="C117" s="1">
        <f>IFERROR(__xludf.DUMMYFUNCTION("""COMPUTED_VALUE"""),28.83)</f>
        <v>28.83</v>
      </c>
      <c r="D117" s="1">
        <f>IFERROR(__xludf.DUMMYFUNCTION("""COMPUTED_VALUE"""),27.57)</f>
        <v>27.57</v>
      </c>
      <c r="E117" s="1">
        <f>IFERROR(__xludf.DUMMYFUNCTION("""COMPUTED_VALUE"""),28.45)</f>
        <v>28.45</v>
      </c>
      <c r="F117" s="1">
        <f>IFERROR(__xludf.DUMMYFUNCTION("""COMPUTED_VALUE"""),1763356.0)</f>
        <v>1763356</v>
      </c>
      <c r="G117" s="2" t="s">
        <v>15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IFERROR(__xludf.DUMMYFUNCTION("""COMPUTED_VALUE"""),27.3)</f>
        <v>27.3</v>
      </c>
      <c r="C118" s="1">
        <f>IFERROR(__xludf.DUMMYFUNCTION("""COMPUTED_VALUE"""),27.4)</f>
        <v>27.4</v>
      </c>
      <c r="D118" s="1">
        <f>IFERROR(__xludf.DUMMYFUNCTION("""COMPUTED_VALUE"""),24.22)</f>
        <v>24.22</v>
      </c>
      <c r="E118" s="1">
        <f>IFERROR(__xludf.DUMMYFUNCTION("""COMPUTED_VALUE"""),24.91)</f>
        <v>24.91</v>
      </c>
      <c r="F118" s="1">
        <f>IFERROR(__xludf.DUMMYFUNCTION("""COMPUTED_VALUE"""),3206835.0)</f>
        <v>3206835</v>
      </c>
      <c r="G118" s="2" t="s">
        <v>15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IFERROR(__xludf.DUMMYFUNCTION("""COMPUTED_VALUE"""),24.87)</f>
        <v>24.87</v>
      </c>
      <c r="C119" s="1">
        <f>IFERROR(__xludf.DUMMYFUNCTION("""COMPUTED_VALUE"""),26.09)</f>
        <v>26.09</v>
      </c>
      <c r="D119" s="1">
        <f>IFERROR(__xludf.DUMMYFUNCTION("""COMPUTED_VALUE"""),24.7)</f>
        <v>24.7</v>
      </c>
      <c r="E119" s="1">
        <f>IFERROR(__xludf.DUMMYFUNCTION("""COMPUTED_VALUE"""),25.71)</f>
        <v>25.71</v>
      </c>
      <c r="F119" s="1">
        <f>IFERROR(__xludf.DUMMYFUNCTION("""COMPUTED_VALUE"""),3531579.0)</f>
        <v>3531579</v>
      </c>
      <c r="G119" s="2" t="s">
        <v>15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IFERROR(__xludf.DUMMYFUNCTION("""COMPUTED_VALUE"""),25.92)</f>
        <v>25.92</v>
      </c>
      <c r="C120" s="1">
        <f>IFERROR(__xludf.DUMMYFUNCTION("""COMPUTED_VALUE"""),27.01)</f>
        <v>27.01</v>
      </c>
      <c r="D120" s="1">
        <f>IFERROR(__xludf.DUMMYFUNCTION("""COMPUTED_VALUE"""),25.36)</f>
        <v>25.36</v>
      </c>
      <c r="E120" s="1">
        <f>IFERROR(__xludf.DUMMYFUNCTION("""COMPUTED_VALUE"""),25.89)</f>
        <v>25.89</v>
      </c>
      <c r="F120" s="1">
        <f>IFERROR(__xludf.DUMMYFUNCTION("""COMPUTED_VALUE"""),1181932.0)</f>
        <v>1181932</v>
      </c>
      <c r="G120" s="2" t="s">
        <v>15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IFERROR(__xludf.DUMMYFUNCTION("""COMPUTED_VALUE"""),26.07)</f>
        <v>26.07</v>
      </c>
      <c r="C121" s="1">
        <f>IFERROR(__xludf.DUMMYFUNCTION("""COMPUTED_VALUE"""),26.29)</f>
        <v>26.29</v>
      </c>
      <c r="D121" s="1">
        <f>IFERROR(__xludf.DUMMYFUNCTION("""COMPUTED_VALUE"""),24.76)</f>
        <v>24.76</v>
      </c>
      <c r="E121" s="1">
        <f>IFERROR(__xludf.DUMMYFUNCTION("""COMPUTED_VALUE"""),25.49)</f>
        <v>25.49</v>
      </c>
      <c r="F121" s="1">
        <f>IFERROR(__xludf.DUMMYFUNCTION("""COMPUTED_VALUE"""),1589970.0)</f>
        <v>1589970</v>
      </c>
      <c r="G121" s="2" t="s">
        <v>15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IFERROR(__xludf.DUMMYFUNCTION("""COMPUTED_VALUE"""),24.95)</f>
        <v>24.95</v>
      </c>
      <c r="C122" s="1">
        <f>IFERROR(__xludf.DUMMYFUNCTION("""COMPUTED_VALUE"""),26.16)</f>
        <v>26.16</v>
      </c>
      <c r="D122" s="1">
        <f>IFERROR(__xludf.DUMMYFUNCTION("""COMPUTED_VALUE"""),24.41)</f>
        <v>24.41</v>
      </c>
      <c r="E122" s="1">
        <f>IFERROR(__xludf.DUMMYFUNCTION("""COMPUTED_VALUE"""),25.69)</f>
        <v>25.69</v>
      </c>
      <c r="F122" s="1">
        <f>IFERROR(__xludf.DUMMYFUNCTION("""COMPUTED_VALUE"""),2062366.0)</f>
        <v>2062366</v>
      </c>
      <c r="G122" s="2" t="s">
        <v>15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IFERROR(__xludf.DUMMYFUNCTION("""COMPUTED_VALUE"""),25.52)</f>
        <v>25.52</v>
      </c>
      <c r="C123" s="1">
        <f>IFERROR(__xludf.DUMMYFUNCTION("""COMPUTED_VALUE"""),25.97)</f>
        <v>25.97</v>
      </c>
      <c r="D123" s="1">
        <f>IFERROR(__xludf.DUMMYFUNCTION("""COMPUTED_VALUE"""),24.79)</f>
        <v>24.79</v>
      </c>
      <c r="E123" s="1">
        <f>IFERROR(__xludf.DUMMYFUNCTION("""COMPUTED_VALUE"""),25.54)</f>
        <v>25.54</v>
      </c>
      <c r="F123" s="1">
        <f>IFERROR(__xludf.DUMMYFUNCTION("""COMPUTED_VALUE"""),1233887.0)</f>
        <v>1233887</v>
      </c>
      <c r="G123" s="2" t="s">
        <v>15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IFERROR(__xludf.DUMMYFUNCTION("""COMPUTED_VALUE"""),22.08)</f>
        <v>22.08</v>
      </c>
      <c r="C124" s="1">
        <f>IFERROR(__xludf.DUMMYFUNCTION("""COMPUTED_VALUE"""),25.86)</f>
        <v>25.86</v>
      </c>
      <c r="D124" s="1">
        <f>IFERROR(__xludf.DUMMYFUNCTION("""COMPUTED_VALUE"""),20.94)</f>
        <v>20.94</v>
      </c>
      <c r="E124" s="1">
        <f>IFERROR(__xludf.DUMMYFUNCTION("""COMPUTED_VALUE"""),25.14)</f>
        <v>25.14</v>
      </c>
      <c r="F124" s="1">
        <f>IFERROR(__xludf.DUMMYFUNCTION("""COMPUTED_VALUE"""),4998204.0)</f>
        <v>4998204</v>
      </c>
      <c r="G124" s="2" t="s">
        <v>15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IFERROR(__xludf.DUMMYFUNCTION("""COMPUTED_VALUE"""),25.23)</f>
        <v>25.23</v>
      </c>
      <c r="C125" s="1">
        <f>IFERROR(__xludf.DUMMYFUNCTION("""COMPUTED_VALUE"""),26.97)</f>
        <v>26.97</v>
      </c>
      <c r="D125" s="1">
        <f>IFERROR(__xludf.DUMMYFUNCTION("""COMPUTED_VALUE"""),24.82)</f>
        <v>24.82</v>
      </c>
      <c r="E125" s="1">
        <f>IFERROR(__xludf.DUMMYFUNCTION("""COMPUTED_VALUE"""),25.72)</f>
        <v>25.72</v>
      </c>
      <c r="F125" s="1">
        <f>IFERROR(__xludf.DUMMYFUNCTION("""COMPUTED_VALUE"""),1701080.0)</f>
        <v>1701080</v>
      </c>
      <c r="G125" s="2" t="s">
        <v>15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IFERROR(__xludf.DUMMYFUNCTION("""COMPUTED_VALUE"""),25.91)</f>
        <v>25.91</v>
      </c>
      <c r="C126" s="1">
        <f>IFERROR(__xludf.DUMMYFUNCTION("""COMPUTED_VALUE"""),26.16)</f>
        <v>26.16</v>
      </c>
      <c r="D126" s="1">
        <f>IFERROR(__xludf.DUMMYFUNCTION("""COMPUTED_VALUE"""),25.1)</f>
        <v>25.1</v>
      </c>
      <c r="E126" s="1">
        <f>IFERROR(__xludf.DUMMYFUNCTION("""COMPUTED_VALUE"""),25.22)</f>
        <v>25.22</v>
      </c>
      <c r="F126" s="1">
        <f>IFERROR(__xludf.DUMMYFUNCTION("""COMPUTED_VALUE"""),1238822.0)</f>
        <v>1238822</v>
      </c>
      <c r="G126" s="2" t="s">
        <v>15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IFERROR(__xludf.DUMMYFUNCTION("""COMPUTED_VALUE"""),24.98)</f>
        <v>24.98</v>
      </c>
      <c r="C127" s="1">
        <f>IFERROR(__xludf.DUMMYFUNCTION("""COMPUTED_VALUE"""),25.23)</f>
        <v>25.23</v>
      </c>
      <c r="D127" s="1">
        <f>IFERROR(__xludf.DUMMYFUNCTION("""COMPUTED_VALUE"""),23.99)</f>
        <v>23.99</v>
      </c>
      <c r="E127" s="1">
        <f>IFERROR(__xludf.DUMMYFUNCTION("""COMPUTED_VALUE"""),24.71)</f>
        <v>24.71</v>
      </c>
      <c r="F127" s="1">
        <f>IFERROR(__xludf.DUMMYFUNCTION("""COMPUTED_VALUE"""),1756698.0)</f>
        <v>1756698</v>
      </c>
      <c r="G127" s="2" t="s">
        <v>15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IFERROR(__xludf.DUMMYFUNCTION("""COMPUTED_VALUE"""),23.64)</f>
        <v>23.64</v>
      </c>
      <c r="C128" s="1">
        <f>IFERROR(__xludf.DUMMYFUNCTION("""COMPUTED_VALUE"""),25.02)</f>
        <v>25.02</v>
      </c>
      <c r="D128" s="1">
        <f>IFERROR(__xludf.DUMMYFUNCTION("""COMPUTED_VALUE"""),23.57)</f>
        <v>23.57</v>
      </c>
      <c r="E128" s="1">
        <f>IFERROR(__xludf.DUMMYFUNCTION("""COMPUTED_VALUE"""),24.96)</f>
        <v>24.96</v>
      </c>
      <c r="F128" s="1">
        <f>IFERROR(__xludf.DUMMYFUNCTION("""COMPUTED_VALUE"""),2172940.0)</f>
        <v>2172940</v>
      </c>
      <c r="G128" s="2" t="s">
        <v>15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IFERROR(__xludf.DUMMYFUNCTION("""COMPUTED_VALUE"""),25.01)</f>
        <v>25.01</v>
      </c>
      <c r="C129" s="1">
        <f>IFERROR(__xludf.DUMMYFUNCTION("""COMPUTED_VALUE"""),26.78)</f>
        <v>26.78</v>
      </c>
      <c r="D129" s="1">
        <f>IFERROR(__xludf.DUMMYFUNCTION("""COMPUTED_VALUE"""),24.5)</f>
        <v>24.5</v>
      </c>
      <c r="E129" s="1">
        <f>IFERROR(__xludf.DUMMYFUNCTION("""COMPUTED_VALUE"""),26.15)</f>
        <v>26.15</v>
      </c>
      <c r="F129" s="1">
        <f>IFERROR(__xludf.DUMMYFUNCTION("""COMPUTED_VALUE"""),1627498.0)</f>
        <v>1627498</v>
      </c>
      <c r="G129" s="2" t="s">
        <v>15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IFERROR(__xludf.DUMMYFUNCTION("""COMPUTED_VALUE"""),26.42)</f>
        <v>26.42</v>
      </c>
      <c r="C130" s="1">
        <f>IFERROR(__xludf.DUMMYFUNCTION("""COMPUTED_VALUE"""),26.46)</f>
        <v>26.46</v>
      </c>
      <c r="D130" s="1">
        <f>IFERROR(__xludf.DUMMYFUNCTION("""COMPUTED_VALUE"""),25.13)</f>
        <v>25.13</v>
      </c>
      <c r="E130" s="1">
        <f>IFERROR(__xludf.DUMMYFUNCTION("""COMPUTED_VALUE"""),25.16)</f>
        <v>25.16</v>
      </c>
      <c r="F130" s="1">
        <f>IFERROR(__xludf.DUMMYFUNCTION("""COMPUTED_VALUE"""),750720.0)</f>
        <v>750720</v>
      </c>
      <c r="G130" s="2" t="s">
        <v>15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IFERROR(__xludf.DUMMYFUNCTION("""COMPUTED_VALUE"""),25.33)</f>
        <v>25.33</v>
      </c>
      <c r="C131" s="1">
        <f>IFERROR(__xludf.DUMMYFUNCTION("""COMPUTED_VALUE"""),26.4)</f>
        <v>26.4</v>
      </c>
      <c r="D131" s="1">
        <f>IFERROR(__xludf.DUMMYFUNCTION("""COMPUTED_VALUE"""),23.22)</f>
        <v>23.22</v>
      </c>
      <c r="E131" s="1">
        <f>IFERROR(__xludf.DUMMYFUNCTION("""COMPUTED_VALUE"""),23.8)</f>
        <v>23.8</v>
      </c>
      <c r="F131" s="1">
        <f>IFERROR(__xludf.DUMMYFUNCTION("""COMPUTED_VALUE"""),1840305.0)</f>
        <v>1840305</v>
      </c>
      <c r="G131" s="2" t="s">
        <v>15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IFERROR(__xludf.DUMMYFUNCTION("""COMPUTED_VALUE"""),24.65)</f>
        <v>24.65</v>
      </c>
      <c r="C132" s="1">
        <f>IFERROR(__xludf.DUMMYFUNCTION("""COMPUTED_VALUE"""),25.49)</f>
        <v>25.49</v>
      </c>
      <c r="D132" s="1">
        <f>IFERROR(__xludf.DUMMYFUNCTION("""COMPUTED_VALUE"""),24.57)</f>
        <v>24.57</v>
      </c>
      <c r="E132" s="1">
        <f>IFERROR(__xludf.DUMMYFUNCTION("""COMPUTED_VALUE"""),25.17)</f>
        <v>25.17</v>
      </c>
      <c r="F132" s="1">
        <f>IFERROR(__xludf.DUMMYFUNCTION("""COMPUTED_VALUE"""),2000921.0)</f>
        <v>2000921</v>
      </c>
      <c r="G132" s="2" t="s">
        <v>15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IFERROR(__xludf.DUMMYFUNCTION("""COMPUTED_VALUE"""),25.41)</f>
        <v>25.41</v>
      </c>
      <c r="C133" s="1">
        <f>IFERROR(__xludf.DUMMYFUNCTION("""COMPUTED_VALUE"""),26.76)</f>
        <v>26.76</v>
      </c>
      <c r="D133" s="1">
        <f>IFERROR(__xludf.DUMMYFUNCTION("""COMPUTED_VALUE"""),25.25)</f>
        <v>25.25</v>
      </c>
      <c r="E133" s="1">
        <f>IFERROR(__xludf.DUMMYFUNCTION("""COMPUTED_VALUE"""),26.61)</f>
        <v>26.61</v>
      </c>
      <c r="F133" s="1">
        <f>IFERROR(__xludf.DUMMYFUNCTION("""COMPUTED_VALUE"""),1418160.0)</f>
        <v>1418160</v>
      </c>
      <c r="G133" s="2" t="s">
        <v>15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IFERROR(__xludf.DUMMYFUNCTION("""COMPUTED_VALUE"""),26.49)</f>
        <v>26.49</v>
      </c>
      <c r="C134" s="1">
        <f>IFERROR(__xludf.DUMMYFUNCTION("""COMPUTED_VALUE"""),27.28)</f>
        <v>27.28</v>
      </c>
      <c r="D134" s="1">
        <f>IFERROR(__xludf.DUMMYFUNCTION("""COMPUTED_VALUE"""),26.06)</f>
        <v>26.06</v>
      </c>
      <c r="E134" s="1">
        <f>IFERROR(__xludf.DUMMYFUNCTION("""COMPUTED_VALUE"""),27.12)</f>
        <v>27.12</v>
      </c>
      <c r="F134" s="1">
        <f>IFERROR(__xludf.DUMMYFUNCTION("""COMPUTED_VALUE"""),1038613.0)</f>
        <v>1038613</v>
      </c>
      <c r="G134" s="2" t="s">
        <v>15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IFERROR(__xludf.DUMMYFUNCTION("""COMPUTED_VALUE"""),26.49)</f>
        <v>26.49</v>
      </c>
      <c r="C135" s="1">
        <f>IFERROR(__xludf.DUMMYFUNCTION("""COMPUTED_VALUE"""),27.29)</f>
        <v>27.29</v>
      </c>
      <c r="D135" s="1">
        <f>IFERROR(__xludf.DUMMYFUNCTION("""COMPUTED_VALUE"""),26.03)</f>
        <v>26.03</v>
      </c>
      <c r="E135" s="1">
        <f>IFERROR(__xludf.DUMMYFUNCTION("""COMPUTED_VALUE"""),26.06)</f>
        <v>26.06</v>
      </c>
      <c r="F135" s="1">
        <f>IFERROR(__xludf.DUMMYFUNCTION("""COMPUTED_VALUE"""),715653.0)</f>
        <v>715653</v>
      </c>
      <c r="G135" s="2" t="s">
        <v>15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IFERROR(__xludf.DUMMYFUNCTION("""COMPUTED_VALUE"""),25.63)</f>
        <v>25.63</v>
      </c>
      <c r="C136" s="1">
        <f>IFERROR(__xludf.DUMMYFUNCTION("""COMPUTED_VALUE"""),26.49)</f>
        <v>26.49</v>
      </c>
      <c r="D136" s="1">
        <f>IFERROR(__xludf.DUMMYFUNCTION("""COMPUTED_VALUE"""),25.19)</f>
        <v>25.19</v>
      </c>
      <c r="E136" s="1">
        <f>IFERROR(__xludf.DUMMYFUNCTION("""COMPUTED_VALUE"""),26.3)</f>
        <v>26.3</v>
      </c>
      <c r="F136" s="1">
        <f>IFERROR(__xludf.DUMMYFUNCTION("""COMPUTED_VALUE"""),798717.0)</f>
        <v>798717</v>
      </c>
      <c r="G136" s="2" t="s">
        <v>15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IFERROR(__xludf.DUMMYFUNCTION("""COMPUTED_VALUE"""),26.1)</f>
        <v>26.1</v>
      </c>
      <c r="C137" s="1">
        <f>IFERROR(__xludf.DUMMYFUNCTION("""COMPUTED_VALUE"""),26.71)</f>
        <v>26.71</v>
      </c>
      <c r="D137" s="1">
        <f>IFERROR(__xludf.DUMMYFUNCTION("""COMPUTED_VALUE"""),24.83)</f>
        <v>24.83</v>
      </c>
      <c r="E137" s="1">
        <f>IFERROR(__xludf.DUMMYFUNCTION("""COMPUTED_VALUE"""),25.26)</f>
        <v>25.26</v>
      </c>
      <c r="F137" s="1">
        <f>IFERROR(__xludf.DUMMYFUNCTION("""COMPUTED_VALUE"""),1360288.0)</f>
        <v>1360288</v>
      </c>
      <c r="G137" s="2" t="s">
        <v>15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IFERROR(__xludf.DUMMYFUNCTION("""COMPUTED_VALUE"""),25.14)</f>
        <v>25.14</v>
      </c>
      <c r="C138" s="1">
        <f>IFERROR(__xludf.DUMMYFUNCTION("""COMPUTED_VALUE"""),26.11)</f>
        <v>26.11</v>
      </c>
      <c r="D138" s="1">
        <f>IFERROR(__xludf.DUMMYFUNCTION("""COMPUTED_VALUE"""),24.82)</f>
        <v>24.82</v>
      </c>
      <c r="E138" s="1">
        <f>IFERROR(__xludf.DUMMYFUNCTION("""COMPUTED_VALUE"""),25.45)</f>
        <v>25.45</v>
      </c>
      <c r="F138" s="1">
        <f>IFERROR(__xludf.DUMMYFUNCTION("""COMPUTED_VALUE"""),1090847.0)</f>
        <v>1090847</v>
      </c>
      <c r="G138" s="2" t="s">
        <v>15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IFERROR(__xludf.DUMMYFUNCTION("""COMPUTED_VALUE"""),25.46)</f>
        <v>25.46</v>
      </c>
      <c r="C139" s="1">
        <f>IFERROR(__xludf.DUMMYFUNCTION("""COMPUTED_VALUE"""),26.0)</f>
        <v>26</v>
      </c>
      <c r="D139" s="1">
        <f>IFERROR(__xludf.DUMMYFUNCTION("""COMPUTED_VALUE"""),24.99)</f>
        <v>24.99</v>
      </c>
      <c r="E139" s="1">
        <f>IFERROR(__xludf.DUMMYFUNCTION("""COMPUTED_VALUE"""),25.7)</f>
        <v>25.7</v>
      </c>
      <c r="F139" s="1">
        <f>IFERROR(__xludf.DUMMYFUNCTION("""COMPUTED_VALUE"""),848667.0)</f>
        <v>848667</v>
      </c>
      <c r="G139" s="2" t="s">
        <v>15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IFERROR(__xludf.DUMMYFUNCTION("""COMPUTED_VALUE"""),25.65)</f>
        <v>25.65</v>
      </c>
      <c r="C140" s="1">
        <f>IFERROR(__xludf.DUMMYFUNCTION("""COMPUTED_VALUE"""),27.11)</f>
        <v>27.11</v>
      </c>
      <c r="D140" s="1">
        <f>IFERROR(__xludf.DUMMYFUNCTION("""COMPUTED_VALUE"""),25.62)</f>
        <v>25.62</v>
      </c>
      <c r="E140" s="1">
        <f>IFERROR(__xludf.DUMMYFUNCTION("""COMPUTED_VALUE"""),27.02)</f>
        <v>27.02</v>
      </c>
      <c r="F140" s="1">
        <f>IFERROR(__xludf.DUMMYFUNCTION("""COMPUTED_VALUE"""),1352707.0)</f>
        <v>1352707</v>
      </c>
      <c r="G140" s="2" t="s">
        <v>15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IFERROR(__xludf.DUMMYFUNCTION("""COMPUTED_VALUE"""),26.44)</f>
        <v>26.44</v>
      </c>
      <c r="C141" s="1">
        <f>IFERROR(__xludf.DUMMYFUNCTION("""COMPUTED_VALUE"""),28.04)</f>
        <v>28.04</v>
      </c>
      <c r="D141" s="1">
        <f>IFERROR(__xludf.DUMMYFUNCTION("""COMPUTED_VALUE"""),26.15)</f>
        <v>26.15</v>
      </c>
      <c r="E141" s="1">
        <f>IFERROR(__xludf.DUMMYFUNCTION("""COMPUTED_VALUE"""),28.04)</f>
        <v>28.04</v>
      </c>
      <c r="F141" s="1">
        <f>IFERROR(__xludf.DUMMYFUNCTION("""COMPUTED_VALUE"""),1287869.0)</f>
        <v>1287869</v>
      </c>
      <c r="G141" s="2" t="s">
        <v>15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IFERROR(__xludf.DUMMYFUNCTION("""COMPUTED_VALUE"""),28.0)</f>
        <v>28</v>
      </c>
      <c r="C142" s="1">
        <f>IFERROR(__xludf.DUMMYFUNCTION("""COMPUTED_VALUE"""),28.55)</f>
        <v>28.55</v>
      </c>
      <c r="D142" s="1">
        <f>IFERROR(__xludf.DUMMYFUNCTION("""COMPUTED_VALUE"""),27.74)</f>
        <v>27.74</v>
      </c>
      <c r="E142" s="1">
        <f>IFERROR(__xludf.DUMMYFUNCTION("""COMPUTED_VALUE"""),28.51)</f>
        <v>28.51</v>
      </c>
      <c r="F142" s="1">
        <f>IFERROR(__xludf.DUMMYFUNCTION("""COMPUTED_VALUE"""),1605095.0)</f>
        <v>1605095</v>
      </c>
      <c r="G142" s="2" t="s">
        <v>15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IFERROR(__xludf.DUMMYFUNCTION("""COMPUTED_VALUE"""),28.48)</f>
        <v>28.48</v>
      </c>
      <c r="C143" s="1">
        <f>IFERROR(__xludf.DUMMYFUNCTION("""COMPUTED_VALUE"""),28.92)</f>
        <v>28.92</v>
      </c>
      <c r="D143" s="1">
        <f>IFERROR(__xludf.DUMMYFUNCTION("""COMPUTED_VALUE"""),27.69)</f>
        <v>27.69</v>
      </c>
      <c r="E143" s="1">
        <f>IFERROR(__xludf.DUMMYFUNCTION("""COMPUTED_VALUE"""),28.55)</f>
        <v>28.55</v>
      </c>
      <c r="F143" s="1">
        <f>IFERROR(__xludf.DUMMYFUNCTION("""COMPUTED_VALUE"""),1344234.0)</f>
        <v>1344234</v>
      </c>
      <c r="G143" s="2" t="s">
        <v>15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IFERROR(__xludf.DUMMYFUNCTION("""COMPUTED_VALUE"""),28.43)</f>
        <v>28.43</v>
      </c>
      <c r="C144" s="1">
        <f>IFERROR(__xludf.DUMMYFUNCTION("""COMPUTED_VALUE"""),30.13)</f>
        <v>30.13</v>
      </c>
      <c r="D144" s="1">
        <f>IFERROR(__xludf.DUMMYFUNCTION("""COMPUTED_VALUE"""),28.21)</f>
        <v>28.21</v>
      </c>
      <c r="E144" s="1">
        <f>IFERROR(__xludf.DUMMYFUNCTION("""COMPUTED_VALUE"""),29.76)</f>
        <v>29.76</v>
      </c>
      <c r="F144" s="1">
        <f>IFERROR(__xludf.DUMMYFUNCTION("""COMPUTED_VALUE"""),1524043.0)</f>
        <v>1524043</v>
      </c>
      <c r="G144" s="2" t="s">
        <v>15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IFERROR(__xludf.DUMMYFUNCTION("""COMPUTED_VALUE"""),29.42)</f>
        <v>29.42</v>
      </c>
      <c r="C145" s="1">
        <f>IFERROR(__xludf.DUMMYFUNCTION("""COMPUTED_VALUE"""),29.65)</f>
        <v>29.65</v>
      </c>
      <c r="D145" s="1">
        <f>IFERROR(__xludf.DUMMYFUNCTION("""COMPUTED_VALUE"""),28.64)</f>
        <v>28.64</v>
      </c>
      <c r="E145" s="1">
        <f>IFERROR(__xludf.DUMMYFUNCTION("""COMPUTED_VALUE"""),28.82)</f>
        <v>28.82</v>
      </c>
      <c r="F145" s="1">
        <f>IFERROR(__xludf.DUMMYFUNCTION("""COMPUTED_VALUE"""),837328.0)</f>
        <v>837328</v>
      </c>
      <c r="G145" s="2" t="s">
        <v>15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IFERROR(__xludf.DUMMYFUNCTION("""COMPUTED_VALUE"""),28.5)</f>
        <v>28.5</v>
      </c>
      <c r="C146" s="1">
        <f>IFERROR(__xludf.DUMMYFUNCTION("""COMPUTED_VALUE"""),28.55)</f>
        <v>28.55</v>
      </c>
      <c r="D146" s="1">
        <f>IFERROR(__xludf.DUMMYFUNCTION("""COMPUTED_VALUE"""),25.98)</f>
        <v>25.98</v>
      </c>
      <c r="E146" s="1">
        <f>IFERROR(__xludf.DUMMYFUNCTION("""COMPUTED_VALUE"""),25.99)</f>
        <v>25.99</v>
      </c>
      <c r="F146" s="1">
        <f>IFERROR(__xludf.DUMMYFUNCTION("""COMPUTED_VALUE"""),1591363.0)</f>
        <v>1591363</v>
      </c>
      <c r="G146" s="2" t="s">
        <v>15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IFERROR(__xludf.DUMMYFUNCTION("""COMPUTED_VALUE"""),26.0)</f>
        <v>26</v>
      </c>
      <c r="C147" s="1">
        <f>IFERROR(__xludf.DUMMYFUNCTION("""COMPUTED_VALUE"""),26.62)</f>
        <v>26.62</v>
      </c>
      <c r="D147" s="1">
        <f>IFERROR(__xludf.DUMMYFUNCTION("""COMPUTED_VALUE"""),25.7)</f>
        <v>25.7</v>
      </c>
      <c r="E147" s="1">
        <f>IFERROR(__xludf.DUMMYFUNCTION("""COMPUTED_VALUE"""),26.39)</f>
        <v>26.39</v>
      </c>
      <c r="F147" s="1">
        <f>IFERROR(__xludf.DUMMYFUNCTION("""COMPUTED_VALUE"""),991518.0)</f>
        <v>991518</v>
      </c>
      <c r="G147" s="2" t="s">
        <v>15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IFERROR(__xludf.DUMMYFUNCTION("""COMPUTED_VALUE"""),26.64)</f>
        <v>26.64</v>
      </c>
      <c r="C148" s="1">
        <f>IFERROR(__xludf.DUMMYFUNCTION("""COMPUTED_VALUE"""),27.2)</f>
        <v>27.2</v>
      </c>
      <c r="D148" s="1">
        <f>IFERROR(__xludf.DUMMYFUNCTION("""COMPUTED_VALUE"""),25.4)</f>
        <v>25.4</v>
      </c>
      <c r="E148" s="1">
        <f>IFERROR(__xludf.DUMMYFUNCTION("""COMPUTED_VALUE"""),25.67)</f>
        <v>25.67</v>
      </c>
      <c r="F148" s="1">
        <f>IFERROR(__xludf.DUMMYFUNCTION("""COMPUTED_VALUE"""),1516740.0)</f>
        <v>1516740</v>
      </c>
      <c r="G148" s="2" t="s">
        <v>15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IFERROR(__xludf.DUMMYFUNCTION("""COMPUTED_VALUE"""),26.36)</f>
        <v>26.36</v>
      </c>
      <c r="C149" s="1">
        <f>IFERROR(__xludf.DUMMYFUNCTION("""COMPUTED_VALUE"""),27.96)</f>
        <v>27.96</v>
      </c>
      <c r="D149" s="1">
        <f>IFERROR(__xludf.DUMMYFUNCTION("""COMPUTED_VALUE"""),26.23)</f>
        <v>26.23</v>
      </c>
      <c r="E149" s="1">
        <f>IFERROR(__xludf.DUMMYFUNCTION("""COMPUTED_VALUE"""),27.35)</f>
        <v>27.35</v>
      </c>
      <c r="F149" s="1">
        <f>IFERROR(__xludf.DUMMYFUNCTION("""COMPUTED_VALUE"""),1906848.0)</f>
        <v>1906848</v>
      </c>
      <c r="G149" s="2" t="s">
        <v>15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IFERROR(__xludf.DUMMYFUNCTION("""COMPUTED_VALUE"""),27.42)</f>
        <v>27.42</v>
      </c>
      <c r="C150" s="1">
        <f>IFERROR(__xludf.DUMMYFUNCTION("""COMPUTED_VALUE"""),27.44)</f>
        <v>27.44</v>
      </c>
      <c r="D150" s="1">
        <f>IFERROR(__xludf.DUMMYFUNCTION("""COMPUTED_VALUE"""),26.32)</f>
        <v>26.32</v>
      </c>
      <c r="E150" s="1">
        <f>IFERROR(__xludf.DUMMYFUNCTION("""COMPUTED_VALUE"""),26.98)</f>
        <v>26.98</v>
      </c>
      <c r="F150" s="1">
        <f>IFERROR(__xludf.DUMMYFUNCTION("""COMPUTED_VALUE"""),1065562.0)</f>
        <v>1065562</v>
      </c>
      <c r="G150" s="2" t="s">
        <v>15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IFERROR(__xludf.DUMMYFUNCTION("""COMPUTED_VALUE"""),26.53)</f>
        <v>26.53</v>
      </c>
      <c r="C151" s="1">
        <f>IFERROR(__xludf.DUMMYFUNCTION("""COMPUTED_VALUE"""),26.55)</f>
        <v>26.55</v>
      </c>
      <c r="D151" s="1">
        <f>IFERROR(__xludf.DUMMYFUNCTION("""COMPUTED_VALUE"""),25.2)</f>
        <v>25.2</v>
      </c>
      <c r="E151" s="1">
        <f>IFERROR(__xludf.DUMMYFUNCTION("""COMPUTED_VALUE"""),26.12)</f>
        <v>26.12</v>
      </c>
      <c r="F151" s="1">
        <f>IFERROR(__xludf.DUMMYFUNCTION("""COMPUTED_VALUE"""),1881428.0)</f>
        <v>1881428</v>
      </c>
      <c r="G151" s="2" t="s">
        <v>15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IFERROR(__xludf.DUMMYFUNCTION("""COMPUTED_VALUE"""),26.09)</f>
        <v>26.09</v>
      </c>
      <c r="C152" s="1">
        <f>IFERROR(__xludf.DUMMYFUNCTION("""COMPUTED_VALUE"""),27.79)</f>
        <v>27.79</v>
      </c>
      <c r="D152" s="1">
        <f>IFERROR(__xludf.DUMMYFUNCTION("""COMPUTED_VALUE"""),26.08)</f>
        <v>26.08</v>
      </c>
      <c r="E152" s="1">
        <f>IFERROR(__xludf.DUMMYFUNCTION("""COMPUTED_VALUE"""),27.64)</f>
        <v>27.64</v>
      </c>
      <c r="F152" s="1">
        <f>IFERROR(__xludf.DUMMYFUNCTION("""COMPUTED_VALUE"""),1206707.0)</f>
        <v>1206707</v>
      </c>
      <c r="G152" s="2" t="s">
        <v>15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IFERROR(__xludf.DUMMYFUNCTION("""COMPUTED_VALUE"""),27.8)</f>
        <v>27.8</v>
      </c>
      <c r="C153" s="1">
        <f>IFERROR(__xludf.DUMMYFUNCTION("""COMPUTED_VALUE"""),31.96)</f>
        <v>31.96</v>
      </c>
      <c r="D153" s="1">
        <f>IFERROR(__xludf.DUMMYFUNCTION("""COMPUTED_VALUE"""),27.74)</f>
        <v>27.74</v>
      </c>
      <c r="E153" s="1">
        <f>IFERROR(__xludf.DUMMYFUNCTION("""COMPUTED_VALUE"""),31.26)</f>
        <v>31.26</v>
      </c>
      <c r="F153" s="1">
        <f>IFERROR(__xludf.DUMMYFUNCTION("""COMPUTED_VALUE"""),2606705.0)</f>
        <v>2606705</v>
      </c>
      <c r="G153" s="2" t="s">
        <v>15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IFERROR(__xludf.DUMMYFUNCTION("""COMPUTED_VALUE"""),31.22)</f>
        <v>31.22</v>
      </c>
      <c r="C154" s="1">
        <f>IFERROR(__xludf.DUMMYFUNCTION("""COMPUTED_VALUE"""),33.13)</f>
        <v>33.13</v>
      </c>
      <c r="D154" s="1">
        <f>IFERROR(__xludf.DUMMYFUNCTION("""COMPUTED_VALUE"""),30.52)</f>
        <v>30.52</v>
      </c>
      <c r="E154" s="1">
        <f>IFERROR(__xludf.DUMMYFUNCTION("""COMPUTED_VALUE"""),30.85)</f>
        <v>30.85</v>
      </c>
      <c r="F154" s="1">
        <f>IFERROR(__xludf.DUMMYFUNCTION("""COMPUTED_VALUE"""),2077531.0)</f>
        <v>2077531</v>
      </c>
      <c r="G154" s="2" t="s">
        <v>15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IFERROR(__xludf.DUMMYFUNCTION("""COMPUTED_VALUE"""),30.91)</f>
        <v>30.91</v>
      </c>
      <c r="C155" s="1">
        <f>IFERROR(__xludf.DUMMYFUNCTION("""COMPUTED_VALUE"""),31.53)</f>
        <v>31.53</v>
      </c>
      <c r="D155" s="1">
        <f>IFERROR(__xludf.DUMMYFUNCTION("""COMPUTED_VALUE"""),30.27)</f>
        <v>30.27</v>
      </c>
      <c r="E155" s="1">
        <f>IFERROR(__xludf.DUMMYFUNCTION("""COMPUTED_VALUE"""),31.34)</f>
        <v>31.34</v>
      </c>
      <c r="F155" s="1">
        <f>IFERROR(__xludf.DUMMYFUNCTION("""COMPUTED_VALUE"""),712057.0)</f>
        <v>712057</v>
      </c>
      <c r="G155" s="2" t="s">
        <v>15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IFERROR(__xludf.DUMMYFUNCTION("""COMPUTED_VALUE"""),31.28)</f>
        <v>31.28</v>
      </c>
      <c r="C156" s="1">
        <f>IFERROR(__xludf.DUMMYFUNCTION("""COMPUTED_VALUE"""),31.59)</f>
        <v>31.59</v>
      </c>
      <c r="D156" s="1">
        <f>IFERROR(__xludf.DUMMYFUNCTION("""COMPUTED_VALUE"""),29.4)</f>
        <v>29.4</v>
      </c>
      <c r="E156" s="1">
        <f>IFERROR(__xludf.DUMMYFUNCTION("""COMPUTED_VALUE"""),29.49)</f>
        <v>29.49</v>
      </c>
      <c r="F156" s="1">
        <f>IFERROR(__xludf.DUMMYFUNCTION("""COMPUTED_VALUE"""),972737.0)</f>
        <v>972737</v>
      </c>
      <c r="G156" s="2" t="s">
        <v>15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IFERROR(__xludf.DUMMYFUNCTION("""COMPUTED_VALUE"""),29.2)</f>
        <v>29.2</v>
      </c>
      <c r="C157" s="1">
        <f>IFERROR(__xludf.DUMMYFUNCTION("""COMPUTED_VALUE"""),31.44)</f>
        <v>31.44</v>
      </c>
      <c r="D157" s="1">
        <f>IFERROR(__xludf.DUMMYFUNCTION("""COMPUTED_VALUE"""),28.64)</f>
        <v>28.64</v>
      </c>
      <c r="E157" s="1">
        <f>IFERROR(__xludf.DUMMYFUNCTION("""COMPUTED_VALUE"""),31.32)</f>
        <v>31.32</v>
      </c>
      <c r="F157" s="1">
        <f>IFERROR(__xludf.DUMMYFUNCTION("""COMPUTED_VALUE"""),1276603.0)</f>
        <v>1276603</v>
      </c>
      <c r="G157" s="2" t="s">
        <v>15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IFERROR(__xludf.DUMMYFUNCTION("""COMPUTED_VALUE"""),31.5)</f>
        <v>31.5</v>
      </c>
      <c r="C158" s="1">
        <f>IFERROR(__xludf.DUMMYFUNCTION("""COMPUTED_VALUE"""),32.57)</f>
        <v>32.57</v>
      </c>
      <c r="D158" s="1">
        <f>IFERROR(__xludf.DUMMYFUNCTION("""COMPUTED_VALUE"""),30.93)</f>
        <v>30.93</v>
      </c>
      <c r="E158" s="1">
        <f>IFERROR(__xludf.DUMMYFUNCTION("""COMPUTED_VALUE"""),31.93)</f>
        <v>31.93</v>
      </c>
      <c r="F158" s="1">
        <f>IFERROR(__xludf.DUMMYFUNCTION("""COMPUTED_VALUE"""),1125996.0)</f>
        <v>1125996</v>
      </c>
      <c r="G158" s="2" t="s">
        <v>15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IFERROR(__xludf.DUMMYFUNCTION("""COMPUTED_VALUE"""),31.7)</f>
        <v>31.7</v>
      </c>
      <c r="C159" s="1">
        <f>IFERROR(__xludf.DUMMYFUNCTION("""COMPUTED_VALUE"""),32.25)</f>
        <v>32.25</v>
      </c>
      <c r="D159" s="1">
        <f>IFERROR(__xludf.DUMMYFUNCTION("""COMPUTED_VALUE"""),31.22)</f>
        <v>31.22</v>
      </c>
      <c r="E159" s="1">
        <f>IFERROR(__xludf.DUMMYFUNCTION("""COMPUTED_VALUE"""),31.99)</f>
        <v>31.99</v>
      </c>
      <c r="F159" s="1">
        <f>IFERROR(__xludf.DUMMYFUNCTION("""COMPUTED_VALUE"""),851491.0)</f>
        <v>851491</v>
      </c>
      <c r="G159" s="2" t="s">
        <v>15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IFERROR(__xludf.DUMMYFUNCTION("""COMPUTED_VALUE"""),32.15)</f>
        <v>32.15</v>
      </c>
      <c r="C160" s="1">
        <f>IFERROR(__xludf.DUMMYFUNCTION("""COMPUTED_VALUE"""),32.15)</f>
        <v>32.15</v>
      </c>
      <c r="D160" s="1">
        <f>IFERROR(__xludf.DUMMYFUNCTION("""COMPUTED_VALUE"""),31.31)</f>
        <v>31.31</v>
      </c>
      <c r="E160" s="1">
        <f>IFERROR(__xludf.DUMMYFUNCTION("""COMPUTED_VALUE"""),31.43)</f>
        <v>31.43</v>
      </c>
      <c r="F160" s="1">
        <f>IFERROR(__xludf.DUMMYFUNCTION("""COMPUTED_VALUE"""),744677.0)</f>
        <v>744677</v>
      </c>
      <c r="G160" s="2" t="s">
        <v>15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IFERROR(__xludf.DUMMYFUNCTION("""COMPUTED_VALUE"""),31.57)</f>
        <v>31.57</v>
      </c>
      <c r="C161" s="1">
        <f>IFERROR(__xludf.DUMMYFUNCTION("""COMPUTED_VALUE"""),31.68)</f>
        <v>31.68</v>
      </c>
      <c r="D161" s="1">
        <f>IFERROR(__xludf.DUMMYFUNCTION("""COMPUTED_VALUE"""),30.37)</f>
        <v>30.37</v>
      </c>
      <c r="E161" s="1">
        <f>IFERROR(__xludf.DUMMYFUNCTION("""COMPUTED_VALUE"""),30.75)</f>
        <v>30.75</v>
      </c>
      <c r="F161" s="1">
        <f>IFERROR(__xludf.DUMMYFUNCTION("""COMPUTED_VALUE"""),1113296.0)</f>
        <v>1113296</v>
      </c>
      <c r="G161" s="2" t="s">
        <v>15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IFERROR(__xludf.DUMMYFUNCTION("""COMPUTED_VALUE"""),30.81)</f>
        <v>30.81</v>
      </c>
      <c r="C162" s="1">
        <f>IFERROR(__xludf.DUMMYFUNCTION("""COMPUTED_VALUE"""),30.84)</f>
        <v>30.84</v>
      </c>
      <c r="D162" s="1">
        <f>IFERROR(__xludf.DUMMYFUNCTION("""COMPUTED_VALUE"""),28.37)</f>
        <v>28.37</v>
      </c>
      <c r="E162" s="1">
        <f>IFERROR(__xludf.DUMMYFUNCTION("""COMPUTED_VALUE"""),28.41)</f>
        <v>28.41</v>
      </c>
      <c r="F162" s="1">
        <f>IFERROR(__xludf.DUMMYFUNCTION("""COMPUTED_VALUE"""),1491517.0)</f>
        <v>1491517</v>
      </c>
      <c r="G162" s="2" t="s">
        <v>15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IFERROR(__xludf.DUMMYFUNCTION("""COMPUTED_VALUE"""),28.41)</f>
        <v>28.41</v>
      </c>
      <c r="C163" s="1">
        <f>IFERROR(__xludf.DUMMYFUNCTION("""COMPUTED_VALUE"""),29.24)</f>
        <v>29.24</v>
      </c>
      <c r="D163" s="1">
        <f>IFERROR(__xludf.DUMMYFUNCTION("""COMPUTED_VALUE"""),27.09)</f>
        <v>27.09</v>
      </c>
      <c r="E163" s="1">
        <f>IFERROR(__xludf.DUMMYFUNCTION("""COMPUTED_VALUE"""),27.09)</f>
        <v>27.09</v>
      </c>
      <c r="F163" s="1">
        <f>IFERROR(__xludf.DUMMYFUNCTION("""COMPUTED_VALUE"""),1927089.0)</f>
        <v>1927089</v>
      </c>
      <c r="G163" s="2" t="s">
        <v>15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IFERROR(__xludf.DUMMYFUNCTION("""COMPUTED_VALUE"""),26.63)</f>
        <v>26.63</v>
      </c>
      <c r="C164" s="1">
        <f>IFERROR(__xludf.DUMMYFUNCTION("""COMPUTED_VALUE"""),27.73)</f>
        <v>27.73</v>
      </c>
      <c r="D164" s="1">
        <f>IFERROR(__xludf.DUMMYFUNCTION("""COMPUTED_VALUE"""),26.37)</f>
        <v>26.37</v>
      </c>
      <c r="E164" s="1">
        <f>IFERROR(__xludf.DUMMYFUNCTION("""COMPUTED_VALUE"""),26.61)</f>
        <v>26.61</v>
      </c>
      <c r="F164" s="1">
        <f>IFERROR(__xludf.DUMMYFUNCTION("""COMPUTED_VALUE"""),1683417.0)</f>
        <v>1683417</v>
      </c>
      <c r="G164" s="2" t="s">
        <v>15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IFERROR(__xludf.DUMMYFUNCTION("""COMPUTED_VALUE"""),26.5)</f>
        <v>26.5</v>
      </c>
      <c r="C165" s="1">
        <f>IFERROR(__xludf.DUMMYFUNCTION("""COMPUTED_VALUE"""),26.81)</f>
        <v>26.81</v>
      </c>
      <c r="D165" s="1">
        <f>IFERROR(__xludf.DUMMYFUNCTION("""COMPUTED_VALUE"""),25.0)</f>
        <v>25</v>
      </c>
      <c r="E165" s="1">
        <f>IFERROR(__xludf.DUMMYFUNCTION("""COMPUTED_VALUE"""),25.0)</f>
        <v>25</v>
      </c>
      <c r="F165" s="1">
        <f>IFERROR(__xludf.DUMMYFUNCTION("""COMPUTED_VALUE"""),1060506.0)</f>
        <v>1060506</v>
      </c>
      <c r="G165" s="2" t="s">
        <v>15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IFERROR(__xludf.DUMMYFUNCTION("""COMPUTED_VALUE"""),24.95)</f>
        <v>24.95</v>
      </c>
      <c r="C166" s="1">
        <f>IFERROR(__xludf.DUMMYFUNCTION("""COMPUTED_VALUE"""),25.61)</f>
        <v>25.61</v>
      </c>
      <c r="D166" s="1">
        <f>IFERROR(__xludf.DUMMYFUNCTION("""COMPUTED_VALUE"""),24.74)</f>
        <v>24.74</v>
      </c>
      <c r="E166" s="1">
        <f>IFERROR(__xludf.DUMMYFUNCTION("""COMPUTED_VALUE"""),24.75)</f>
        <v>24.75</v>
      </c>
      <c r="F166" s="1">
        <f>IFERROR(__xludf.DUMMYFUNCTION("""COMPUTED_VALUE"""),1413199.0)</f>
        <v>1413199</v>
      </c>
      <c r="G166" s="2" t="s">
        <v>15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IFERROR(__xludf.DUMMYFUNCTION("""COMPUTED_VALUE"""),24.71)</f>
        <v>24.71</v>
      </c>
      <c r="C167" s="1">
        <f>IFERROR(__xludf.DUMMYFUNCTION("""COMPUTED_VALUE"""),24.95)</f>
        <v>24.95</v>
      </c>
      <c r="D167" s="1">
        <f>IFERROR(__xludf.DUMMYFUNCTION("""COMPUTED_VALUE"""),24.02)</f>
        <v>24.02</v>
      </c>
      <c r="E167" s="1">
        <f>IFERROR(__xludf.DUMMYFUNCTION("""COMPUTED_VALUE"""),24.84)</f>
        <v>24.84</v>
      </c>
      <c r="F167" s="1">
        <f>IFERROR(__xludf.DUMMYFUNCTION("""COMPUTED_VALUE"""),851137.0)</f>
        <v>851137</v>
      </c>
      <c r="G167" s="2" t="s">
        <v>15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IFERROR(__xludf.DUMMYFUNCTION("""COMPUTED_VALUE"""),25.07)</f>
        <v>25.07</v>
      </c>
      <c r="C168" s="1">
        <f>IFERROR(__xludf.DUMMYFUNCTION("""COMPUTED_VALUE"""),25.15)</f>
        <v>25.15</v>
      </c>
      <c r="D168" s="1">
        <f>IFERROR(__xludf.DUMMYFUNCTION("""COMPUTED_VALUE"""),24.38)</f>
        <v>24.38</v>
      </c>
      <c r="E168" s="1">
        <f>IFERROR(__xludf.DUMMYFUNCTION("""COMPUTED_VALUE"""),24.4)</f>
        <v>24.4</v>
      </c>
      <c r="F168" s="1">
        <f>IFERROR(__xludf.DUMMYFUNCTION("""COMPUTED_VALUE"""),1248988.0)</f>
        <v>1248988</v>
      </c>
      <c r="G168" s="2" t="s">
        <v>15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IFERROR(__xludf.DUMMYFUNCTION("""COMPUTED_VALUE"""),24.41)</f>
        <v>24.41</v>
      </c>
      <c r="C169" s="1">
        <f>IFERROR(__xludf.DUMMYFUNCTION("""COMPUTED_VALUE"""),24.75)</f>
        <v>24.75</v>
      </c>
      <c r="D169" s="1">
        <f>IFERROR(__xludf.DUMMYFUNCTION("""COMPUTED_VALUE"""),23.12)</f>
        <v>23.12</v>
      </c>
      <c r="E169" s="1">
        <f>IFERROR(__xludf.DUMMYFUNCTION("""COMPUTED_VALUE"""),23.27)</f>
        <v>23.27</v>
      </c>
      <c r="F169" s="1">
        <f>IFERROR(__xludf.DUMMYFUNCTION("""COMPUTED_VALUE"""),1446991.0)</f>
        <v>1446991</v>
      </c>
      <c r="G169" s="2" t="s">
        <v>15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IFERROR(__xludf.DUMMYFUNCTION("""COMPUTED_VALUE"""),22.87)</f>
        <v>22.87</v>
      </c>
      <c r="C170" s="1">
        <f>IFERROR(__xludf.DUMMYFUNCTION("""COMPUTED_VALUE"""),23.8)</f>
        <v>23.8</v>
      </c>
      <c r="D170" s="1">
        <f>IFERROR(__xludf.DUMMYFUNCTION("""COMPUTED_VALUE"""),22.42)</f>
        <v>22.42</v>
      </c>
      <c r="E170" s="1">
        <f>IFERROR(__xludf.DUMMYFUNCTION("""COMPUTED_VALUE"""),23.36)</f>
        <v>23.36</v>
      </c>
      <c r="F170" s="1">
        <f>IFERROR(__xludf.DUMMYFUNCTION("""COMPUTED_VALUE"""),790626.0)</f>
        <v>790626</v>
      </c>
      <c r="G170" s="2" t="s">
        <v>15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IFERROR(__xludf.DUMMYFUNCTION("""COMPUTED_VALUE"""),23.28)</f>
        <v>23.28</v>
      </c>
      <c r="C171" s="1">
        <f>IFERROR(__xludf.DUMMYFUNCTION("""COMPUTED_VALUE"""),24.83)</f>
        <v>24.83</v>
      </c>
      <c r="D171" s="1">
        <f>IFERROR(__xludf.DUMMYFUNCTION("""COMPUTED_VALUE"""),23.2)</f>
        <v>23.2</v>
      </c>
      <c r="E171" s="1">
        <f>IFERROR(__xludf.DUMMYFUNCTION("""COMPUTED_VALUE"""),23.8)</f>
        <v>23.8</v>
      </c>
      <c r="F171" s="1">
        <f>IFERROR(__xludf.DUMMYFUNCTION("""COMPUTED_VALUE"""),1078015.0)</f>
        <v>1078015</v>
      </c>
      <c r="G171" s="2" t="s">
        <v>15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IFERROR(__xludf.DUMMYFUNCTION("""COMPUTED_VALUE"""),24.0)</f>
        <v>24</v>
      </c>
      <c r="C172" s="1">
        <f>IFERROR(__xludf.DUMMYFUNCTION("""COMPUTED_VALUE"""),24.1)</f>
        <v>24.1</v>
      </c>
      <c r="D172" s="1">
        <f>IFERROR(__xludf.DUMMYFUNCTION("""COMPUTED_VALUE"""),23.1)</f>
        <v>23.1</v>
      </c>
      <c r="E172" s="1">
        <f>IFERROR(__xludf.DUMMYFUNCTION("""COMPUTED_VALUE"""),23.11)</f>
        <v>23.11</v>
      </c>
      <c r="F172" s="1">
        <f>IFERROR(__xludf.DUMMYFUNCTION("""COMPUTED_VALUE"""),1203852.0)</f>
        <v>1203852</v>
      </c>
      <c r="G172" s="2" t="s">
        <v>15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IFERROR(__xludf.DUMMYFUNCTION("""COMPUTED_VALUE"""),22.69)</f>
        <v>22.69</v>
      </c>
      <c r="C173" s="1">
        <f>IFERROR(__xludf.DUMMYFUNCTION("""COMPUTED_VALUE"""),22.76)</f>
        <v>22.76</v>
      </c>
      <c r="D173" s="1">
        <f>IFERROR(__xludf.DUMMYFUNCTION("""COMPUTED_VALUE"""),21.93)</f>
        <v>21.93</v>
      </c>
      <c r="E173" s="1">
        <f>IFERROR(__xludf.DUMMYFUNCTION("""COMPUTED_VALUE"""),22.05)</f>
        <v>22.05</v>
      </c>
      <c r="F173" s="1">
        <f>IFERROR(__xludf.DUMMYFUNCTION("""COMPUTED_VALUE"""),1664121.0)</f>
        <v>1664121</v>
      </c>
      <c r="G173" s="2" t="s">
        <v>15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IFERROR(__xludf.DUMMYFUNCTION("""COMPUTED_VALUE"""),22.64)</f>
        <v>22.64</v>
      </c>
      <c r="C174" s="1">
        <f>IFERROR(__xludf.DUMMYFUNCTION("""COMPUTED_VALUE"""),23.15)</f>
        <v>23.15</v>
      </c>
      <c r="D174" s="1">
        <f>IFERROR(__xludf.DUMMYFUNCTION("""COMPUTED_VALUE"""),22.21)</f>
        <v>22.21</v>
      </c>
      <c r="E174" s="1">
        <f>IFERROR(__xludf.DUMMYFUNCTION("""COMPUTED_VALUE"""),23.06)</f>
        <v>23.06</v>
      </c>
      <c r="F174" s="1">
        <f>IFERROR(__xludf.DUMMYFUNCTION("""COMPUTED_VALUE"""),1282834.0)</f>
        <v>1282834</v>
      </c>
      <c r="G174" s="2" t="s">
        <v>15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IFERROR(__xludf.DUMMYFUNCTION("""COMPUTED_VALUE"""),22.14)</f>
        <v>22.14</v>
      </c>
      <c r="C175" s="1">
        <f>IFERROR(__xludf.DUMMYFUNCTION("""COMPUTED_VALUE"""),22.54)</f>
        <v>22.54</v>
      </c>
      <c r="D175" s="1">
        <f>IFERROR(__xludf.DUMMYFUNCTION("""COMPUTED_VALUE"""),21.92)</f>
        <v>21.92</v>
      </c>
      <c r="E175" s="1">
        <f>IFERROR(__xludf.DUMMYFUNCTION("""COMPUTED_VALUE"""),22.43)</f>
        <v>22.43</v>
      </c>
      <c r="F175" s="1">
        <f>IFERROR(__xludf.DUMMYFUNCTION("""COMPUTED_VALUE"""),983089.0)</f>
        <v>983089</v>
      </c>
      <c r="G175" s="2" t="s">
        <v>15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IFERROR(__xludf.DUMMYFUNCTION("""COMPUTED_VALUE"""),22.38)</f>
        <v>22.38</v>
      </c>
      <c r="C176" s="1">
        <f>IFERROR(__xludf.DUMMYFUNCTION("""COMPUTED_VALUE"""),23.64)</f>
        <v>23.64</v>
      </c>
      <c r="D176" s="1">
        <f>IFERROR(__xludf.DUMMYFUNCTION("""COMPUTED_VALUE"""),22.38)</f>
        <v>22.38</v>
      </c>
      <c r="E176" s="1">
        <f>IFERROR(__xludf.DUMMYFUNCTION("""COMPUTED_VALUE"""),23.05)</f>
        <v>23.05</v>
      </c>
      <c r="F176" s="1">
        <f>IFERROR(__xludf.DUMMYFUNCTION("""COMPUTED_VALUE"""),1045597.0)</f>
        <v>1045597</v>
      </c>
      <c r="G176" s="2" t="s">
        <v>15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IFERROR(__xludf.DUMMYFUNCTION("""COMPUTED_VALUE"""),22.95)</f>
        <v>22.95</v>
      </c>
      <c r="C177" s="1">
        <f>IFERROR(__xludf.DUMMYFUNCTION("""COMPUTED_VALUE"""),23.11)</f>
        <v>23.11</v>
      </c>
      <c r="D177" s="1">
        <f>IFERROR(__xludf.DUMMYFUNCTION("""COMPUTED_VALUE"""),22.25)</f>
        <v>22.25</v>
      </c>
      <c r="E177" s="1">
        <f>IFERROR(__xludf.DUMMYFUNCTION("""COMPUTED_VALUE"""),22.74)</f>
        <v>22.74</v>
      </c>
      <c r="F177" s="1">
        <f>IFERROR(__xludf.DUMMYFUNCTION("""COMPUTED_VALUE"""),1626932.0)</f>
        <v>1626932</v>
      </c>
      <c r="G177" s="2" t="s">
        <v>15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IFERROR(__xludf.DUMMYFUNCTION("""COMPUTED_VALUE"""),23.07)</f>
        <v>23.07</v>
      </c>
      <c r="C178" s="1">
        <f>IFERROR(__xludf.DUMMYFUNCTION("""COMPUTED_VALUE"""),23.13)</f>
        <v>23.13</v>
      </c>
      <c r="D178" s="1">
        <f>IFERROR(__xludf.DUMMYFUNCTION("""COMPUTED_VALUE"""),21.63)</f>
        <v>21.63</v>
      </c>
      <c r="E178" s="1">
        <f>IFERROR(__xludf.DUMMYFUNCTION("""COMPUTED_VALUE"""),22.27)</f>
        <v>22.27</v>
      </c>
      <c r="F178" s="1">
        <f>IFERROR(__xludf.DUMMYFUNCTION("""COMPUTED_VALUE"""),1589558.0)</f>
        <v>1589558</v>
      </c>
      <c r="G178" s="2" t="s">
        <v>15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IFERROR(__xludf.DUMMYFUNCTION("""COMPUTED_VALUE"""),22.25)</f>
        <v>22.25</v>
      </c>
      <c r="C179" s="1">
        <f>IFERROR(__xludf.DUMMYFUNCTION("""COMPUTED_VALUE"""),23.29)</f>
        <v>23.29</v>
      </c>
      <c r="D179" s="1">
        <f>IFERROR(__xludf.DUMMYFUNCTION("""COMPUTED_VALUE"""),22.03)</f>
        <v>22.03</v>
      </c>
      <c r="E179" s="1">
        <f>IFERROR(__xludf.DUMMYFUNCTION("""COMPUTED_VALUE"""),22.97)</f>
        <v>22.97</v>
      </c>
      <c r="F179" s="1">
        <f>IFERROR(__xludf.DUMMYFUNCTION("""COMPUTED_VALUE"""),1295210.0)</f>
        <v>1295210</v>
      </c>
      <c r="G179" s="2" t="s">
        <v>15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IFERROR(__xludf.DUMMYFUNCTION("""COMPUTED_VALUE"""),23.32)</f>
        <v>23.32</v>
      </c>
      <c r="C180" s="1">
        <f>IFERROR(__xludf.DUMMYFUNCTION("""COMPUTED_VALUE"""),24.39)</f>
        <v>24.39</v>
      </c>
      <c r="D180" s="1">
        <f>IFERROR(__xludf.DUMMYFUNCTION("""COMPUTED_VALUE"""),22.94)</f>
        <v>22.94</v>
      </c>
      <c r="E180" s="1">
        <f>IFERROR(__xludf.DUMMYFUNCTION("""COMPUTED_VALUE"""),24.13)</f>
        <v>24.13</v>
      </c>
      <c r="F180" s="1">
        <f>IFERROR(__xludf.DUMMYFUNCTION("""COMPUTED_VALUE"""),1438165.0)</f>
        <v>1438165</v>
      </c>
      <c r="G180" s="2" t="s">
        <v>15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IFERROR(__xludf.DUMMYFUNCTION("""COMPUTED_VALUE"""),24.16)</f>
        <v>24.16</v>
      </c>
      <c r="C181" s="1">
        <f>IFERROR(__xludf.DUMMYFUNCTION("""COMPUTED_VALUE"""),24.18)</f>
        <v>24.18</v>
      </c>
      <c r="D181" s="1">
        <f>IFERROR(__xludf.DUMMYFUNCTION("""COMPUTED_VALUE"""),22.11)</f>
        <v>22.11</v>
      </c>
      <c r="E181" s="1">
        <f>IFERROR(__xludf.DUMMYFUNCTION("""COMPUTED_VALUE"""),22.12)</f>
        <v>22.12</v>
      </c>
      <c r="F181" s="1">
        <f>IFERROR(__xludf.DUMMYFUNCTION("""COMPUTED_VALUE"""),1302765.0)</f>
        <v>1302765</v>
      </c>
      <c r="G181" s="2" t="s">
        <v>15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IFERROR(__xludf.DUMMYFUNCTION("""COMPUTED_VALUE"""),21.91)</f>
        <v>21.91</v>
      </c>
      <c r="C182" s="1">
        <f>IFERROR(__xludf.DUMMYFUNCTION("""COMPUTED_VALUE"""),22.69)</f>
        <v>22.69</v>
      </c>
      <c r="D182" s="1">
        <f>IFERROR(__xludf.DUMMYFUNCTION("""COMPUTED_VALUE"""),21.31)</f>
        <v>21.31</v>
      </c>
      <c r="E182" s="1">
        <f>IFERROR(__xludf.DUMMYFUNCTION("""COMPUTED_VALUE"""),21.66)</f>
        <v>21.66</v>
      </c>
      <c r="F182" s="1">
        <f>IFERROR(__xludf.DUMMYFUNCTION("""COMPUTED_VALUE"""),1787057.0)</f>
        <v>1787057</v>
      </c>
      <c r="G182" s="2" t="s">
        <v>15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IFERROR(__xludf.DUMMYFUNCTION("""COMPUTED_VALUE"""),21.7)</f>
        <v>21.7</v>
      </c>
      <c r="C183" s="1">
        <f>IFERROR(__xludf.DUMMYFUNCTION("""COMPUTED_VALUE"""),22.53)</f>
        <v>22.53</v>
      </c>
      <c r="D183" s="1">
        <f>IFERROR(__xludf.DUMMYFUNCTION("""COMPUTED_VALUE"""),21.57)</f>
        <v>21.57</v>
      </c>
      <c r="E183" s="1">
        <f>IFERROR(__xludf.DUMMYFUNCTION("""COMPUTED_VALUE"""),21.92)</f>
        <v>21.92</v>
      </c>
      <c r="F183" s="1">
        <f>IFERROR(__xludf.DUMMYFUNCTION("""COMPUTED_VALUE"""),1256896.0)</f>
        <v>1256896</v>
      </c>
      <c r="G183" s="2" t="s">
        <v>15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IFERROR(__xludf.DUMMYFUNCTION("""COMPUTED_VALUE"""),21.3)</f>
        <v>21.3</v>
      </c>
      <c r="C184" s="1">
        <f>IFERROR(__xludf.DUMMYFUNCTION("""COMPUTED_VALUE"""),21.98)</f>
        <v>21.98</v>
      </c>
      <c r="D184" s="1">
        <f>IFERROR(__xludf.DUMMYFUNCTION("""COMPUTED_VALUE"""),20.93)</f>
        <v>20.93</v>
      </c>
      <c r="E184" s="1">
        <f>IFERROR(__xludf.DUMMYFUNCTION("""COMPUTED_VALUE"""),21.67)</f>
        <v>21.67</v>
      </c>
      <c r="F184" s="1">
        <f>IFERROR(__xludf.DUMMYFUNCTION("""COMPUTED_VALUE"""),2055639.0)</f>
        <v>2055639</v>
      </c>
      <c r="G184" s="2" t="s">
        <v>15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IFERROR(__xludf.DUMMYFUNCTION("""COMPUTED_VALUE"""),21.61)</f>
        <v>21.61</v>
      </c>
      <c r="C185" s="1">
        <f>IFERROR(__xludf.DUMMYFUNCTION("""COMPUTED_VALUE"""),21.73)</f>
        <v>21.73</v>
      </c>
      <c r="D185" s="1">
        <f>IFERROR(__xludf.DUMMYFUNCTION("""COMPUTED_VALUE"""),21.33)</f>
        <v>21.33</v>
      </c>
      <c r="E185" s="1">
        <f>IFERROR(__xludf.DUMMYFUNCTION("""COMPUTED_VALUE"""),21.33)</f>
        <v>21.33</v>
      </c>
      <c r="F185" s="1">
        <f>IFERROR(__xludf.DUMMYFUNCTION("""COMPUTED_VALUE"""),653948.0)</f>
        <v>653948</v>
      </c>
      <c r="G185" s="2" t="s">
        <v>15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IFERROR(__xludf.DUMMYFUNCTION("""COMPUTED_VALUE"""),21.46)</f>
        <v>21.46</v>
      </c>
      <c r="C186" s="1">
        <f>IFERROR(__xludf.DUMMYFUNCTION("""COMPUTED_VALUE"""),21.66)</f>
        <v>21.66</v>
      </c>
      <c r="D186" s="1">
        <f>IFERROR(__xludf.DUMMYFUNCTION("""COMPUTED_VALUE"""),20.53)</f>
        <v>20.53</v>
      </c>
      <c r="E186" s="1">
        <f>IFERROR(__xludf.DUMMYFUNCTION("""COMPUTED_VALUE"""),21.39)</f>
        <v>21.39</v>
      </c>
      <c r="F186" s="1">
        <f>IFERROR(__xludf.DUMMYFUNCTION("""COMPUTED_VALUE"""),1373447.0)</f>
        <v>1373447</v>
      </c>
      <c r="G186" s="2" t="s">
        <v>15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IFERROR(__xludf.DUMMYFUNCTION("""COMPUTED_VALUE"""),20.96)</f>
        <v>20.96</v>
      </c>
      <c r="C187" s="1">
        <f>IFERROR(__xludf.DUMMYFUNCTION("""COMPUTED_VALUE"""),21.36)</f>
        <v>21.36</v>
      </c>
      <c r="D187" s="1">
        <f>IFERROR(__xludf.DUMMYFUNCTION("""COMPUTED_VALUE"""),20.64)</f>
        <v>20.64</v>
      </c>
      <c r="E187" s="1">
        <f>IFERROR(__xludf.DUMMYFUNCTION("""COMPUTED_VALUE"""),21.36)</f>
        <v>21.36</v>
      </c>
      <c r="F187" s="1">
        <f>IFERROR(__xludf.DUMMYFUNCTION("""COMPUTED_VALUE"""),1250728.0)</f>
        <v>1250728</v>
      </c>
      <c r="G187" s="2" t="s">
        <v>15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IFERROR(__xludf.DUMMYFUNCTION("""COMPUTED_VALUE"""),20.75)</f>
        <v>20.75</v>
      </c>
      <c r="C188" s="1">
        <f>IFERROR(__xludf.DUMMYFUNCTION("""COMPUTED_VALUE"""),21.0)</f>
        <v>21</v>
      </c>
      <c r="D188" s="1">
        <f>IFERROR(__xludf.DUMMYFUNCTION("""COMPUTED_VALUE"""),20.0)</f>
        <v>20</v>
      </c>
      <c r="E188" s="1">
        <f>IFERROR(__xludf.DUMMYFUNCTION("""COMPUTED_VALUE"""),20.0)</f>
        <v>20</v>
      </c>
      <c r="F188" s="1">
        <f>IFERROR(__xludf.DUMMYFUNCTION("""COMPUTED_VALUE"""),1733172.0)</f>
        <v>1733172</v>
      </c>
      <c r="G188" s="2" t="s">
        <v>15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IFERROR(__xludf.DUMMYFUNCTION("""COMPUTED_VALUE"""),20.12)</f>
        <v>20.12</v>
      </c>
      <c r="C189" s="1">
        <f>IFERROR(__xludf.DUMMYFUNCTION("""COMPUTED_VALUE"""),20.41)</f>
        <v>20.41</v>
      </c>
      <c r="D189" s="1">
        <f>IFERROR(__xludf.DUMMYFUNCTION("""COMPUTED_VALUE"""),19.31)</f>
        <v>19.31</v>
      </c>
      <c r="E189" s="1">
        <f>IFERROR(__xludf.DUMMYFUNCTION("""COMPUTED_VALUE"""),19.55)</f>
        <v>19.55</v>
      </c>
      <c r="F189" s="1">
        <f>IFERROR(__xludf.DUMMYFUNCTION("""COMPUTED_VALUE"""),1849794.0)</f>
        <v>1849794</v>
      </c>
      <c r="G189" s="2" t="s">
        <v>15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IFERROR(__xludf.DUMMYFUNCTION("""COMPUTED_VALUE"""),19.51)</f>
        <v>19.51</v>
      </c>
      <c r="C190" s="1">
        <f>IFERROR(__xludf.DUMMYFUNCTION("""COMPUTED_VALUE"""),20.49)</f>
        <v>20.49</v>
      </c>
      <c r="D190" s="1">
        <f>IFERROR(__xludf.DUMMYFUNCTION("""COMPUTED_VALUE"""),19.23)</f>
        <v>19.23</v>
      </c>
      <c r="E190" s="1">
        <f>IFERROR(__xludf.DUMMYFUNCTION("""COMPUTED_VALUE"""),19.71)</f>
        <v>19.71</v>
      </c>
      <c r="F190" s="1">
        <f>IFERROR(__xludf.DUMMYFUNCTION("""COMPUTED_VALUE"""),2184874.0)</f>
        <v>2184874</v>
      </c>
      <c r="G190" s="2" t="s">
        <v>15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IFERROR(__xludf.DUMMYFUNCTION("""COMPUTED_VALUE"""),20.1)</f>
        <v>20.1</v>
      </c>
      <c r="C191" s="1">
        <f>IFERROR(__xludf.DUMMYFUNCTION("""COMPUTED_VALUE"""),20.79)</f>
        <v>20.79</v>
      </c>
      <c r="D191" s="1">
        <f>IFERROR(__xludf.DUMMYFUNCTION("""COMPUTED_VALUE"""),20.01)</f>
        <v>20.01</v>
      </c>
      <c r="E191" s="1">
        <f>IFERROR(__xludf.DUMMYFUNCTION("""COMPUTED_VALUE"""),20.11)</f>
        <v>20.11</v>
      </c>
      <c r="F191" s="1">
        <f>IFERROR(__xludf.DUMMYFUNCTION("""COMPUTED_VALUE"""),1893697.0)</f>
        <v>1893697</v>
      </c>
      <c r="G191" s="2" t="s">
        <v>15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IFERROR(__xludf.DUMMYFUNCTION("""COMPUTED_VALUE"""),19.71)</f>
        <v>19.71</v>
      </c>
      <c r="C192" s="1">
        <f>IFERROR(__xludf.DUMMYFUNCTION("""COMPUTED_VALUE"""),20.73)</f>
        <v>20.73</v>
      </c>
      <c r="D192" s="1">
        <f>IFERROR(__xludf.DUMMYFUNCTION("""COMPUTED_VALUE"""),19.22)</f>
        <v>19.22</v>
      </c>
      <c r="E192" s="1">
        <f>IFERROR(__xludf.DUMMYFUNCTION("""COMPUTED_VALUE"""),20.69)</f>
        <v>20.69</v>
      </c>
      <c r="F192" s="1">
        <f>IFERROR(__xludf.DUMMYFUNCTION("""COMPUTED_VALUE"""),2284366.0)</f>
        <v>2284366</v>
      </c>
      <c r="G192" s="2" t="s">
        <v>15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IFERROR(__xludf.DUMMYFUNCTION("""COMPUTED_VALUE"""),20.55)</f>
        <v>20.55</v>
      </c>
      <c r="C193" s="1">
        <f>IFERROR(__xludf.DUMMYFUNCTION("""COMPUTED_VALUE"""),20.55)</f>
        <v>20.55</v>
      </c>
      <c r="D193" s="1">
        <f>IFERROR(__xludf.DUMMYFUNCTION("""COMPUTED_VALUE"""),19.18)</f>
        <v>19.18</v>
      </c>
      <c r="E193" s="1">
        <f>IFERROR(__xludf.DUMMYFUNCTION("""COMPUTED_VALUE"""),19.42)</f>
        <v>19.42</v>
      </c>
      <c r="F193" s="1">
        <f>IFERROR(__xludf.DUMMYFUNCTION("""COMPUTED_VALUE"""),2407044.0)</f>
        <v>2407044</v>
      </c>
      <c r="G193" s="2" t="s">
        <v>15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IFERROR(__xludf.DUMMYFUNCTION("""COMPUTED_VALUE"""),19.61)</f>
        <v>19.61</v>
      </c>
      <c r="C194" s="1">
        <f>IFERROR(__xludf.DUMMYFUNCTION("""COMPUTED_VALUE"""),20.27)</f>
        <v>20.27</v>
      </c>
      <c r="D194" s="1">
        <f>IFERROR(__xludf.DUMMYFUNCTION("""COMPUTED_VALUE"""),19.38)</f>
        <v>19.38</v>
      </c>
      <c r="E194" s="1">
        <f>IFERROR(__xludf.DUMMYFUNCTION("""COMPUTED_VALUE"""),20.23)</f>
        <v>20.23</v>
      </c>
      <c r="F194" s="1">
        <f>IFERROR(__xludf.DUMMYFUNCTION("""COMPUTED_VALUE"""),1579860.0)</f>
        <v>1579860</v>
      </c>
      <c r="G194" s="2" t="s">
        <v>15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IFERROR(__xludf.DUMMYFUNCTION("""COMPUTED_VALUE"""),19.86)</f>
        <v>19.86</v>
      </c>
      <c r="C195" s="1">
        <f>IFERROR(__xludf.DUMMYFUNCTION("""COMPUTED_VALUE"""),20.45)</f>
        <v>20.45</v>
      </c>
      <c r="D195" s="1">
        <f>IFERROR(__xludf.DUMMYFUNCTION("""COMPUTED_VALUE"""),19.43)</f>
        <v>19.43</v>
      </c>
      <c r="E195" s="1">
        <f>IFERROR(__xludf.DUMMYFUNCTION("""COMPUTED_VALUE"""),20.4)</f>
        <v>20.4</v>
      </c>
      <c r="F195" s="1">
        <f>IFERROR(__xludf.DUMMYFUNCTION("""COMPUTED_VALUE"""),1493877.0)</f>
        <v>1493877</v>
      </c>
      <c r="G195" s="2" t="s">
        <v>15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IFERROR(__xludf.DUMMYFUNCTION("""COMPUTED_VALUE"""),20.93)</f>
        <v>20.93</v>
      </c>
      <c r="C196" s="1">
        <f>IFERROR(__xludf.DUMMYFUNCTION("""COMPUTED_VALUE"""),22.2)</f>
        <v>22.2</v>
      </c>
      <c r="D196" s="1">
        <f>IFERROR(__xludf.DUMMYFUNCTION("""COMPUTED_VALUE"""),20.67)</f>
        <v>20.67</v>
      </c>
      <c r="E196" s="1">
        <f>IFERROR(__xludf.DUMMYFUNCTION("""COMPUTED_VALUE"""),22.09)</f>
        <v>22.09</v>
      </c>
      <c r="F196" s="1">
        <f>IFERROR(__xludf.DUMMYFUNCTION("""COMPUTED_VALUE"""),1350273.0)</f>
        <v>1350273</v>
      </c>
      <c r="G196" s="2" t="s">
        <v>15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IFERROR(__xludf.DUMMYFUNCTION("""COMPUTED_VALUE"""),21.78)</f>
        <v>21.78</v>
      </c>
      <c r="C197" s="1">
        <f>IFERROR(__xludf.DUMMYFUNCTION("""COMPUTED_VALUE"""),22.29)</f>
        <v>22.29</v>
      </c>
      <c r="D197" s="1">
        <f>IFERROR(__xludf.DUMMYFUNCTION("""COMPUTED_VALUE"""),20.65)</f>
        <v>20.65</v>
      </c>
      <c r="E197" s="1">
        <f>IFERROR(__xludf.DUMMYFUNCTION("""COMPUTED_VALUE"""),20.93)</f>
        <v>20.93</v>
      </c>
      <c r="F197" s="1">
        <f>IFERROR(__xludf.DUMMYFUNCTION("""COMPUTED_VALUE"""),1422627.0)</f>
        <v>1422627</v>
      </c>
      <c r="G197" s="2" t="s">
        <v>15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IFERROR(__xludf.DUMMYFUNCTION("""COMPUTED_VALUE"""),21.37)</f>
        <v>21.37</v>
      </c>
      <c r="C198" s="1">
        <f>IFERROR(__xludf.DUMMYFUNCTION("""COMPUTED_VALUE"""),22.23)</f>
        <v>22.23</v>
      </c>
      <c r="D198" s="1">
        <f>IFERROR(__xludf.DUMMYFUNCTION("""COMPUTED_VALUE"""),21.35)</f>
        <v>21.35</v>
      </c>
      <c r="E198" s="1">
        <f>IFERROR(__xludf.DUMMYFUNCTION("""COMPUTED_VALUE"""),21.6)</f>
        <v>21.6</v>
      </c>
      <c r="F198" s="1">
        <f>IFERROR(__xludf.DUMMYFUNCTION("""COMPUTED_VALUE"""),1266902.0)</f>
        <v>1266902</v>
      </c>
      <c r="G198" s="2" t="s">
        <v>15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IFERROR(__xludf.DUMMYFUNCTION("""COMPUTED_VALUE"""),21.3)</f>
        <v>21.3</v>
      </c>
      <c r="C199" s="1">
        <f>IFERROR(__xludf.DUMMYFUNCTION("""COMPUTED_VALUE"""),21.49)</f>
        <v>21.49</v>
      </c>
      <c r="D199" s="1">
        <f>IFERROR(__xludf.DUMMYFUNCTION("""COMPUTED_VALUE"""),20.37)</f>
        <v>20.37</v>
      </c>
      <c r="E199" s="1">
        <f>IFERROR(__xludf.DUMMYFUNCTION("""COMPUTED_VALUE"""),20.63)</f>
        <v>20.63</v>
      </c>
      <c r="F199" s="1">
        <f>IFERROR(__xludf.DUMMYFUNCTION("""COMPUTED_VALUE"""),1536399.0)</f>
        <v>1536399</v>
      </c>
      <c r="G199" s="2" t="s">
        <v>15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IFERROR(__xludf.DUMMYFUNCTION("""COMPUTED_VALUE"""),20.26)</f>
        <v>20.26</v>
      </c>
      <c r="C200" s="1">
        <f>IFERROR(__xludf.DUMMYFUNCTION("""COMPUTED_VALUE"""),21.52)</f>
        <v>21.52</v>
      </c>
      <c r="D200" s="1">
        <f>IFERROR(__xludf.DUMMYFUNCTION("""COMPUTED_VALUE"""),20.02)</f>
        <v>20.02</v>
      </c>
      <c r="E200" s="1">
        <f>IFERROR(__xludf.DUMMYFUNCTION("""COMPUTED_VALUE"""),20.66)</f>
        <v>20.66</v>
      </c>
      <c r="F200" s="1">
        <f>IFERROR(__xludf.DUMMYFUNCTION("""COMPUTED_VALUE"""),1471884.0)</f>
        <v>1471884</v>
      </c>
      <c r="G200" s="2" t="s">
        <v>15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IFERROR(__xludf.DUMMYFUNCTION("""COMPUTED_VALUE"""),20.52)</f>
        <v>20.52</v>
      </c>
      <c r="C201" s="1">
        <f>IFERROR(__xludf.DUMMYFUNCTION("""COMPUTED_VALUE"""),21.75)</f>
        <v>21.75</v>
      </c>
      <c r="D201" s="1">
        <f>IFERROR(__xludf.DUMMYFUNCTION("""COMPUTED_VALUE"""),20.4)</f>
        <v>20.4</v>
      </c>
      <c r="E201" s="1">
        <f>IFERROR(__xludf.DUMMYFUNCTION("""COMPUTED_VALUE"""),21.62)</f>
        <v>21.62</v>
      </c>
      <c r="F201" s="1">
        <f>IFERROR(__xludf.DUMMYFUNCTION("""COMPUTED_VALUE"""),2063347.0)</f>
        <v>2063347</v>
      </c>
      <c r="G201" s="2" t="s">
        <v>15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IFERROR(__xludf.DUMMYFUNCTION("""COMPUTED_VALUE"""),21.55)</f>
        <v>21.55</v>
      </c>
      <c r="C202" s="1">
        <f>IFERROR(__xludf.DUMMYFUNCTION("""COMPUTED_VALUE"""),22.04)</f>
        <v>22.04</v>
      </c>
      <c r="D202" s="1">
        <f>IFERROR(__xludf.DUMMYFUNCTION("""COMPUTED_VALUE"""),21.16)</f>
        <v>21.16</v>
      </c>
      <c r="E202" s="1">
        <f>IFERROR(__xludf.DUMMYFUNCTION("""COMPUTED_VALUE"""),21.28)</f>
        <v>21.28</v>
      </c>
      <c r="F202" s="1">
        <f>IFERROR(__xludf.DUMMYFUNCTION("""COMPUTED_VALUE"""),1562142.0)</f>
        <v>1562142</v>
      </c>
      <c r="G202" s="2" t="s">
        <v>15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IFERROR(__xludf.DUMMYFUNCTION("""COMPUTED_VALUE"""),21.16)</f>
        <v>21.16</v>
      </c>
      <c r="C203" s="1">
        <f>IFERROR(__xludf.DUMMYFUNCTION("""COMPUTED_VALUE"""),22.62)</f>
        <v>22.62</v>
      </c>
      <c r="D203" s="1">
        <f>IFERROR(__xludf.DUMMYFUNCTION("""COMPUTED_VALUE"""),20.98)</f>
        <v>20.98</v>
      </c>
      <c r="E203" s="1">
        <f>IFERROR(__xludf.DUMMYFUNCTION("""COMPUTED_VALUE"""),22.16)</f>
        <v>22.16</v>
      </c>
      <c r="F203" s="1">
        <f>IFERROR(__xludf.DUMMYFUNCTION("""COMPUTED_VALUE"""),2151495.0)</f>
        <v>2151495</v>
      </c>
      <c r="G203" s="2" t="s">
        <v>15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IFERROR(__xludf.DUMMYFUNCTION("""COMPUTED_VALUE"""),22.61)</f>
        <v>22.61</v>
      </c>
      <c r="C204" s="1">
        <f>IFERROR(__xludf.DUMMYFUNCTION("""COMPUTED_VALUE"""),22.89)</f>
        <v>22.89</v>
      </c>
      <c r="D204" s="1">
        <f>IFERROR(__xludf.DUMMYFUNCTION("""COMPUTED_VALUE"""),21.91)</f>
        <v>21.91</v>
      </c>
      <c r="E204" s="1">
        <f>IFERROR(__xludf.DUMMYFUNCTION("""COMPUTED_VALUE"""),22.31)</f>
        <v>22.31</v>
      </c>
      <c r="F204" s="1">
        <f>IFERROR(__xludf.DUMMYFUNCTION("""COMPUTED_VALUE"""),1504788.0)</f>
        <v>1504788</v>
      </c>
      <c r="G204" s="2" t="s">
        <v>15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IFERROR(__xludf.DUMMYFUNCTION("""COMPUTED_VALUE"""),22.38)</f>
        <v>22.38</v>
      </c>
      <c r="C205" s="1">
        <f>IFERROR(__xludf.DUMMYFUNCTION("""COMPUTED_VALUE"""),23.42)</f>
        <v>23.42</v>
      </c>
      <c r="D205" s="1">
        <f>IFERROR(__xludf.DUMMYFUNCTION("""COMPUTED_VALUE"""),21.75)</f>
        <v>21.75</v>
      </c>
      <c r="E205" s="1">
        <f>IFERROR(__xludf.DUMMYFUNCTION("""COMPUTED_VALUE"""),23.31)</f>
        <v>23.31</v>
      </c>
      <c r="F205" s="1">
        <f>IFERROR(__xludf.DUMMYFUNCTION("""COMPUTED_VALUE"""),1348269.0)</f>
        <v>1348269</v>
      </c>
      <c r="G205" s="2" t="s">
        <v>15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IFERROR(__xludf.DUMMYFUNCTION("""COMPUTED_VALUE"""),23.66)</f>
        <v>23.66</v>
      </c>
      <c r="C206" s="1">
        <f>IFERROR(__xludf.DUMMYFUNCTION("""COMPUTED_VALUE"""),24.04)</f>
        <v>24.04</v>
      </c>
      <c r="D206" s="1">
        <f>IFERROR(__xludf.DUMMYFUNCTION("""COMPUTED_VALUE"""),23.37)</f>
        <v>23.37</v>
      </c>
      <c r="E206" s="1">
        <f>IFERROR(__xludf.DUMMYFUNCTION("""COMPUTED_VALUE"""),23.46)</f>
        <v>23.46</v>
      </c>
      <c r="F206" s="1">
        <f>IFERROR(__xludf.DUMMYFUNCTION("""COMPUTED_VALUE"""),1642304.0)</f>
        <v>1642304</v>
      </c>
      <c r="G206" s="2" t="s">
        <v>15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IFERROR(__xludf.DUMMYFUNCTION("""COMPUTED_VALUE"""),23.5)</f>
        <v>23.5</v>
      </c>
      <c r="C207" s="1">
        <f>IFERROR(__xludf.DUMMYFUNCTION("""COMPUTED_VALUE"""),23.52)</f>
        <v>23.52</v>
      </c>
      <c r="D207" s="1">
        <f>IFERROR(__xludf.DUMMYFUNCTION("""COMPUTED_VALUE"""),22.7)</f>
        <v>22.7</v>
      </c>
      <c r="E207" s="1">
        <f>IFERROR(__xludf.DUMMYFUNCTION("""COMPUTED_VALUE"""),23.06)</f>
        <v>23.06</v>
      </c>
      <c r="F207" s="1">
        <f>IFERROR(__xludf.DUMMYFUNCTION("""COMPUTED_VALUE"""),1147340.0)</f>
        <v>1147340</v>
      </c>
      <c r="G207" s="2" t="s">
        <v>15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IFERROR(__xludf.DUMMYFUNCTION("""COMPUTED_VALUE"""),22.95)</f>
        <v>22.95</v>
      </c>
      <c r="C208" s="1">
        <f>IFERROR(__xludf.DUMMYFUNCTION("""COMPUTED_VALUE"""),23.76)</f>
        <v>23.76</v>
      </c>
      <c r="D208" s="1">
        <f>IFERROR(__xludf.DUMMYFUNCTION("""COMPUTED_VALUE"""),22.48)</f>
        <v>22.48</v>
      </c>
      <c r="E208" s="1">
        <f>IFERROR(__xludf.DUMMYFUNCTION("""COMPUTED_VALUE"""),23.44)</f>
        <v>23.44</v>
      </c>
      <c r="F208" s="1">
        <f>IFERROR(__xludf.DUMMYFUNCTION("""COMPUTED_VALUE"""),979904.0)</f>
        <v>979904</v>
      </c>
      <c r="G208" s="2" t="s">
        <v>15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IFERROR(__xludf.DUMMYFUNCTION("""COMPUTED_VALUE"""),22.83)</f>
        <v>22.83</v>
      </c>
      <c r="C209" s="1">
        <f>IFERROR(__xludf.DUMMYFUNCTION("""COMPUTED_VALUE"""),23.43)</f>
        <v>23.43</v>
      </c>
      <c r="D209" s="1">
        <f>IFERROR(__xludf.DUMMYFUNCTION("""COMPUTED_VALUE"""),22.51)</f>
        <v>22.51</v>
      </c>
      <c r="E209" s="1">
        <f>IFERROR(__xludf.DUMMYFUNCTION("""COMPUTED_VALUE"""),22.7)</f>
        <v>22.7</v>
      </c>
      <c r="F209" s="1">
        <f>IFERROR(__xludf.DUMMYFUNCTION("""COMPUTED_VALUE"""),1709161.0)</f>
        <v>1709161</v>
      </c>
      <c r="G209" s="2" t="s">
        <v>15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IFERROR(__xludf.DUMMYFUNCTION("""COMPUTED_VALUE"""),23.18)</f>
        <v>23.18</v>
      </c>
      <c r="C210" s="1">
        <f>IFERROR(__xludf.DUMMYFUNCTION("""COMPUTED_VALUE"""),23.23)</f>
        <v>23.23</v>
      </c>
      <c r="D210" s="1">
        <f>IFERROR(__xludf.DUMMYFUNCTION("""COMPUTED_VALUE"""),22.1)</f>
        <v>22.1</v>
      </c>
      <c r="E210" s="1">
        <f>IFERROR(__xludf.DUMMYFUNCTION("""COMPUTED_VALUE"""),22.62)</f>
        <v>22.62</v>
      </c>
      <c r="F210" s="1">
        <f>IFERROR(__xludf.DUMMYFUNCTION("""COMPUTED_VALUE"""),1307393.0)</f>
        <v>1307393</v>
      </c>
      <c r="G210" s="2" t="s">
        <v>15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IFERROR(__xludf.DUMMYFUNCTION("""COMPUTED_VALUE"""),22.84)</f>
        <v>22.84</v>
      </c>
      <c r="C211" s="1">
        <f>IFERROR(__xludf.DUMMYFUNCTION("""COMPUTED_VALUE"""),24.12)</f>
        <v>24.12</v>
      </c>
      <c r="D211" s="1">
        <f>IFERROR(__xludf.DUMMYFUNCTION("""COMPUTED_VALUE"""),22.47)</f>
        <v>22.47</v>
      </c>
      <c r="E211" s="1">
        <f>IFERROR(__xludf.DUMMYFUNCTION("""COMPUTED_VALUE"""),24.12)</f>
        <v>24.12</v>
      </c>
      <c r="F211" s="1">
        <f>IFERROR(__xludf.DUMMYFUNCTION("""COMPUTED_VALUE"""),1442617.0)</f>
        <v>1442617</v>
      </c>
      <c r="G211" s="2" t="s">
        <v>15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IFERROR(__xludf.DUMMYFUNCTION("""COMPUTED_VALUE"""),23.95)</f>
        <v>23.95</v>
      </c>
      <c r="C212" s="1">
        <f>IFERROR(__xludf.DUMMYFUNCTION("""COMPUTED_VALUE"""),25.78)</f>
        <v>25.78</v>
      </c>
      <c r="D212" s="1">
        <f>IFERROR(__xludf.DUMMYFUNCTION("""COMPUTED_VALUE"""),23.72)</f>
        <v>23.72</v>
      </c>
      <c r="E212" s="1">
        <f>IFERROR(__xludf.DUMMYFUNCTION("""COMPUTED_VALUE"""),25.71)</f>
        <v>25.71</v>
      </c>
      <c r="F212" s="1">
        <f>IFERROR(__xludf.DUMMYFUNCTION("""COMPUTED_VALUE"""),1843851.0)</f>
        <v>1843851</v>
      </c>
      <c r="G212" s="2" t="s">
        <v>15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IFERROR(__xludf.DUMMYFUNCTION("""COMPUTED_VALUE"""),25.5)</f>
        <v>25.5</v>
      </c>
      <c r="C213" s="1">
        <f>IFERROR(__xludf.DUMMYFUNCTION("""COMPUTED_VALUE"""),25.75)</f>
        <v>25.75</v>
      </c>
      <c r="D213" s="1">
        <f>IFERROR(__xludf.DUMMYFUNCTION("""COMPUTED_VALUE"""),24.83)</f>
        <v>24.83</v>
      </c>
      <c r="E213" s="1">
        <f>IFERROR(__xludf.DUMMYFUNCTION("""COMPUTED_VALUE"""),25.19)</f>
        <v>25.19</v>
      </c>
      <c r="F213" s="1">
        <f>IFERROR(__xludf.DUMMYFUNCTION("""COMPUTED_VALUE"""),1245235.0)</f>
        <v>1245235</v>
      </c>
      <c r="G213" s="2" t="s">
        <v>15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IFERROR(__xludf.DUMMYFUNCTION("""COMPUTED_VALUE"""),24.31)</f>
        <v>24.31</v>
      </c>
      <c r="C214" s="1">
        <f>IFERROR(__xludf.DUMMYFUNCTION("""COMPUTED_VALUE"""),24.69)</f>
        <v>24.69</v>
      </c>
      <c r="D214" s="1">
        <f>IFERROR(__xludf.DUMMYFUNCTION("""COMPUTED_VALUE"""),23.8)</f>
        <v>23.8</v>
      </c>
      <c r="E214" s="1">
        <f>IFERROR(__xludf.DUMMYFUNCTION("""COMPUTED_VALUE"""),24.18)</f>
        <v>24.18</v>
      </c>
      <c r="F214" s="1">
        <f>IFERROR(__xludf.DUMMYFUNCTION("""COMPUTED_VALUE"""),967840.0)</f>
        <v>967840</v>
      </c>
      <c r="G214" s="2" t="s">
        <v>15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IFERROR(__xludf.DUMMYFUNCTION("""COMPUTED_VALUE"""),24.58)</f>
        <v>24.58</v>
      </c>
      <c r="C215" s="1">
        <f>IFERROR(__xludf.DUMMYFUNCTION("""COMPUTED_VALUE"""),24.61)</f>
        <v>24.61</v>
      </c>
      <c r="D215" s="1">
        <f>IFERROR(__xludf.DUMMYFUNCTION("""COMPUTED_VALUE"""),23.12)</f>
        <v>23.12</v>
      </c>
      <c r="E215" s="1">
        <f>IFERROR(__xludf.DUMMYFUNCTION("""COMPUTED_VALUE"""),23.33)</f>
        <v>23.33</v>
      </c>
      <c r="F215" s="1">
        <f>IFERROR(__xludf.DUMMYFUNCTION("""COMPUTED_VALUE"""),1472040.0)</f>
        <v>1472040</v>
      </c>
      <c r="G215" s="2" t="s">
        <v>15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IFERROR(__xludf.DUMMYFUNCTION("""COMPUTED_VALUE"""),23.75)</f>
        <v>23.75</v>
      </c>
      <c r="C216" s="1">
        <f>IFERROR(__xludf.DUMMYFUNCTION("""COMPUTED_VALUE"""),25.22)</f>
        <v>25.22</v>
      </c>
      <c r="D216" s="1">
        <f>IFERROR(__xludf.DUMMYFUNCTION("""COMPUTED_VALUE"""),23.62)</f>
        <v>23.62</v>
      </c>
      <c r="E216" s="1">
        <f>IFERROR(__xludf.DUMMYFUNCTION("""COMPUTED_VALUE"""),24.3)</f>
        <v>24.3</v>
      </c>
      <c r="F216" s="1">
        <f>IFERROR(__xludf.DUMMYFUNCTION("""COMPUTED_VALUE"""),1711690.0)</f>
        <v>1711690</v>
      </c>
      <c r="G216" s="2" t="s">
        <v>15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IFERROR(__xludf.DUMMYFUNCTION("""COMPUTED_VALUE"""),24.45)</f>
        <v>24.45</v>
      </c>
      <c r="C217" s="1">
        <f>IFERROR(__xludf.DUMMYFUNCTION("""COMPUTED_VALUE"""),24.45)</f>
        <v>24.45</v>
      </c>
      <c r="D217" s="1">
        <f>IFERROR(__xludf.DUMMYFUNCTION("""COMPUTED_VALUE"""),22.48)</f>
        <v>22.48</v>
      </c>
      <c r="E217" s="1">
        <f>IFERROR(__xludf.DUMMYFUNCTION("""COMPUTED_VALUE"""),22.88)</f>
        <v>22.88</v>
      </c>
      <c r="F217" s="1">
        <f>IFERROR(__xludf.DUMMYFUNCTION("""COMPUTED_VALUE"""),2298193.0)</f>
        <v>2298193</v>
      </c>
      <c r="G217" s="2" t="s">
        <v>15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IFERROR(__xludf.DUMMYFUNCTION("""COMPUTED_VALUE"""),22.96)</f>
        <v>22.96</v>
      </c>
      <c r="C218" s="1">
        <f>IFERROR(__xludf.DUMMYFUNCTION("""COMPUTED_VALUE"""),25.08)</f>
        <v>25.08</v>
      </c>
      <c r="D218" s="1">
        <f>IFERROR(__xludf.DUMMYFUNCTION("""COMPUTED_VALUE"""),22.3)</f>
        <v>22.3</v>
      </c>
      <c r="E218" s="1">
        <f>IFERROR(__xludf.DUMMYFUNCTION("""COMPUTED_VALUE"""),24.74)</f>
        <v>24.74</v>
      </c>
      <c r="F218" s="1">
        <f>IFERROR(__xludf.DUMMYFUNCTION("""COMPUTED_VALUE"""),2797674.0)</f>
        <v>2797674</v>
      </c>
      <c r="G218" s="2" t="s">
        <v>15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IFERROR(__xludf.DUMMYFUNCTION("""COMPUTED_VALUE"""),24.81)</f>
        <v>24.81</v>
      </c>
      <c r="C219" s="1">
        <f>IFERROR(__xludf.DUMMYFUNCTION("""COMPUTED_VALUE"""),25.45)</f>
        <v>25.45</v>
      </c>
      <c r="D219" s="1">
        <f>IFERROR(__xludf.DUMMYFUNCTION("""COMPUTED_VALUE"""),24.35)</f>
        <v>24.35</v>
      </c>
      <c r="E219" s="1">
        <f>IFERROR(__xludf.DUMMYFUNCTION("""COMPUTED_VALUE"""),25.08)</f>
        <v>25.08</v>
      </c>
      <c r="F219" s="1">
        <f>IFERROR(__xludf.DUMMYFUNCTION("""COMPUTED_VALUE"""),1618608.0)</f>
        <v>1618608</v>
      </c>
      <c r="G219" s="2" t="s">
        <v>15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IFERROR(__xludf.DUMMYFUNCTION("""COMPUTED_VALUE"""),24.87)</f>
        <v>24.87</v>
      </c>
      <c r="C220" s="1">
        <f>IFERROR(__xludf.DUMMYFUNCTION("""COMPUTED_VALUE"""),25.93)</f>
        <v>25.93</v>
      </c>
      <c r="D220" s="1">
        <f>IFERROR(__xludf.DUMMYFUNCTION("""COMPUTED_VALUE"""),24.55)</f>
        <v>24.55</v>
      </c>
      <c r="E220" s="1">
        <f>IFERROR(__xludf.DUMMYFUNCTION("""COMPUTED_VALUE"""),25.43)</f>
        <v>25.43</v>
      </c>
      <c r="F220" s="1">
        <f>IFERROR(__xludf.DUMMYFUNCTION("""COMPUTED_VALUE"""),1114323.0)</f>
        <v>1114323</v>
      </c>
      <c r="G220" s="2" t="s">
        <v>15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IFERROR(__xludf.DUMMYFUNCTION("""COMPUTED_VALUE"""),25.29)</f>
        <v>25.29</v>
      </c>
      <c r="C221" s="1">
        <f>IFERROR(__xludf.DUMMYFUNCTION("""COMPUTED_VALUE"""),26.57)</f>
        <v>26.57</v>
      </c>
      <c r="D221" s="1">
        <f>IFERROR(__xludf.DUMMYFUNCTION("""COMPUTED_VALUE"""),25.02)</f>
        <v>25.02</v>
      </c>
      <c r="E221" s="1">
        <f>IFERROR(__xludf.DUMMYFUNCTION("""COMPUTED_VALUE"""),26.56)</f>
        <v>26.56</v>
      </c>
      <c r="F221" s="1">
        <f>IFERROR(__xludf.DUMMYFUNCTION("""COMPUTED_VALUE"""),983590.0)</f>
        <v>983590</v>
      </c>
      <c r="G221" s="2" t="s">
        <v>15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IFERROR(__xludf.DUMMYFUNCTION("""COMPUTED_VALUE"""),26.3)</f>
        <v>26.3</v>
      </c>
      <c r="C222" s="1">
        <f>IFERROR(__xludf.DUMMYFUNCTION("""COMPUTED_VALUE"""),26.53)</f>
        <v>26.53</v>
      </c>
      <c r="D222" s="1">
        <f>IFERROR(__xludf.DUMMYFUNCTION("""COMPUTED_VALUE"""),25.34)</f>
        <v>25.34</v>
      </c>
      <c r="E222" s="1">
        <f>IFERROR(__xludf.DUMMYFUNCTION("""COMPUTED_VALUE"""),25.89)</f>
        <v>25.89</v>
      </c>
      <c r="F222" s="1">
        <f>IFERROR(__xludf.DUMMYFUNCTION("""COMPUTED_VALUE"""),1223285.0)</f>
        <v>1223285</v>
      </c>
      <c r="G222" s="2" t="s">
        <v>15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IFERROR(__xludf.DUMMYFUNCTION("""COMPUTED_VALUE"""),25.64)</f>
        <v>25.64</v>
      </c>
      <c r="C223" s="1">
        <f>IFERROR(__xludf.DUMMYFUNCTION("""COMPUTED_VALUE"""),29.6)</f>
        <v>29.6</v>
      </c>
      <c r="D223" s="1">
        <f>IFERROR(__xludf.DUMMYFUNCTION("""COMPUTED_VALUE"""),25.55)</f>
        <v>25.55</v>
      </c>
      <c r="E223" s="1">
        <f>IFERROR(__xludf.DUMMYFUNCTION("""COMPUTED_VALUE"""),29.45)</f>
        <v>29.45</v>
      </c>
      <c r="F223" s="1">
        <f>IFERROR(__xludf.DUMMYFUNCTION("""COMPUTED_VALUE"""),2559269.0)</f>
        <v>2559269</v>
      </c>
      <c r="G223" s="2" t="s">
        <v>15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IFERROR(__xludf.DUMMYFUNCTION("""COMPUTED_VALUE"""),29.8)</f>
        <v>29.8</v>
      </c>
      <c r="C224" s="1">
        <f>IFERROR(__xludf.DUMMYFUNCTION("""COMPUTED_VALUE"""),33.18)</f>
        <v>33.18</v>
      </c>
      <c r="D224" s="1">
        <f>IFERROR(__xludf.DUMMYFUNCTION("""COMPUTED_VALUE"""),29.79)</f>
        <v>29.79</v>
      </c>
      <c r="E224" s="1">
        <f>IFERROR(__xludf.DUMMYFUNCTION("""COMPUTED_VALUE"""),33.1)</f>
        <v>33.1</v>
      </c>
      <c r="F224" s="1">
        <f>IFERROR(__xludf.DUMMYFUNCTION("""COMPUTED_VALUE"""),3344472.0)</f>
        <v>3344472</v>
      </c>
      <c r="G224" s="2" t="s">
        <v>15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IFERROR(__xludf.DUMMYFUNCTION("""COMPUTED_VALUE"""),33.41)</f>
        <v>33.41</v>
      </c>
      <c r="C225" s="1">
        <f>IFERROR(__xludf.DUMMYFUNCTION("""COMPUTED_VALUE"""),34.75)</f>
        <v>34.75</v>
      </c>
      <c r="D225" s="1">
        <f>IFERROR(__xludf.DUMMYFUNCTION("""COMPUTED_VALUE"""),32.37)</f>
        <v>32.37</v>
      </c>
      <c r="E225" s="1">
        <f>IFERROR(__xludf.DUMMYFUNCTION("""COMPUTED_VALUE"""),34.41)</f>
        <v>34.41</v>
      </c>
      <c r="F225" s="1">
        <f>IFERROR(__xludf.DUMMYFUNCTION("""COMPUTED_VALUE"""),2173394.0)</f>
        <v>2173394</v>
      </c>
      <c r="G225" s="2" t="s">
        <v>15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IFERROR(__xludf.DUMMYFUNCTION("""COMPUTED_VALUE"""),34.66)</f>
        <v>34.66</v>
      </c>
      <c r="C226" s="1">
        <f>IFERROR(__xludf.DUMMYFUNCTION("""COMPUTED_VALUE"""),35.25)</f>
        <v>35.25</v>
      </c>
      <c r="D226" s="1">
        <f>IFERROR(__xludf.DUMMYFUNCTION("""COMPUTED_VALUE"""),32.68)</f>
        <v>32.68</v>
      </c>
      <c r="E226" s="1">
        <f>IFERROR(__xludf.DUMMYFUNCTION("""COMPUTED_VALUE"""),33.8)</f>
        <v>33.8</v>
      </c>
      <c r="F226" s="1">
        <f>IFERROR(__xludf.DUMMYFUNCTION("""COMPUTED_VALUE"""),2180141.0)</f>
        <v>2180141</v>
      </c>
      <c r="G226" s="2" t="s">
        <v>15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IFERROR(__xludf.DUMMYFUNCTION("""COMPUTED_VALUE"""),33.08)</f>
        <v>33.08</v>
      </c>
      <c r="C227" s="1">
        <f>IFERROR(__xludf.DUMMYFUNCTION("""COMPUTED_VALUE"""),33.8)</f>
        <v>33.8</v>
      </c>
      <c r="D227" s="1">
        <f>IFERROR(__xludf.DUMMYFUNCTION("""COMPUTED_VALUE"""),31.87)</f>
        <v>31.87</v>
      </c>
      <c r="E227" s="1">
        <f>IFERROR(__xludf.DUMMYFUNCTION("""COMPUTED_VALUE"""),31.97)</f>
        <v>31.97</v>
      </c>
      <c r="F227" s="1">
        <f>IFERROR(__xludf.DUMMYFUNCTION("""COMPUTED_VALUE"""),1473706.0)</f>
        <v>1473706</v>
      </c>
      <c r="G227" s="2" t="s">
        <v>15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IFERROR(__xludf.DUMMYFUNCTION("""COMPUTED_VALUE"""),32.14)</f>
        <v>32.14</v>
      </c>
      <c r="C228" s="1">
        <f>IFERROR(__xludf.DUMMYFUNCTION("""COMPUTED_VALUE"""),32.5)</f>
        <v>32.5</v>
      </c>
      <c r="D228" s="1">
        <f>IFERROR(__xludf.DUMMYFUNCTION("""COMPUTED_VALUE"""),30.58)</f>
        <v>30.58</v>
      </c>
      <c r="E228" s="1">
        <f>IFERROR(__xludf.DUMMYFUNCTION("""COMPUTED_VALUE"""),31.01)</f>
        <v>31.01</v>
      </c>
      <c r="F228" s="1">
        <f>IFERROR(__xludf.DUMMYFUNCTION("""COMPUTED_VALUE"""),1444685.0)</f>
        <v>1444685</v>
      </c>
      <c r="G228" s="2" t="s">
        <v>15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IFERROR(__xludf.DUMMYFUNCTION("""COMPUTED_VALUE"""),31.24)</f>
        <v>31.24</v>
      </c>
      <c r="C229" s="1">
        <f>IFERROR(__xludf.DUMMYFUNCTION("""COMPUTED_VALUE"""),31.4)</f>
        <v>31.4</v>
      </c>
      <c r="D229" s="1">
        <f>IFERROR(__xludf.DUMMYFUNCTION("""COMPUTED_VALUE"""),29.94)</f>
        <v>29.94</v>
      </c>
      <c r="E229" s="1">
        <f>IFERROR(__xludf.DUMMYFUNCTION("""COMPUTED_VALUE"""),30.0)</f>
        <v>30</v>
      </c>
      <c r="F229" s="1">
        <f>IFERROR(__xludf.DUMMYFUNCTION("""COMPUTED_VALUE"""),1915294.0)</f>
        <v>1915294</v>
      </c>
      <c r="G229" s="2" t="s">
        <v>15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IFERROR(__xludf.DUMMYFUNCTION("""COMPUTED_VALUE"""),29.78)</f>
        <v>29.78</v>
      </c>
      <c r="C230" s="1">
        <f>IFERROR(__xludf.DUMMYFUNCTION("""COMPUTED_VALUE"""),29.9)</f>
        <v>29.9</v>
      </c>
      <c r="D230" s="1">
        <f>IFERROR(__xludf.DUMMYFUNCTION("""COMPUTED_VALUE"""),28.65)</f>
        <v>28.65</v>
      </c>
      <c r="E230" s="1">
        <f>IFERROR(__xludf.DUMMYFUNCTION("""COMPUTED_VALUE"""),29.32)</f>
        <v>29.32</v>
      </c>
      <c r="F230" s="1">
        <f>IFERROR(__xludf.DUMMYFUNCTION("""COMPUTED_VALUE"""),1357204.0)</f>
        <v>1357204</v>
      </c>
      <c r="G230" s="2" t="s">
        <v>15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IFERROR(__xludf.DUMMYFUNCTION("""COMPUTED_VALUE"""),29.03)</f>
        <v>29.03</v>
      </c>
      <c r="C231" s="1">
        <f>IFERROR(__xludf.DUMMYFUNCTION("""COMPUTED_VALUE"""),29.48)</f>
        <v>29.48</v>
      </c>
      <c r="D231" s="1">
        <f>IFERROR(__xludf.DUMMYFUNCTION("""COMPUTED_VALUE"""),28.6)</f>
        <v>28.6</v>
      </c>
      <c r="E231" s="1">
        <f>IFERROR(__xludf.DUMMYFUNCTION("""COMPUTED_VALUE"""),28.66)</f>
        <v>28.66</v>
      </c>
      <c r="F231" s="1">
        <f>IFERROR(__xludf.DUMMYFUNCTION("""COMPUTED_VALUE"""),879175.0)</f>
        <v>879175</v>
      </c>
      <c r="G231" s="2" t="s">
        <v>15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IFERROR(__xludf.DUMMYFUNCTION("""COMPUTED_VALUE"""),28.55)</f>
        <v>28.55</v>
      </c>
      <c r="C232" s="1">
        <f>IFERROR(__xludf.DUMMYFUNCTION("""COMPUTED_VALUE"""),29.31)</f>
        <v>29.31</v>
      </c>
      <c r="D232" s="1">
        <f>IFERROR(__xludf.DUMMYFUNCTION("""COMPUTED_VALUE"""),28.23)</f>
        <v>28.23</v>
      </c>
      <c r="E232" s="1">
        <f>IFERROR(__xludf.DUMMYFUNCTION("""COMPUTED_VALUE"""),29.09)</f>
        <v>29.09</v>
      </c>
      <c r="F232" s="1">
        <f>IFERROR(__xludf.DUMMYFUNCTION("""COMPUTED_VALUE"""),840582.0)</f>
        <v>840582</v>
      </c>
      <c r="G232" s="2" t="s">
        <v>15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IFERROR(__xludf.DUMMYFUNCTION("""COMPUTED_VALUE"""),29.28)</f>
        <v>29.28</v>
      </c>
      <c r="C233" s="1">
        <f>IFERROR(__xludf.DUMMYFUNCTION("""COMPUTED_VALUE"""),30.49)</f>
        <v>30.49</v>
      </c>
      <c r="D233" s="1">
        <f>IFERROR(__xludf.DUMMYFUNCTION("""COMPUTED_VALUE"""),28.98)</f>
        <v>28.98</v>
      </c>
      <c r="E233" s="1">
        <f>IFERROR(__xludf.DUMMYFUNCTION("""COMPUTED_VALUE"""),29.99)</f>
        <v>29.99</v>
      </c>
      <c r="F233" s="1">
        <f>IFERROR(__xludf.DUMMYFUNCTION("""COMPUTED_VALUE"""),961422.0)</f>
        <v>961422</v>
      </c>
      <c r="G233" s="2" t="s">
        <v>15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IFERROR(__xludf.DUMMYFUNCTION("""COMPUTED_VALUE"""),29.79)</f>
        <v>29.79</v>
      </c>
      <c r="C234" s="1">
        <f>IFERROR(__xludf.DUMMYFUNCTION("""COMPUTED_VALUE"""),29.87)</f>
        <v>29.87</v>
      </c>
      <c r="D234" s="1">
        <f>IFERROR(__xludf.DUMMYFUNCTION("""COMPUTED_VALUE"""),28.79)</f>
        <v>28.79</v>
      </c>
      <c r="E234" s="1">
        <f>IFERROR(__xludf.DUMMYFUNCTION("""COMPUTED_VALUE"""),29.11)</f>
        <v>29.11</v>
      </c>
      <c r="F234" s="1">
        <f>IFERROR(__xludf.DUMMYFUNCTION("""COMPUTED_VALUE"""),698451.0)</f>
        <v>698451</v>
      </c>
      <c r="G234" s="2" t="s">
        <v>15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IFERROR(__xludf.DUMMYFUNCTION("""COMPUTED_VALUE"""),28.51)</f>
        <v>28.51</v>
      </c>
      <c r="C235" s="1">
        <f>IFERROR(__xludf.DUMMYFUNCTION("""COMPUTED_VALUE"""),29.3)</f>
        <v>29.3</v>
      </c>
      <c r="D235" s="1">
        <f>IFERROR(__xludf.DUMMYFUNCTION("""COMPUTED_VALUE"""),28.17)</f>
        <v>28.17</v>
      </c>
      <c r="E235" s="1">
        <f>IFERROR(__xludf.DUMMYFUNCTION("""COMPUTED_VALUE"""),28.86)</f>
        <v>28.86</v>
      </c>
      <c r="F235" s="1">
        <f>IFERROR(__xludf.DUMMYFUNCTION("""COMPUTED_VALUE"""),902156.0)</f>
        <v>902156</v>
      </c>
      <c r="G235" s="2" t="s">
        <v>15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IFERROR(__xludf.DUMMYFUNCTION("""COMPUTED_VALUE"""),29.45)</f>
        <v>29.45</v>
      </c>
      <c r="C236" s="1">
        <f>IFERROR(__xludf.DUMMYFUNCTION("""COMPUTED_VALUE"""),30.1)</f>
        <v>30.1</v>
      </c>
      <c r="D236" s="1">
        <f>IFERROR(__xludf.DUMMYFUNCTION("""COMPUTED_VALUE"""),28.76)</f>
        <v>28.76</v>
      </c>
      <c r="E236" s="1">
        <f>IFERROR(__xludf.DUMMYFUNCTION("""COMPUTED_VALUE"""),29.25)</f>
        <v>29.25</v>
      </c>
      <c r="F236" s="1">
        <f>IFERROR(__xludf.DUMMYFUNCTION("""COMPUTED_VALUE"""),1549614.0)</f>
        <v>1549614</v>
      </c>
      <c r="G236" s="2" t="s">
        <v>15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IFERROR(__xludf.DUMMYFUNCTION("""COMPUTED_VALUE"""),29.29)</f>
        <v>29.29</v>
      </c>
      <c r="C237" s="1">
        <f>IFERROR(__xludf.DUMMYFUNCTION("""COMPUTED_VALUE"""),30.13)</f>
        <v>30.13</v>
      </c>
      <c r="D237" s="1">
        <f>IFERROR(__xludf.DUMMYFUNCTION("""COMPUTED_VALUE"""),29.23)</f>
        <v>29.23</v>
      </c>
      <c r="E237" s="1">
        <f>IFERROR(__xludf.DUMMYFUNCTION("""COMPUTED_VALUE"""),29.74)</f>
        <v>29.74</v>
      </c>
      <c r="F237" s="1">
        <f>IFERROR(__xludf.DUMMYFUNCTION("""COMPUTED_VALUE"""),1780565.0)</f>
        <v>1780565</v>
      </c>
      <c r="G237" s="2" t="s">
        <v>15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IFERROR(__xludf.DUMMYFUNCTION("""COMPUTED_VALUE"""),30.8)</f>
        <v>30.8</v>
      </c>
      <c r="C238" s="1">
        <f>IFERROR(__xludf.DUMMYFUNCTION("""COMPUTED_VALUE"""),31.97)</f>
        <v>31.97</v>
      </c>
      <c r="D238" s="1">
        <f>IFERROR(__xludf.DUMMYFUNCTION("""COMPUTED_VALUE"""),30.43)</f>
        <v>30.43</v>
      </c>
      <c r="E238" s="1">
        <f>IFERROR(__xludf.DUMMYFUNCTION("""COMPUTED_VALUE"""),31.0)</f>
        <v>31</v>
      </c>
      <c r="F238" s="1">
        <f>IFERROR(__xludf.DUMMYFUNCTION("""COMPUTED_VALUE"""),1691258.0)</f>
        <v>1691258</v>
      </c>
      <c r="G238" s="2" t="s">
        <v>15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IFERROR(__xludf.DUMMYFUNCTION("""COMPUTED_VALUE"""),30.84)</f>
        <v>30.84</v>
      </c>
      <c r="C239" s="1">
        <f>IFERROR(__xludf.DUMMYFUNCTION("""COMPUTED_VALUE"""),32.01)</f>
        <v>32.01</v>
      </c>
      <c r="D239" s="1">
        <f>IFERROR(__xludf.DUMMYFUNCTION("""COMPUTED_VALUE"""),30.61)</f>
        <v>30.61</v>
      </c>
      <c r="E239" s="1">
        <f>IFERROR(__xludf.DUMMYFUNCTION("""COMPUTED_VALUE"""),31.59)</f>
        <v>31.59</v>
      </c>
      <c r="F239" s="1">
        <f>IFERROR(__xludf.DUMMYFUNCTION("""COMPUTED_VALUE"""),1298198.0)</f>
        <v>1298198</v>
      </c>
      <c r="G239" s="2" t="s">
        <v>15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IFERROR(__xludf.DUMMYFUNCTION("""COMPUTED_VALUE"""),31.68)</f>
        <v>31.68</v>
      </c>
      <c r="C240" s="1">
        <f>IFERROR(__xludf.DUMMYFUNCTION("""COMPUTED_VALUE"""),31.99)</f>
        <v>31.99</v>
      </c>
      <c r="D240" s="1">
        <f>IFERROR(__xludf.DUMMYFUNCTION("""COMPUTED_VALUE"""),30.8)</f>
        <v>30.8</v>
      </c>
      <c r="E240" s="1">
        <f>IFERROR(__xludf.DUMMYFUNCTION("""COMPUTED_VALUE"""),30.88)</f>
        <v>30.88</v>
      </c>
      <c r="F240" s="1">
        <f>IFERROR(__xludf.DUMMYFUNCTION("""COMPUTED_VALUE"""),871234.0)</f>
        <v>871234</v>
      </c>
      <c r="G240" s="2" t="s">
        <v>15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IFERROR(__xludf.DUMMYFUNCTION("""COMPUTED_VALUE"""),30.6)</f>
        <v>30.6</v>
      </c>
      <c r="C241" s="1">
        <f>IFERROR(__xludf.DUMMYFUNCTION("""COMPUTED_VALUE"""),31.4)</f>
        <v>31.4</v>
      </c>
      <c r="D241" s="1">
        <f>IFERROR(__xludf.DUMMYFUNCTION("""COMPUTED_VALUE"""),30.56)</f>
        <v>30.56</v>
      </c>
      <c r="E241" s="1">
        <f>IFERROR(__xludf.DUMMYFUNCTION("""COMPUTED_VALUE"""),31.11)</f>
        <v>31.11</v>
      </c>
      <c r="F241" s="1">
        <f>IFERROR(__xludf.DUMMYFUNCTION("""COMPUTED_VALUE"""),1045343.0)</f>
        <v>1045343</v>
      </c>
      <c r="G241" s="2" t="s">
        <v>15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IFERROR(__xludf.DUMMYFUNCTION("""COMPUTED_VALUE"""),30.79)</f>
        <v>30.79</v>
      </c>
      <c r="C242" s="1">
        <f>IFERROR(__xludf.DUMMYFUNCTION("""COMPUTED_VALUE"""),32.41)</f>
        <v>32.41</v>
      </c>
      <c r="D242" s="1">
        <f>IFERROR(__xludf.DUMMYFUNCTION("""COMPUTED_VALUE"""),30.71)</f>
        <v>30.71</v>
      </c>
      <c r="E242" s="1">
        <f>IFERROR(__xludf.DUMMYFUNCTION("""COMPUTED_VALUE"""),31.39)</f>
        <v>31.39</v>
      </c>
      <c r="F242" s="1">
        <f>IFERROR(__xludf.DUMMYFUNCTION("""COMPUTED_VALUE"""),1131869.0)</f>
        <v>1131869</v>
      </c>
      <c r="G242" s="2" t="s">
        <v>15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IFERROR(__xludf.DUMMYFUNCTION("""COMPUTED_VALUE"""),31.29)</f>
        <v>31.29</v>
      </c>
      <c r="C243" s="1">
        <f>IFERROR(__xludf.DUMMYFUNCTION("""COMPUTED_VALUE"""),31.75)</f>
        <v>31.75</v>
      </c>
      <c r="D243" s="1">
        <f>IFERROR(__xludf.DUMMYFUNCTION("""COMPUTED_VALUE"""),30.65)</f>
        <v>30.65</v>
      </c>
      <c r="E243" s="1">
        <f>IFERROR(__xludf.DUMMYFUNCTION("""COMPUTED_VALUE"""),31.26)</f>
        <v>31.26</v>
      </c>
      <c r="F243" s="1">
        <f>IFERROR(__xludf.DUMMYFUNCTION("""COMPUTED_VALUE"""),563690.0)</f>
        <v>563690</v>
      </c>
      <c r="G243" s="2" t="s">
        <v>15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IFERROR(__xludf.DUMMYFUNCTION("""COMPUTED_VALUE"""),31.53)</f>
        <v>31.53</v>
      </c>
      <c r="C244" s="1">
        <f>IFERROR(__xludf.DUMMYFUNCTION("""COMPUTED_VALUE"""),31.97)</f>
        <v>31.97</v>
      </c>
      <c r="D244" s="1">
        <f>IFERROR(__xludf.DUMMYFUNCTION("""COMPUTED_VALUE"""),30.68)</f>
        <v>30.68</v>
      </c>
      <c r="E244" s="1">
        <f>IFERROR(__xludf.DUMMYFUNCTION("""COMPUTED_VALUE"""),31.25)</f>
        <v>31.25</v>
      </c>
      <c r="F244" s="1">
        <f>IFERROR(__xludf.DUMMYFUNCTION("""COMPUTED_VALUE"""),768622.0)</f>
        <v>768622</v>
      </c>
      <c r="G244" s="2" t="s">
        <v>15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IFERROR(__xludf.DUMMYFUNCTION("""COMPUTED_VALUE"""),30.77)</f>
        <v>30.77</v>
      </c>
      <c r="C245" s="1">
        <f>IFERROR(__xludf.DUMMYFUNCTION("""COMPUTED_VALUE"""),32.93)</f>
        <v>32.93</v>
      </c>
      <c r="D245" s="1">
        <f>IFERROR(__xludf.DUMMYFUNCTION("""COMPUTED_VALUE"""),30.6)</f>
        <v>30.6</v>
      </c>
      <c r="E245" s="1">
        <f>IFERROR(__xludf.DUMMYFUNCTION("""COMPUTED_VALUE"""),32.84)</f>
        <v>32.84</v>
      </c>
      <c r="F245" s="1">
        <f>IFERROR(__xludf.DUMMYFUNCTION("""COMPUTED_VALUE"""),1009975.0)</f>
        <v>1009975</v>
      </c>
      <c r="G245" s="2" t="s">
        <v>15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IFERROR(__xludf.DUMMYFUNCTION("""COMPUTED_VALUE"""),32.9)</f>
        <v>32.9</v>
      </c>
      <c r="C246" s="1">
        <f>IFERROR(__xludf.DUMMYFUNCTION("""COMPUTED_VALUE"""),36.3)</f>
        <v>36.3</v>
      </c>
      <c r="D246" s="1">
        <f>IFERROR(__xludf.DUMMYFUNCTION("""COMPUTED_VALUE"""),32.71)</f>
        <v>32.71</v>
      </c>
      <c r="E246" s="1">
        <f>IFERROR(__xludf.DUMMYFUNCTION("""COMPUTED_VALUE"""),34.92)</f>
        <v>34.92</v>
      </c>
      <c r="F246" s="1">
        <f>IFERROR(__xludf.DUMMYFUNCTION("""COMPUTED_VALUE"""),1920981.0)</f>
        <v>1920981</v>
      </c>
      <c r="G246" s="2" t="s">
        <v>15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IFERROR(__xludf.DUMMYFUNCTION("""COMPUTED_VALUE"""),34.58)</f>
        <v>34.58</v>
      </c>
      <c r="C247" s="1">
        <f>IFERROR(__xludf.DUMMYFUNCTION("""COMPUTED_VALUE"""),34.66)</f>
        <v>34.66</v>
      </c>
      <c r="D247" s="1">
        <f>IFERROR(__xludf.DUMMYFUNCTION("""COMPUTED_VALUE"""),33.93)</f>
        <v>33.93</v>
      </c>
      <c r="E247" s="1">
        <f>IFERROR(__xludf.DUMMYFUNCTION("""COMPUTED_VALUE"""),34.48)</f>
        <v>34.48</v>
      </c>
      <c r="F247" s="1">
        <f>IFERROR(__xludf.DUMMYFUNCTION("""COMPUTED_VALUE"""),820712.0)</f>
        <v>820712</v>
      </c>
      <c r="G247" s="2" t="s">
        <v>15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IFERROR(__xludf.DUMMYFUNCTION("""COMPUTED_VALUE"""),33.87)</f>
        <v>33.87</v>
      </c>
      <c r="C248" s="1">
        <f>IFERROR(__xludf.DUMMYFUNCTION("""COMPUTED_VALUE"""),34.31)</f>
        <v>34.31</v>
      </c>
      <c r="D248" s="1">
        <f>IFERROR(__xludf.DUMMYFUNCTION("""COMPUTED_VALUE"""),31.67)</f>
        <v>31.67</v>
      </c>
      <c r="E248" s="1">
        <f>IFERROR(__xludf.DUMMYFUNCTION("""COMPUTED_VALUE"""),31.82)</f>
        <v>31.82</v>
      </c>
      <c r="F248" s="1">
        <f>IFERROR(__xludf.DUMMYFUNCTION("""COMPUTED_VALUE"""),1569771.0)</f>
        <v>1569771</v>
      </c>
      <c r="G248" s="2" t="s">
        <v>15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IFERROR(__xludf.DUMMYFUNCTION("""COMPUTED_VALUE"""),31.9)</f>
        <v>31.9</v>
      </c>
      <c r="C249" s="1">
        <f>IFERROR(__xludf.DUMMYFUNCTION("""COMPUTED_VALUE"""),32.28)</f>
        <v>32.28</v>
      </c>
      <c r="D249" s="1">
        <f>IFERROR(__xludf.DUMMYFUNCTION("""COMPUTED_VALUE"""),31.13)</f>
        <v>31.13</v>
      </c>
      <c r="E249" s="1">
        <f>IFERROR(__xludf.DUMMYFUNCTION("""COMPUTED_VALUE"""),31.85)</f>
        <v>31.85</v>
      </c>
      <c r="F249" s="1">
        <f>IFERROR(__xludf.DUMMYFUNCTION("""COMPUTED_VALUE"""),2037484.0)</f>
        <v>2037484</v>
      </c>
      <c r="G249" s="2" t="s">
        <v>15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IFERROR(__xludf.DUMMYFUNCTION("""COMPUTED_VALUE"""),31.81)</f>
        <v>31.81</v>
      </c>
      <c r="C250" s="1">
        <f>IFERROR(__xludf.DUMMYFUNCTION("""COMPUTED_VALUE"""),32.51)</f>
        <v>32.51</v>
      </c>
      <c r="D250" s="1">
        <f>IFERROR(__xludf.DUMMYFUNCTION("""COMPUTED_VALUE"""),31.37)</f>
        <v>31.37</v>
      </c>
      <c r="E250" s="1">
        <f>IFERROR(__xludf.DUMMYFUNCTION("""COMPUTED_VALUE"""),31.64)</f>
        <v>31.64</v>
      </c>
      <c r="F250" s="1">
        <f>IFERROR(__xludf.DUMMYFUNCTION("""COMPUTED_VALUE"""),654950.0)</f>
        <v>654950</v>
      </c>
      <c r="G250" s="2" t="s">
        <v>15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IFERROR(__xludf.DUMMYFUNCTION("""COMPUTED_VALUE"""),31.14)</f>
        <v>31.14</v>
      </c>
      <c r="C251" s="1">
        <f>IFERROR(__xludf.DUMMYFUNCTION("""COMPUTED_VALUE"""),31.55)</f>
        <v>31.55</v>
      </c>
      <c r="D251" s="1">
        <f>IFERROR(__xludf.DUMMYFUNCTION("""COMPUTED_VALUE"""),30.66)</f>
        <v>30.66</v>
      </c>
      <c r="E251" s="1">
        <f>IFERROR(__xludf.DUMMYFUNCTION("""COMPUTED_VALUE"""),31.15)</f>
        <v>31.15</v>
      </c>
      <c r="F251" s="1">
        <f>IFERROR(__xludf.DUMMYFUNCTION("""COMPUTED_VALUE"""),567008.0)</f>
        <v>567008</v>
      </c>
      <c r="G251" s="2" t="s">
        <v>15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IFERROR(__xludf.DUMMYFUNCTION("""COMPUTED_VALUE"""),31.55)</f>
        <v>31.55</v>
      </c>
      <c r="C252" s="1">
        <f>IFERROR(__xludf.DUMMYFUNCTION("""COMPUTED_VALUE"""),33.03)</f>
        <v>33.03</v>
      </c>
      <c r="D252" s="1">
        <f>IFERROR(__xludf.DUMMYFUNCTION("""COMPUTED_VALUE"""),31.55)</f>
        <v>31.55</v>
      </c>
      <c r="E252" s="1">
        <f>IFERROR(__xludf.DUMMYFUNCTION("""COMPUTED_VALUE"""),32.99)</f>
        <v>32.99</v>
      </c>
      <c r="F252" s="1">
        <f>IFERROR(__xludf.DUMMYFUNCTION("""COMPUTED_VALUE"""),726627.0)</f>
        <v>726627</v>
      </c>
      <c r="G252" s="2" t="s">
        <v>15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IFERROR(__xludf.DUMMYFUNCTION("""COMPUTED_VALUE"""),32.81)</f>
        <v>32.81</v>
      </c>
      <c r="C253" s="1">
        <f>IFERROR(__xludf.DUMMYFUNCTION("""COMPUTED_VALUE"""),33.34)</f>
        <v>33.34</v>
      </c>
      <c r="D253" s="1">
        <f>IFERROR(__xludf.DUMMYFUNCTION("""COMPUTED_VALUE"""),31.89)</f>
        <v>31.89</v>
      </c>
      <c r="E253" s="1">
        <f>IFERROR(__xludf.DUMMYFUNCTION("""COMPUTED_VALUE"""),31.99)</f>
        <v>31.99</v>
      </c>
      <c r="F253" s="1">
        <f>IFERROR(__xludf.DUMMYFUNCTION("""COMPUTED_VALUE"""),594082.0)</f>
        <v>594082</v>
      </c>
      <c r="G253" s="2" t="s">
        <v>15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IFERROR(__xludf.DUMMYFUNCTION("""COMPUTED_VALUE"""),32.25)</f>
        <v>32.25</v>
      </c>
      <c r="C254" s="1">
        <f>IFERROR(__xludf.DUMMYFUNCTION("""COMPUTED_VALUE"""),33.35)</f>
        <v>33.35</v>
      </c>
      <c r="D254" s="1">
        <f>IFERROR(__xludf.DUMMYFUNCTION("""COMPUTED_VALUE"""),31.93)</f>
        <v>31.93</v>
      </c>
      <c r="E254" s="1">
        <f>IFERROR(__xludf.DUMMYFUNCTION("""COMPUTED_VALUE"""),32.66)</f>
        <v>32.66</v>
      </c>
      <c r="F254" s="1">
        <f>IFERROR(__xludf.DUMMYFUNCTION("""COMPUTED_VALUE"""),690526.0)</f>
        <v>690526</v>
      </c>
      <c r="G254" s="2" t="s">
        <v>15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IFERROR(__xludf.DUMMYFUNCTION("""COMPUTED_VALUE"""),33.14)</f>
        <v>33.14</v>
      </c>
      <c r="C255" s="1">
        <f>IFERROR(__xludf.DUMMYFUNCTION("""COMPUTED_VALUE"""),33.5)</f>
        <v>33.5</v>
      </c>
      <c r="D255" s="1">
        <f>IFERROR(__xludf.DUMMYFUNCTION("""COMPUTED_VALUE"""),32.69)</f>
        <v>32.69</v>
      </c>
      <c r="E255" s="1">
        <f>IFERROR(__xludf.DUMMYFUNCTION("""COMPUTED_VALUE"""),32.92)</f>
        <v>32.92</v>
      </c>
      <c r="F255" s="1">
        <f>IFERROR(__xludf.DUMMYFUNCTION("""COMPUTED_VALUE"""),528630.0)</f>
        <v>528630</v>
      </c>
      <c r="G255" s="2" t="s">
        <v>15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IFERROR(__xludf.DUMMYFUNCTION("""COMPUTED_VALUE"""),32.94)</f>
        <v>32.94</v>
      </c>
      <c r="C256" s="1">
        <f>IFERROR(__xludf.DUMMYFUNCTION("""COMPUTED_VALUE"""),33.26)</f>
        <v>33.26</v>
      </c>
      <c r="D256" s="1">
        <f>IFERROR(__xludf.DUMMYFUNCTION("""COMPUTED_VALUE"""),32.56)</f>
        <v>32.56</v>
      </c>
      <c r="E256" s="1">
        <f>IFERROR(__xludf.DUMMYFUNCTION("""COMPUTED_VALUE"""),32.89)</f>
        <v>32.89</v>
      </c>
      <c r="F256" s="1">
        <f>IFERROR(__xludf.DUMMYFUNCTION("""COMPUTED_VALUE"""),399546.0)</f>
        <v>399546</v>
      </c>
      <c r="G256" s="2" t="s">
        <v>15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IFERROR(__xludf.DUMMYFUNCTION("""COMPUTED_VALUE"""),32.74)</f>
        <v>32.74</v>
      </c>
      <c r="C257" s="1">
        <f>IFERROR(__xludf.DUMMYFUNCTION("""COMPUTED_VALUE"""),34.24)</f>
        <v>34.24</v>
      </c>
      <c r="D257" s="1">
        <f>IFERROR(__xludf.DUMMYFUNCTION("""COMPUTED_VALUE"""),32.51)</f>
        <v>32.51</v>
      </c>
      <c r="E257" s="1">
        <f>IFERROR(__xludf.DUMMYFUNCTION("""COMPUTED_VALUE"""),34.24)</f>
        <v>34.24</v>
      </c>
      <c r="F257" s="1">
        <f>IFERROR(__xludf.DUMMYFUNCTION("""COMPUTED_VALUE"""),581961.0)</f>
        <v>581961</v>
      </c>
      <c r="G257" s="2" t="s">
        <v>15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IFERROR(__xludf.DUMMYFUNCTION("""COMPUTED_VALUE"""),34.08)</f>
        <v>34.08</v>
      </c>
      <c r="C258" s="1">
        <f>IFERROR(__xludf.DUMMYFUNCTION("""COMPUTED_VALUE"""),34.24)</f>
        <v>34.24</v>
      </c>
      <c r="D258" s="1">
        <f>IFERROR(__xludf.DUMMYFUNCTION("""COMPUTED_VALUE"""),33.11)</f>
        <v>33.11</v>
      </c>
      <c r="E258" s="1">
        <f>IFERROR(__xludf.DUMMYFUNCTION("""COMPUTED_VALUE"""),33.11)</f>
        <v>33.11</v>
      </c>
      <c r="F258" s="1">
        <f>IFERROR(__xludf.DUMMYFUNCTION("""COMPUTED_VALUE"""),377387.0)</f>
        <v>377387</v>
      </c>
      <c r="G258" s="2" t="s">
        <v>15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IFERROR(__xludf.DUMMYFUNCTION("""COMPUTED_VALUE"""),33.42)</f>
        <v>33.42</v>
      </c>
      <c r="C259" s="1">
        <f>IFERROR(__xludf.DUMMYFUNCTION("""COMPUTED_VALUE"""),35.32)</f>
        <v>35.32</v>
      </c>
      <c r="D259" s="1">
        <f>IFERROR(__xludf.DUMMYFUNCTION("""COMPUTED_VALUE"""),33.42)</f>
        <v>33.42</v>
      </c>
      <c r="E259" s="1">
        <f>IFERROR(__xludf.DUMMYFUNCTION("""COMPUTED_VALUE"""),35.03)</f>
        <v>35.03</v>
      </c>
      <c r="F259" s="1">
        <f>IFERROR(__xludf.DUMMYFUNCTION("""COMPUTED_VALUE"""),765275.0)</f>
        <v>765275</v>
      </c>
      <c r="G259" s="2" t="s">
        <v>15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IFERROR(__xludf.DUMMYFUNCTION("""COMPUTED_VALUE"""),34.75)</f>
        <v>34.75</v>
      </c>
      <c r="C260" s="1">
        <f>IFERROR(__xludf.DUMMYFUNCTION("""COMPUTED_VALUE"""),36.56)</f>
        <v>36.56</v>
      </c>
      <c r="D260" s="1">
        <f>IFERROR(__xludf.DUMMYFUNCTION("""COMPUTED_VALUE"""),34.71)</f>
        <v>34.71</v>
      </c>
      <c r="E260" s="1">
        <f>IFERROR(__xludf.DUMMYFUNCTION("""COMPUTED_VALUE"""),36.06)</f>
        <v>36.06</v>
      </c>
      <c r="F260" s="1">
        <f>IFERROR(__xludf.DUMMYFUNCTION("""COMPUTED_VALUE"""),961485.0)</f>
        <v>961485</v>
      </c>
      <c r="G260" s="2" t="s">
        <v>15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IFERROR(__xludf.DUMMYFUNCTION("""COMPUTED_VALUE"""),36.41)</f>
        <v>36.41</v>
      </c>
      <c r="C261" s="1">
        <f>IFERROR(__xludf.DUMMYFUNCTION("""COMPUTED_VALUE"""),37.66)</f>
        <v>37.66</v>
      </c>
      <c r="D261" s="1">
        <f>IFERROR(__xludf.DUMMYFUNCTION("""COMPUTED_VALUE"""),36.31)</f>
        <v>36.31</v>
      </c>
      <c r="E261" s="1">
        <f>IFERROR(__xludf.DUMMYFUNCTION("""COMPUTED_VALUE"""),37.65)</f>
        <v>37.65</v>
      </c>
      <c r="F261" s="1">
        <f>IFERROR(__xludf.DUMMYFUNCTION("""COMPUTED_VALUE"""),939380.0)</f>
        <v>939380</v>
      </c>
      <c r="G261" s="2" t="s">
        <v>15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IFERROR(__xludf.DUMMYFUNCTION("""COMPUTED_VALUE"""),38.19)</f>
        <v>38.19</v>
      </c>
      <c r="C262" s="1">
        <f>IFERROR(__xludf.DUMMYFUNCTION("""COMPUTED_VALUE"""),39.17)</f>
        <v>39.17</v>
      </c>
      <c r="D262" s="1">
        <f>IFERROR(__xludf.DUMMYFUNCTION("""COMPUTED_VALUE"""),37.34)</f>
        <v>37.34</v>
      </c>
      <c r="E262" s="1">
        <f>IFERROR(__xludf.DUMMYFUNCTION("""COMPUTED_VALUE"""),38.4)</f>
        <v>38.4</v>
      </c>
      <c r="F262" s="1">
        <f>IFERROR(__xludf.DUMMYFUNCTION("""COMPUTED_VALUE"""),1499780.0)</f>
        <v>1499780</v>
      </c>
      <c r="G262" s="2" t="s">
        <v>15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IFERROR(__xludf.DUMMYFUNCTION("""COMPUTED_VALUE"""),38.4)</f>
        <v>38.4</v>
      </c>
      <c r="C263" s="1">
        <f>IFERROR(__xludf.DUMMYFUNCTION("""COMPUTED_VALUE"""),39.32)</f>
        <v>39.32</v>
      </c>
      <c r="D263" s="1">
        <f>IFERROR(__xludf.DUMMYFUNCTION("""COMPUTED_VALUE"""),37.8)</f>
        <v>37.8</v>
      </c>
      <c r="E263" s="1">
        <f>IFERROR(__xludf.DUMMYFUNCTION("""COMPUTED_VALUE"""),39.32)</f>
        <v>39.32</v>
      </c>
      <c r="F263" s="1">
        <f>IFERROR(__xludf.DUMMYFUNCTION("""COMPUTED_VALUE"""),823257.0)</f>
        <v>823257</v>
      </c>
      <c r="G263" s="2" t="s">
        <v>15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IFERROR(__xludf.DUMMYFUNCTION("""COMPUTED_VALUE"""),39.35)</f>
        <v>39.35</v>
      </c>
      <c r="C264" s="1">
        <f>IFERROR(__xludf.DUMMYFUNCTION("""COMPUTED_VALUE"""),40.51)</f>
        <v>40.51</v>
      </c>
      <c r="D264" s="1">
        <f>IFERROR(__xludf.DUMMYFUNCTION("""COMPUTED_VALUE"""),38.95)</f>
        <v>38.95</v>
      </c>
      <c r="E264" s="1">
        <f>IFERROR(__xludf.DUMMYFUNCTION("""COMPUTED_VALUE"""),40.2)</f>
        <v>40.2</v>
      </c>
      <c r="F264" s="1">
        <f>IFERROR(__xludf.DUMMYFUNCTION("""COMPUTED_VALUE"""),1214101.0)</f>
        <v>1214101</v>
      </c>
      <c r="G264" s="2" t="s">
        <v>15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IFERROR(__xludf.DUMMYFUNCTION("""COMPUTED_VALUE"""),39.69)</f>
        <v>39.69</v>
      </c>
      <c r="C265" s="1">
        <f>IFERROR(__xludf.DUMMYFUNCTION("""COMPUTED_VALUE"""),39.69)</f>
        <v>39.69</v>
      </c>
      <c r="D265" s="1">
        <f>IFERROR(__xludf.DUMMYFUNCTION("""COMPUTED_VALUE"""),37.68)</f>
        <v>37.68</v>
      </c>
      <c r="E265" s="1">
        <f>IFERROR(__xludf.DUMMYFUNCTION("""COMPUTED_VALUE"""),38.99)</f>
        <v>38.99</v>
      </c>
      <c r="F265" s="1">
        <f>IFERROR(__xludf.DUMMYFUNCTION("""COMPUTED_VALUE"""),1338845.0)</f>
        <v>1338845</v>
      </c>
      <c r="G265" s="2" t="s">
        <v>15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IFERROR(__xludf.DUMMYFUNCTION("""COMPUTED_VALUE"""),39.37)</f>
        <v>39.37</v>
      </c>
      <c r="C266" s="1">
        <f>IFERROR(__xludf.DUMMYFUNCTION("""COMPUTED_VALUE"""),40.78)</f>
        <v>40.78</v>
      </c>
      <c r="D266" s="1">
        <f>IFERROR(__xludf.DUMMYFUNCTION("""COMPUTED_VALUE"""),39.27)</f>
        <v>39.27</v>
      </c>
      <c r="E266" s="1">
        <f>IFERROR(__xludf.DUMMYFUNCTION("""COMPUTED_VALUE"""),40.57)</f>
        <v>40.57</v>
      </c>
      <c r="F266" s="1">
        <f>IFERROR(__xludf.DUMMYFUNCTION("""COMPUTED_VALUE"""),1027574.0)</f>
        <v>1027574</v>
      </c>
      <c r="G266" s="2" t="s">
        <v>15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IFERROR(__xludf.DUMMYFUNCTION("""COMPUTED_VALUE"""),40.59)</f>
        <v>40.59</v>
      </c>
      <c r="C267" s="1">
        <f>IFERROR(__xludf.DUMMYFUNCTION("""COMPUTED_VALUE"""),42.34)</f>
        <v>42.34</v>
      </c>
      <c r="D267" s="1">
        <f>IFERROR(__xludf.DUMMYFUNCTION("""COMPUTED_VALUE"""),39.88)</f>
        <v>39.88</v>
      </c>
      <c r="E267" s="1">
        <f>IFERROR(__xludf.DUMMYFUNCTION("""COMPUTED_VALUE"""),41.9)</f>
        <v>41.9</v>
      </c>
      <c r="F267" s="1">
        <f>IFERROR(__xludf.DUMMYFUNCTION("""COMPUTED_VALUE"""),1498555.0)</f>
        <v>1498555</v>
      </c>
      <c r="G267" s="2" t="s">
        <v>15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IFERROR(__xludf.DUMMYFUNCTION("""COMPUTED_VALUE"""),41.99)</f>
        <v>41.99</v>
      </c>
      <c r="C268" s="1">
        <f>IFERROR(__xludf.DUMMYFUNCTION("""COMPUTED_VALUE"""),43.06)</f>
        <v>43.06</v>
      </c>
      <c r="D268" s="1">
        <f>IFERROR(__xludf.DUMMYFUNCTION("""COMPUTED_VALUE"""),41.52)</f>
        <v>41.52</v>
      </c>
      <c r="E268" s="1">
        <f>IFERROR(__xludf.DUMMYFUNCTION("""COMPUTED_VALUE"""),42.59)</f>
        <v>42.59</v>
      </c>
      <c r="F268" s="1">
        <f>IFERROR(__xludf.DUMMYFUNCTION("""COMPUTED_VALUE"""),1086035.0)</f>
        <v>1086035</v>
      </c>
      <c r="G268" s="2" t="s">
        <v>15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IFERROR(__xludf.DUMMYFUNCTION("""COMPUTED_VALUE"""),42.86)</f>
        <v>42.86</v>
      </c>
      <c r="C269" s="1">
        <f>IFERROR(__xludf.DUMMYFUNCTION("""COMPUTED_VALUE"""),44.38)</f>
        <v>44.38</v>
      </c>
      <c r="D269" s="1">
        <f>IFERROR(__xludf.DUMMYFUNCTION("""COMPUTED_VALUE"""),42.57)</f>
        <v>42.57</v>
      </c>
      <c r="E269" s="1">
        <f>IFERROR(__xludf.DUMMYFUNCTION("""COMPUTED_VALUE"""),44.38)</f>
        <v>44.38</v>
      </c>
      <c r="F269" s="1">
        <f>IFERROR(__xludf.DUMMYFUNCTION("""COMPUTED_VALUE"""),916056.0)</f>
        <v>916056</v>
      </c>
      <c r="G269" s="2" t="s">
        <v>15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IFERROR(__xludf.DUMMYFUNCTION("""COMPUTED_VALUE"""),43.94)</f>
        <v>43.94</v>
      </c>
      <c r="C270" s="1">
        <f>IFERROR(__xludf.DUMMYFUNCTION("""COMPUTED_VALUE"""),43.94)</f>
        <v>43.94</v>
      </c>
      <c r="D270" s="1">
        <f>IFERROR(__xludf.DUMMYFUNCTION("""COMPUTED_VALUE"""),41.94)</f>
        <v>41.94</v>
      </c>
      <c r="E270" s="1">
        <f>IFERROR(__xludf.DUMMYFUNCTION("""COMPUTED_VALUE"""),42.74)</f>
        <v>42.74</v>
      </c>
      <c r="F270" s="1">
        <f>IFERROR(__xludf.DUMMYFUNCTION("""COMPUTED_VALUE"""),1704590.0)</f>
        <v>1704590</v>
      </c>
      <c r="G270" s="2" t="s">
        <v>15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IFERROR(__xludf.DUMMYFUNCTION("""COMPUTED_VALUE"""),43.26)</f>
        <v>43.26</v>
      </c>
      <c r="C271" s="1">
        <f>IFERROR(__xludf.DUMMYFUNCTION("""COMPUTED_VALUE"""),44.61)</f>
        <v>44.61</v>
      </c>
      <c r="D271" s="1">
        <f>IFERROR(__xludf.DUMMYFUNCTION("""COMPUTED_VALUE"""),42.77)</f>
        <v>42.77</v>
      </c>
      <c r="E271" s="1">
        <f>IFERROR(__xludf.DUMMYFUNCTION("""COMPUTED_VALUE"""),42.81)</f>
        <v>42.81</v>
      </c>
      <c r="F271" s="1">
        <f>IFERROR(__xludf.DUMMYFUNCTION("""COMPUTED_VALUE"""),1160605.0)</f>
        <v>1160605</v>
      </c>
      <c r="G271" s="2" t="s">
        <v>15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IFERROR(__xludf.DUMMYFUNCTION("""COMPUTED_VALUE"""),42.36)</f>
        <v>42.36</v>
      </c>
      <c r="C272" s="1">
        <f>IFERROR(__xludf.DUMMYFUNCTION("""COMPUTED_VALUE"""),42.72)</f>
        <v>42.72</v>
      </c>
      <c r="D272" s="1">
        <f>IFERROR(__xludf.DUMMYFUNCTION("""COMPUTED_VALUE"""),40.95)</f>
        <v>40.95</v>
      </c>
      <c r="E272" s="1">
        <f>IFERROR(__xludf.DUMMYFUNCTION("""COMPUTED_VALUE"""),40.95)</f>
        <v>40.95</v>
      </c>
      <c r="F272" s="1">
        <f>IFERROR(__xludf.DUMMYFUNCTION("""COMPUTED_VALUE"""),1385575.0)</f>
        <v>1385575</v>
      </c>
      <c r="G272" s="2" t="s">
        <v>15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IFERROR(__xludf.DUMMYFUNCTION("""COMPUTED_VALUE"""),42.5)</f>
        <v>42.5</v>
      </c>
      <c r="C273" s="1">
        <f>IFERROR(__xludf.DUMMYFUNCTION("""COMPUTED_VALUE"""),43.19)</f>
        <v>43.19</v>
      </c>
      <c r="D273" s="1">
        <f>IFERROR(__xludf.DUMMYFUNCTION("""COMPUTED_VALUE"""),41.86)</f>
        <v>41.86</v>
      </c>
      <c r="E273" s="1">
        <f>IFERROR(__xludf.DUMMYFUNCTION("""COMPUTED_VALUE"""),42.99)</f>
        <v>42.99</v>
      </c>
      <c r="F273" s="1">
        <f>IFERROR(__xludf.DUMMYFUNCTION("""COMPUTED_VALUE"""),1131475.0)</f>
        <v>1131475</v>
      </c>
      <c r="G273" s="2" t="s">
        <v>15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IFERROR(__xludf.DUMMYFUNCTION("""COMPUTED_VALUE"""),43.36)</f>
        <v>43.36</v>
      </c>
      <c r="C274" s="1">
        <f>IFERROR(__xludf.DUMMYFUNCTION("""COMPUTED_VALUE"""),44.0)</f>
        <v>44</v>
      </c>
      <c r="D274" s="1">
        <f>IFERROR(__xludf.DUMMYFUNCTION("""COMPUTED_VALUE"""),42.53)</f>
        <v>42.53</v>
      </c>
      <c r="E274" s="1">
        <f>IFERROR(__xludf.DUMMYFUNCTION("""COMPUTED_VALUE"""),42.95)</f>
        <v>42.95</v>
      </c>
      <c r="F274" s="1">
        <f>IFERROR(__xludf.DUMMYFUNCTION("""COMPUTED_VALUE"""),904260.0)</f>
        <v>904260</v>
      </c>
      <c r="G274" s="2" t="s">
        <v>15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IFERROR(__xludf.DUMMYFUNCTION("""COMPUTED_VALUE"""),42.82)</f>
        <v>42.82</v>
      </c>
      <c r="C275" s="1">
        <f>IFERROR(__xludf.DUMMYFUNCTION("""COMPUTED_VALUE"""),43.4)</f>
        <v>43.4</v>
      </c>
      <c r="D275" s="1">
        <f>IFERROR(__xludf.DUMMYFUNCTION("""COMPUTED_VALUE"""),41.81)</f>
        <v>41.81</v>
      </c>
      <c r="E275" s="1">
        <f>IFERROR(__xludf.DUMMYFUNCTION("""COMPUTED_VALUE"""),41.99)</f>
        <v>41.99</v>
      </c>
      <c r="F275" s="1">
        <f>IFERROR(__xludf.DUMMYFUNCTION("""COMPUTED_VALUE"""),890942.0)</f>
        <v>890942</v>
      </c>
      <c r="G275" s="2" t="s">
        <v>15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IFERROR(__xludf.DUMMYFUNCTION("""COMPUTED_VALUE"""),42.34)</f>
        <v>42.34</v>
      </c>
      <c r="C276" s="1">
        <f>IFERROR(__xludf.DUMMYFUNCTION("""COMPUTED_VALUE"""),42.97)</f>
        <v>42.97</v>
      </c>
      <c r="D276" s="1">
        <f>IFERROR(__xludf.DUMMYFUNCTION("""COMPUTED_VALUE"""),41.61)</f>
        <v>41.61</v>
      </c>
      <c r="E276" s="1">
        <f>IFERROR(__xludf.DUMMYFUNCTION("""COMPUTED_VALUE"""),41.65)</f>
        <v>41.65</v>
      </c>
      <c r="F276" s="1">
        <f>IFERROR(__xludf.DUMMYFUNCTION("""COMPUTED_VALUE"""),883978.0)</f>
        <v>883978</v>
      </c>
      <c r="G276" s="2" t="s">
        <v>15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IFERROR(__xludf.DUMMYFUNCTION("""COMPUTED_VALUE"""),42.79)</f>
        <v>42.79</v>
      </c>
      <c r="C277" s="1">
        <f>IFERROR(__xludf.DUMMYFUNCTION("""COMPUTED_VALUE"""),42.98)</f>
        <v>42.98</v>
      </c>
      <c r="D277" s="1">
        <f>IFERROR(__xludf.DUMMYFUNCTION("""COMPUTED_VALUE"""),42.08)</f>
        <v>42.08</v>
      </c>
      <c r="E277" s="1">
        <f>IFERROR(__xludf.DUMMYFUNCTION("""COMPUTED_VALUE"""),42.98)</f>
        <v>42.98</v>
      </c>
      <c r="F277" s="1">
        <f>IFERROR(__xludf.DUMMYFUNCTION("""COMPUTED_VALUE"""),1033305.0)</f>
        <v>1033305</v>
      </c>
      <c r="G277" s="2" t="s">
        <v>15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IFERROR(__xludf.DUMMYFUNCTION("""COMPUTED_VALUE"""),43.0)</f>
        <v>43</v>
      </c>
      <c r="C278" s="1">
        <f>IFERROR(__xludf.DUMMYFUNCTION("""COMPUTED_VALUE"""),44.28)</f>
        <v>44.28</v>
      </c>
      <c r="D278" s="1">
        <f>IFERROR(__xludf.DUMMYFUNCTION("""COMPUTED_VALUE"""),42.51)</f>
        <v>42.51</v>
      </c>
      <c r="E278" s="1">
        <f>IFERROR(__xludf.DUMMYFUNCTION("""COMPUTED_VALUE"""),43.4)</f>
        <v>43.4</v>
      </c>
      <c r="F278" s="1">
        <f>IFERROR(__xludf.DUMMYFUNCTION("""COMPUTED_VALUE"""),973446.0)</f>
        <v>973446</v>
      </c>
      <c r="G278" s="2" t="s">
        <v>15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IFERROR(__xludf.DUMMYFUNCTION("""COMPUTED_VALUE"""),42.6)</f>
        <v>42.6</v>
      </c>
      <c r="C279" s="1">
        <f>IFERROR(__xludf.DUMMYFUNCTION("""COMPUTED_VALUE"""),42.93)</f>
        <v>42.93</v>
      </c>
      <c r="D279" s="1">
        <f>IFERROR(__xludf.DUMMYFUNCTION("""COMPUTED_VALUE"""),41.72)</f>
        <v>41.72</v>
      </c>
      <c r="E279" s="1">
        <f>IFERROR(__xludf.DUMMYFUNCTION("""COMPUTED_VALUE"""),42.5)</f>
        <v>42.5</v>
      </c>
      <c r="F279" s="1">
        <f>IFERROR(__xludf.DUMMYFUNCTION("""COMPUTED_VALUE"""),823488.0)</f>
        <v>823488</v>
      </c>
      <c r="G279" s="2" t="s">
        <v>15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IFERROR(__xludf.DUMMYFUNCTION("""COMPUTED_VALUE"""),42.0)</f>
        <v>42</v>
      </c>
      <c r="C280" s="1">
        <f>IFERROR(__xludf.DUMMYFUNCTION("""COMPUTED_VALUE"""),42.84)</f>
        <v>42.84</v>
      </c>
      <c r="D280" s="1">
        <f>IFERROR(__xludf.DUMMYFUNCTION("""COMPUTED_VALUE"""),41.9)</f>
        <v>41.9</v>
      </c>
      <c r="E280" s="1">
        <f>IFERROR(__xludf.DUMMYFUNCTION("""COMPUTED_VALUE"""),42.59)</f>
        <v>42.59</v>
      </c>
      <c r="F280" s="1">
        <f>IFERROR(__xludf.DUMMYFUNCTION("""COMPUTED_VALUE"""),1119989.0)</f>
        <v>1119989</v>
      </c>
      <c r="G280" s="2" t="s">
        <v>15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IFERROR(__xludf.DUMMYFUNCTION("""COMPUTED_VALUE"""),42.65)</f>
        <v>42.65</v>
      </c>
      <c r="C281" s="1">
        <f>IFERROR(__xludf.DUMMYFUNCTION("""COMPUTED_VALUE"""),43.11)</f>
        <v>43.11</v>
      </c>
      <c r="D281" s="1">
        <f>IFERROR(__xludf.DUMMYFUNCTION("""COMPUTED_VALUE"""),42.04)</f>
        <v>42.04</v>
      </c>
      <c r="E281" s="1">
        <f>IFERROR(__xludf.DUMMYFUNCTION("""COMPUTED_VALUE"""),42.6)</f>
        <v>42.6</v>
      </c>
      <c r="F281" s="1">
        <f>IFERROR(__xludf.DUMMYFUNCTION("""COMPUTED_VALUE"""),797094.0)</f>
        <v>797094</v>
      </c>
      <c r="G281" s="2" t="s">
        <v>15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IFERROR(__xludf.DUMMYFUNCTION("""COMPUTED_VALUE"""),43.3)</f>
        <v>43.3</v>
      </c>
      <c r="C282" s="1">
        <f>IFERROR(__xludf.DUMMYFUNCTION("""COMPUTED_VALUE"""),45.68)</f>
        <v>45.68</v>
      </c>
      <c r="D282" s="1">
        <f>IFERROR(__xludf.DUMMYFUNCTION("""COMPUTED_VALUE"""),43.3)</f>
        <v>43.3</v>
      </c>
      <c r="E282" s="1">
        <f>IFERROR(__xludf.DUMMYFUNCTION("""COMPUTED_VALUE"""),44.89)</f>
        <v>44.89</v>
      </c>
      <c r="F282" s="1">
        <f>IFERROR(__xludf.DUMMYFUNCTION("""COMPUTED_VALUE"""),1554901.0)</f>
        <v>1554901</v>
      </c>
      <c r="G282" s="2" t="s">
        <v>15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IFERROR(__xludf.DUMMYFUNCTION("""COMPUTED_VALUE"""),44.49)</f>
        <v>44.49</v>
      </c>
      <c r="C283" s="1">
        <f>IFERROR(__xludf.DUMMYFUNCTION("""COMPUTED_VALUE"""),45.81)</f>
        <v>45.81</v>
      </c>
      <c r="D283" s="1">
        <f>IFERROR(__xludf.DUMMYFUNCTION("""COMPUTED_VALUE"""),43.96)</f>
        <v>43.96</v>
      </c>
      <c r="E283" s="1">
        <f>IFERROR(__xludf.DUMMYFUNCTION("""COMPUTED_VALUE"""),45.57)</f>
        <v>45.57</v>
      </c>
      <c r="F283" s="1">
        <f>IFERROR(__xludf.DUMMYFUNCTION("""COMPUTED_VALUE"""),974878.0)</f>
        <v>974878</v>
      </c>
      <c r="G283" s="2" t="s">
        <v>15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IFERROR(__xludf.DUMMYFUNCTION("""COMPUTED_VALUE"""),44.82)</f>
        <v>44.82</v>
      </c>
      <c r="C284" s="1">
        <f>IFERROR(__xludf.DUMMYFUNCTION("""COMPUTED_VALUE"""),45.06)</f>
        <v>45.06</v>
      </c>
      <c r="D284" s="1">
        <f>IFERROR(__xludf.DUMMYFUNCTION("""COMPUTED_VALUE"""),42.66)</f>
        <v>42.66</v>
      </c>
      <c r="E284" s="1">
        <f>IFERROR(__xludf.DUMMYFUNCTION("""COMPUTED_VALUE"""),43.02)</f>
        <v>43.02</v>
      </c>
      <c r="F284" s="1">
        <f>IFERROR(__xludf.DUMMYFUNCTION("""COMPUTED_VALUE"""),1058479.0)</f>
        <v>1058479</v>
      </c>
      <c r="G284" s="2" t="s">
        <v>15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IFERROR(__xludf.DUMMYFUNCTION("""COMPUTED_VALUE"""),43.05)</f>
        <v>43.05</v>
      </c>
      <c r="C285" s="1">
        <f>IFERROR(__xludf.DUMMYFUNCTION("""COMPUTED_VALUE"""),43.53)</f>
        <v>43.53</v>
      </c>
      <c r="D285" s="1">
        <f>IFERROR(__xludf.DUMMYFUNCTION("""COMPUTED_VALUE"""),42.34)</f>
        <v>42.34</v>
      </c>
      <c r="E285" s="1">
        <f>IFERROR(__xludf.DUMMYFUNCTION("""COMPUTED_VALUE"""),42.92)</f>
        <v>42.92</v>
      </c>
      <c r="F285" s="1">
        <f>IFERROR(__xludf.DUMMYFUNCTION("""COMPUTED_VALUE"""),853379.0)</f>
        <v>853379</v>
      </c>
      <c r="G285" s="2" t="s">
        <v>15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IFERROR(__xludf.DUMMYFUNCTION("""COMPUTED_VALUE"""),43.46)</f>
        <v>43.46</v>
      </c>
      <c r="C286" s="1">
        <f>IFERROR(__xludf.DUMMYFUNCTION("""COMPUTED_VALUE"""),43.73)</f>
        <v>43.73</v>
      </c>
      <c r="D286" s="1">
        <f>IFERROR(__xludf.DUMMYFUNCTION("""COMPUTED_VALUE"""),41.88)</f>
        <v>41.88</v>
      </c>
      <c r="E286" s="1">
        <f>IFERROR(__xludf.DUMMYFUNCTION("""COMPUTED_VALUE"""),42.13)</f>
        <v>42.13</v>
      </c>
      <c r="F286" s="1">
        <f>IFERROR(__xludf.DUMMYFUNCTION("""COMPUTED_VALUE"""),944446.0)</f>
        <v>944446</v>
      </c>
      <c r="G286" s="2" t="s">
        <v>15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IFERROR(__xludf.DUMMYFUNCTION("""COMPUTED_VALUE"""),42.54)</f>
        <v>42.54</v>
      </c>
      <c r="C287" s="1">
        <f>IFERROR(__xludf.DUMMYFUNCTION("""COMPUTED_VALUE"""),42.97)</f>
        <v>42.97</v>
      </c>
      <c r="D287" s="1">
        <f>IFERROR(__xludf.DUMMYFUNCTION("""COMPUTED_VALUE"""),42.09)</f>
        <v>42.09</v>
      </c>
      <c r="E287" s="1">
        <f>IFERROR(__xludf.DUMMYFUNCTION("""COMPUTED_VALUE"""),42.69)</f>
        <v>42.69</v>
      </c>
      <c r="F287" s="1">
        <f>IFERROR(__xludf.DUMMYFUNCTION("""COMPUTED_VALUE"""),1031421.0)</f>
        <v>1031421</v>
      </c>
      <c r="G287" s="2" t="s">
        <v>15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IFERROR(__xludf.DUMMYFUNCTION("""COMPUTED_VALUE"""),42.04)</f>
        <v>42.04</v>
      </c>
      <c r="C288" s="1">
        <f>IFERROR(__xludf.DUMMYFUNCTION("""COMPUTED_VALUE"""),42.04)</f>
        <v>42.04</v>
      </c>
      <c r="D288" s="1">
        <f>IFERROR(__xludf.DUMMYFUNCTION("""COMPUTED_VALUE"""),39.26)</f>
        <v>39.26</v>
      </c>
      <c r="E288" s="1">
        <f>IFERROR(__xludf.DUMMYFUNCTION("""COMPUTED_VALUE"""),39.67)</f>
        <v>39.67</v>
      </c>
      <c r="F288" s="1">
        <f>IFERROR(__xludf.DUMMYFUNCTION("""COMPUTED_VALUE"""),1619254.0)</f>
        <v>1619254</v>
      </c>
      <c r="G288" s="2" t="s">
        <v>15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IFERROR(__xludf.DUMMYFUNCTION("""COMPUTED_VALUE"""),39.67)</f>
        <v>39.67</v>
      </c>
      <c r="C289" s="1">
        <f>IFERROR(__xludf.DUMMYFUNCTION("""COMPUTED_VALUE"""),40.52)</f>
        <v>40.52</v>
      </c>
      <c r="D289" s="1">
        <f>IFERROR(__xludf.DUMMYFUNCTION("""COMPUTED_VALUE"""),39.27)</f>
        <v>39.27</v>
      </c>
      <c r="E289" s="1">
        <f>IFERROR(__xludf.DUMMYFUNCTION("""COMPUTED_VALUE"""),40.11)</f>
        <v>40.11</v>
      </c>
      <c r="F289" s="1">
        <f>IFERROR(__xludf.DUMMYFUNCTION("""COMPUTED_VALUE"""),1290542.0)</f>
        <v>1290542</v>
      </c>
      <c r="G289" s="2" t="s">
        <v>15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IFERROR(__xludf.DUMMYFUNCTION("""COMPUTED_VALUE"""),40.56)</f>
        <v>40.56</v>
      </c>
      <c r="C290" s="1">
        <f>IFERROR(__xludf.DUMMYFUNCTION("""COMPUTED_VALUE"""),40.6)</f>
        <v>40.6</v>
      </c>
      <c r="D290" s="1">
        <f>IFERROR(__xludf.DUMMYFUNCTION("""COMPUTED_VALUE"""),38.86)</f>
        <v>38.86</v>
      </c>
      <c r="E290" s="1">
        <f>IFERROR(__xludf.DUMMYFUNCTION("""COMPUTED_VALUE"""),39.63)</f>
        <v>39.63</v>
      </c>
      <c r="F290" s="1">
        <f>IFERROR(__xludf.DUMMYFUNCTION("""COMPUTED_VALUE"""),1621100.0)</f>
        <v>1621100</v>
      </c>
      <c r="G290" s="2" t="s">
        <v>15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IFERROR(__xludf.DUMMYFUNCTION("""COMPUTED_VALUE"""),39.8)</f>
        <v>39.8</v>
      </c>
      <c r="C291" s="1">
        <f>IFERROR(__xludf.DUMMYFUNCTION("""COMPUTED_VALUE"""),40.23)</f>
        <v>40.23</v>
      </c>
      <c r="D291" s="1">
        <f>IFERROR(__xludf.DUMMYFUNCTION("""COMPUTED_VALUE"""),39.35)</f>
        <v>39.35</v>
      </c>
      <c r="E291" s="1">
        <f>IFERROR(__xludf.DUMMYFUNCTION("""COMPUTED_VALUE"""),40.13)</f>
        <v>40.13</v>
      </c>
      <c r="F291" s="1">
        <f>IFERROR(__xludf.DUMMYFUNCTION("""COMPUTED_VALUE"""),1039668.0)</f>
        <v>1039668</v>
      </c>
      <c r="G291" s="2" t="s">
        <v>15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IFERROR(__xludf.DUMMYFUNCTION("""COMPUTED_VALUE"""),40.63)</f>
        <v>40.63</v>
      </c>
      <c r="C292" s="1">
        <f>IFERROR(__xludf.DUMMYFUNCTION("""COMPUTED_VALUE"""),40.77)</f>
        <v>40.77</v>
      </c>
      <c r="D292" s="1">
        <f>IFERROR(__xludf.DUMMYFUNCTION("""COMPUTED_VALUE"""),38.65)</f>
        <v>38.65</v>
      </c>
      <c r="E292" s="1">
        <f>IFERROR(__xludf.DUMMYFUNCTION("""COMPUTED_VALUE"""),39.21)</f>
        <v>39.21</v>
      </c>
      <c r="F292" s="1">
        <f>IFERROR(__xludf.DUMMYFUNCTION("""COMPUTED_VALUE"""),1336143.0)</f>
        <v>1336143</v>
      </c>
      <c r="G292" s="2" t="s">
        <v>15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IFERROR(__xludf.DUMMYFUNCTION("""COMPUTED_VALUE"""),38.47)</f>
        <v>38.47</v>
      </c>
      <c r="C293" s="1">
        <f>IFERROR(__xludf.DUMMYFUNCTION("""COMPUTED_VALUE"""),39.85)</f>
        <v>39.85</v>
      </c>
      <c r="D293" s="1">
        <f>IFERROR(__xludf.DUMMYFUNCTION("""COMPUTED_VALUE"""),38.19)</f>
        <v>38.19</v>
      </c>
      <c r="E293" s="1">
        <f>IFERROR(__xludf.DUMMYFUNCTION("""COMPUTED_VALUE"""),39.78)</f>
        <v>39.78</v>
      </c>
      <c r="F293" s="1">
        <f>IFERROR(__xludf.DUMMYFUNCTION("""COMPUTED_VALUE"""),1062500.0)</f>
        <v>1062500</v>
      </c>
      <c r="G293" s="2" t="s">
        <v>15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IFERROR(__xludf.DUMMYFUNCTION("""COMPUTED_VALUE"""),39.96)</f>
        <v>39.96</v>
      </c>
      <c r="C294" s="1">
        <f>IFERROR(__xludf.DUMMYFUNCTION("""COMPUTED_VALUE"""),40.04)</f>
        <v>40.04</v>
      </c>
      <c r="D294" s="1">
        <f>IFERROR(__xludf.DUMMYFUNCTION("""COMPUTED_VALUE"""),39.28)</f>
        <v>39.28</v>
      </c>
      <c r="E294" s="1">
        <f>IFERROR(__xludf.DUMMYFUNCTION("""COMPUTED_VALUE"""),39.85)</f>
        <v>39.85</v>
      </c>
      <c r="F294" s="1">
        <f>IFERROR(__xludf.DUMMYFUNCTION("""COMPUTED_VALUE"""),582159.0)</f>
        <v>582159</v>
      </c>
      <c r="G294" s="2" t="s">
        <v>15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IFERROR(__xludf.DUMMYFUNCTION("""COMPUTED_VALUE"""),39.7)</f>
        <v>39.7</v>
      </c>
      <c r="C295" s="1">
        <f>IFERROR(__xludf.DUMMYFUNCTION("""COMPUTED_VALUE"""),39.82)</f>
        <v>39.82</v>
      </c>
      <c r="D295" s="1">
        <f>IFERROR(__xludf.DUMMYFUNCTION("""COMPUTED_VALUE"""),38.7)</f>
        <v>38.7</v>
      </c>
      <c r="E295" s="1">
        <f>IFERROR(__xludf.DUMMYFUNCTION("""COMPUTED_VALUE"""),39.11)</f>
        <v>39.11</v>
      </c>
      <c r="F295" s="1">
        <f>IFERROR(__xludf.DUMMYFUNCTION("""COMPUTED_VALUE"""),885151.0)</f>
        <v>885151</v>
      </c>
      <c r="G295" s="2" t="s">
        <v>15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IFERROR(__xludf.DUMMYFUNCTION("""COMPUTED_VALUE"""),38.73)</f>
        <v>38.73</v>
      </c>
      <c r="C296" s="1">
        <f>IFERROR(__xludf.DUMMYFUNCTION("""COMPUTED_VALUE"""),38.79)</f>
        <v>38.79</v>
      </c>
      <c r="D296" s="1">
        <f>IFERROR(__xludf.DUMMYFUNCTION("""COMPUTED_VALUE"""),37.9)</f>
        <v>37.9</v>
      </c>
      <c r="E296" s="1">
        <f>IFERROR(__xludf.DUMMYFUNCTION("""COMPUTED_VALUE"""),38.5)</f>
        <v>38.5</v>
      </c>
      <c r="F296" s="1">
        <f>IFERROR(__xludf.DUMMYFUNCTION("""COMPUTED_VALUE"""),807081.0)</f>
        <v>807081</v>
      </c>
      <c r="G296" s="2" t="s">
        <v>15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IFERROR(__xludf.DUMMYFUNCTION("""COMPUTED_VALUE"""),38.9)</f>
        <v>38.9</v>
      </c>
      <c r="C297" s="1">
        <f>IFERROR(__xludf.DUMMYFUNCTION("""COMPUTED_VALUE"""),39.85)</f>
        <v>39.85</v>
      </c>
      <c r="D297" s="1">
        <f>IFERROR(__xludf.DUMMYFUNCTION("""COMPUTED_VALUE"""),38.64)</f>
        <v>38.64</v>
      </c>
      <c r="E297" s="1">
        <f>IFERROR(__xludf.DUMMYFUNCTION("""COMPUTED_VALUE"""),39.03)</f>
        <v>39.03</v>
      </c>
      <c r="F297" s="1">
        <f>IFERROR(__xludf.DUMMYFUNCTION("""COMPUTED_VALUE"""),900310.0)</f>
        <v>900310</v>
      </c>
      <c r="G297" s="2" t="s">
        <v>15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IFERROR(__xludf.DUMMYFUNCTION("""COMPUTED_VALUE"""),39.37)</f>
        <v>39.37</v>
      </c>
      <c r="C298" s="1">
        <f>IFERROR(__xludf.DUMMYFUNCTION("""COMPUTED_VALUE"""),39.53)</f>
        <v>39.53</v>
      </c>
      <c r="D298" s="1">
        <f>IFERROR(__xludf.DUMMYFUNCTION("""COMPUTED_VALUE"""),37.82)</f>
        <v>37.82</v>
      </c>
      <c r="E298" s="1">
        <f>IFERROR(__xludf.DUMMYFUNCTION("""COMPUTED_VALUE"""),37.82)</f>
        <v>37.82</v>
      </c>
      <c r="F298" s="1">
        <f>IFERROR(__xludf.DUMMYFUNCTION("""COMPUTED_VALUE"""),1482585.0)</f>
        <v>1482585</v>
      </c>
      <c r="G298" s="2" t="s">
        <v>15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IFERROR(__xludf.DUMMYFUNCTION("""COMPUTED_VALUE"""),38.41)</f>
        <v>38.41</v>
      </c>
      <c r="C299" s="1">
        <f>IFERROR(__xludf.DUMMYFUNCTION("""COMPUTED_VALUE"""),38.91)</f>
        <v>38.91</v>
      </c>
      <c r="D299" s="1">
        <f>IFERROR(__xludf.DUMMYFUNCTION("""COMPUTED_VALUE"""),37.38)</f>
        <v>37.38</v>
      </c>
      <c r="E299" s="1">
        <f>IFERROR(__xludf.DUMMYFUNCTION("""COMPUTED_VALUE"""),37.64)</f>
        <v>37.64</v>
      </c>
      <c r="F299" s="1">
        <f>IFERROR(__xludf.DUMMYFUNCTION("""COMPUTED_VALUE"""),1491852.0)</f>
        <v>1491852</v>
      </c>
      <c r="G299" s="2" t="s">
        <v>15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IFERROR(__xludf.DUMMYFUNCTION("""COMPUTED_VALUE"""),37.52)</f>
        <v>37.52</v>
      </c>
      <c r="C300" s="1">
        <f>IFERROR(__xludf.DUMMYFUNCTION("""COMPUTED_VALUE"""),37.9)</f>
        <v>37.9</v>
      </c>
      <c r="D300" s="1">
        <f>IFERROR(__xludf.DUMMYFUNCTION("""COMPUTED_VALUE"""),36.88)</f>
        <v>36.88</v>
      </c>
      <c r="E300" s="1">
        <f>IFERROR(__xludf.DUMMYFUNCTION("""COMPUTED_VALUE"""),37.6)</f>
        <v>37.6</v>
      </c>
      <c r="F300" s="1">
        <f>IFERROR(__xludf.DUMMYFUNCTION("""COMPUTED_VALUE"""),2189487.0)</f>
        <v>2189487</v>
      </c>
      <c r="G300" s="2" t="s">
        <v>15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IFERROR(__xludf.DUMMYFUNCTION("""COMPUTED_VALUE"""),37.96)</f>
        <v>37.96</v>
      </c>
      <c r="C301" s="1">
        <f>IFERROR(__xludf.DUMMYFUNCTION("""COMPUTED_VALUE"""),38.25)</f>
        <v>38.25</v>
      </c>
      <c r="D301" s="1">
        <f>IFERROR(__xludf.DUMMYFUNCTION("""COMPUTED_VALUE"""),36.99)</f>
        <v>36.99</v>
      </c>
      <c r="E301" s="1">
        <f>IFERROR(__xludf.DUMMYFUNCTION("""COMPUTED_VALUE"""),37.13)</f>
        <v>37.13</v>
      </c>
      <c r="F301" s="1">
        <f>IFERROR(__xludf.DUMMYFUNCTION("""COMPUTED_VALUE"""),847707.0)</f>
        <v>847707</v>
      </c>
      <c r="G301" s="2" t="s">
        <v>15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IFERROR(__xludf.DUMMYFUNCTION("""COMPUTED_VALUE"""),36.99)</f>
        <v>36.99</v>
      </c>
      <c r="C302" s="1">
        <f>IFERROR(__xludf.DUMMYFUNCTION("""COMPUTED_VALUE"""),37.72)</f>
        <v>37.72</v>
      </c>
      <c r="D302" s="1">
        <f>IFERROR(__xludf.DUMMYFUNCTION("""COMPUTED_VALUE"""),36.64)</f>
        <v>36.64</v>
      </c>
      <c r="E302" s="1">
        <f>IFERROR(__xludf.DUMMYFUNCTION("""COMPUTED_VALUE"""),36.85)</f>
        <v>36.85</v>
      </c>
      <c r="F302" s="1">
        <f>IFERROR(__xludf.DUMMYFUNCTION("""COMPUTED_VALUE"""),1393466.0)</f>
        <v>1393466</v>
      </c>
      <c r="G302" s="2" t="s">
        <v>15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IFERROR(__xludf.DUMMYFUNCTION("""COMPUTED_VALUE"""),37.23)</f>
        <v>37.23</v>
      </c>
      <c r="C303" s="1">
        <f>IFERROR(__xludf.DUMMYFUNCTION("""COMPUTED_VALUE"""),38.93)</f>
        <v>38.93</v>
      </c>
      <c r="D303" s="1">
        <f>IFERROR(__xludf.DUMMYFUNCTION("""COMPUTED_VALUE"""),37.19)</f>
        <v>37.19</v>
      </c>
      <c r="E303" s="1">
        <f>IFERROR(__xludf.DUMMYFUNCTION("""COMPUTED_VALUE"""),38.71)</f>
        <v>38.71</v>
      </c>
      <c r="F303" s="1">
        <f>IFERROR(__xludf.DUMMYFUNCTION("""COMPUTED_VALUE"""),789645.0)</f>
        <v>789645</v>
      </c>
      <c r="G303" s="2" t="s">
        <v>15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IFERROR(__xludf.DUMMYFUNCTION("""COMPUTED_VALUE"""),38.84)</f>
        <v>38.84</v>
      </c>
      <c r="C304" s="1">
        <f>IFERROR(__xludf.DUMMYFUNCTION("""COMPUTED_VALUE"""),39.33)</f>
        <v>39.33</v>
      </c>
      <c r="D304" s="1">
        <f>IFERROR(__xludf.DUMMYFUNCTION("""COMPUTED_VALUE"""),38.16)</f>
        <v>38.16</v>
      </c>
      <c r="E304" s="1">
        <f>IFERROR(__xludf.DUMMYFUNCTION("""COMPUTED_VALUE"""),39.12)</f>
        <v>39.12</v>
      </c>
      <c r="F304" s="1">
        <f>IFERROR(__xludf.DUMMYFUNCTION("""COMPUTED_VALUE"""),898418.0)</f>
        <v>898418</v>
      </c>
      <c r="G304" s="2" t="s">
        <v>15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IFERROR(__xludf.DUMMYFUNCTION("""COMPUTED_VALUE"""),39.12)</f>
        <v>39.12</v>
      </c>
      <c r="C305" s="1">
        <f>IFERROR(__xludf.DUMMYFUNCTION("""COMPUTED_VALUE"""),41.47)</f>
        <v>41.47</v>
      </c>
      <c r="D305" s="1">
        <f>IFERROR(__xludf.DUMMYFUNCTION("""COMPUTED_VALUE"""),37.07)</f>
        <v>37.07</v>
      </c>
      <c r="E305" s="1">
        <f>IFERROR(__xludf.DUMMYFUNCTION("""COMPUTED_VALUE"""),37.8)</f>
        <v>37.8</v>
      </c>
      <c r="F305" s="1">
        <f>IFERROR(__xludf.DUMMYFUNCTION("""COMPUTED_VALUE"""),2351442.0)</f>
        <v>2351442</v>
      </c>
      <c r="G305" s="2" t="s">
        <v>15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IFERROR(__xludf.DUMMYFUNCTION("""COMPUTED_VALUE"""),37.22)</f>
        <v>37.22</v>
      </c>
      <c r="C306" s="1">
        <f>IFERROR(__xludf.DUMMYFUNCTION("""COMPUTED_VALUE"""),38.24)</f>
        <v>38.24</v>
      </c>
      <c r="D306" s="1">
        <f>IFERROR(__xludf.DUMMYFUNCTION("""COMPUTED_VALUE"""),36.66)</f>
        <v>36.66</v>
      </c>
      <c r="E306" s="1">
        <f>IFERROR(__xludf.DUMMYFUNCTION("""COMPUTED_VALUE"""),37.79)</f>
        <v>37.79</v>
      </c>
      <c r="F306" s="1">
        <f>IFERROR(__xludf.DUMMYFUNCTION("""COMPUTED_VALUE"""),1599471.0)</f>
        <v>1599471</v>
      </c>
      <c r="G306" s="2" t="s">
        <v>15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IFERROR(__xludf.DUMMYFUNCTION("""COMPUTED_VALUE"""),37.5)</f>
        <v>37.5</v>
      </c>
      <c r="C307" s="1">
        <f>IFERROR(__xludf.DUMMYFUNCTION("""COMPUTED_VALUE"""),37.5)</f>
        <v>37.5</v>
      </c>
      <c r="D307" s="1">
        <f>IFERROR(__xludf.DUMMYFUNCTION("""COMPUTED_VALUE"""),36.03)</f>
        <v>36.03</v>
      </c>
      <c r="E307" s="1">
        <f>IFERROR(__xludf.DUMMYFUNCTION("""COMPUTED_VALUE"""),36.72)</f>
        <v>36.72</v>
      </c>
      <c r="F307" s="1">
        <f>IFERROR(__xludf.DUMMYFUNCTION("""COMPUTED_VALUE"""),1205557.0)</f>
        <v>1205557</v>
      </c>
      <c r="G307" s="2" t="s">
        <v>15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IFERROR(__xludf.DUMMYFUNCTION("""COMPUTED_VALUE"""),35.77)</f>
        <v>35.77</v>
      </c>
      <c r="C308" s="1">
        <f>IFERROR(__xludf.DUMMYFUNCTION("""COMPUTED_VALUE"""),36.22)</f>
        <v>36.22</v>
      </c>
      <c r="D308" s="1">
        <f>IFERROR(__xludf.DUMMYFUNCTION("""COMPUTED_VALUE"""),35.02)</f>
        <v>35.02</v>
      </c>
      <c r="E308" s="1">
        <f>IFERROR(__xludf.DUMMYFUNCTION("""COMPUTED_VALUE"""),35.77)</f>
        <v>35.77</v>
      </c>
      <c r="F308" s="1">
        <f>IFERROR(__xludf.DUMMYFUNCTION("""COMPUTED_VALUE"""),1427338.0)</f>
        <v>1427338</v>
      </c>
      <c r="G308" s="2" t="s">
        <v>15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IFERROR(__xludf.DUMMYFUNCTION("""COMPUTED_VALUE"""),35.95)</f>
        <v>35.95</v>
      </c>
      <c r="C309" s="1">
        <f>IFERROR(__xludf.DUMMYFUNCTION("""COMPUTED_VALUE"""),36.32)</f>
        <v>36.32</v>
      </c>
      <c r="D309" s="1">
        <f>IFERROR(__xludf.DUMMYFUNCTION("""COMPUTED_VALUE"""),34.41)</f>
        <v>34.41</v>
      </c>
      <c r="E309" s="1">
        <f>IFERROR(__xludf.DUMMYFUNCTION("""COMPUTED_VALUE"""),35.42)</f>
        <v>35.42</v>
      </c>
      <c r="F309" s="1">
        <f>IFERROR(__xludf.DUMMYFUNCTION("""COMPUTED_VALUE"""),1607626.0)</f>
        <v>1607626</v>
      </c>
      <c r="G309" s="2" t="s">
        <v>15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IFERROR(__xludf.DUMMYFUNCTION("""COMPUTED_VALUE"""),35.72)</f>
        <v>35.72</v>
      </c>
      <c r="C310" s="1">
        <f>IFERROR(__xludf.DUMMYFUNCTION("""COMPUTED_VALUE"""),36.77)</f>
        <v>36.77</v>
      </c>
      <c r="D310" s="1">
        <f>IFERROR(__xludf.DUMMYFUNCTION("""COMPUTED_VALUE"""),34.3)</f>
        <v>34.3</v>
      </c>
      <c r="E310" s="1">
        <f>IFERROR(__xludf.DUMMYFUNCTION("""COMPUTED_VALUE"""),36.11)</f>
        <v>36.11</v>
      </c>
      <c r="F310" s="1">
        <f>IFERROR(__xludf.DUMMYFUNCTION("""COMPUTED_VALUE"""),1449631.0)</f>
        <v>1449631</v>
      </c>
      <c r="G310" s="2" t="s">
        <v>15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IFERROR(__xludf.DUMMYFUNCTION("""COMPUTED_VALUE"""),35.89)</f>
        <v>35.89</v>
      </c>
      <c r="C311" s="1">
        <f>IFERROR(__xludf.DUMMYFUNCTION("""COMPUTED_VALUE"""),35.98)</f>
        <v>35.98</v>
      </c>
      <c r="D311" s="1">
        <f>IFERROR(__xludf.DUMMYFUNCTION("""COMPUTED_VALUE"""),33.53)</f>
        <v>33.53</v>
      </c>
      <c r="E311" s="1">
        <f>IFERROR(__xludf.DUMMYFUNCTION("""COMPUTED_VALUE"""),34.37)</f>
        <v>34.37</v>
      </c>
      <c r="F311" s="1">
        <f>IFERROR(__xludf.DUMMYFUNCTION("""COMPUTED_VALUE"""),1340054.0)</f>
        <v>1340054</v>
      </c>
      <c r="G311" s="2" t="s">
        <v>15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IFERROR(__xludf.DUMMYFUNCTION("""COMPUTED_VALUE"""),35.35)</f>
        <v>35.35</v>
      </c>
      <c r="C312" s="1">
        <f>IFERROR(__xludf.DUMMYFUNCTION("""COMPUTED_VALUE"""),35.48)</f>
        <v>35.48</v>
      </c>
      <c r="D312" s="1">
        <f>IFERROR(__xludf.DUMMYFUNCTION("""COMPUTED_VALUE"""),33.31)</f>
        <v>33.31</v>
      </c>
      <c r="E312" s="1">
        <f>IFERROR(__xludf.DUMMYFUNCTION("""COMPUTED_VALUE"""),34.53)</f>
        <v>34.53</v>
      </c>
      <c r="F312" s="1">
        <f>IFERROR(__xludf.DUMMYFUNCTION("""COMPUTED_VALUE"""),1288726.0)</f>
        <v>1288726</v>
      </c>
      <c r="G312" s="2" t="s">
        <v>15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IFERROR(__xludf.DUMMYFUNCTION("""COMPUTED_VALUE"""),34.98)</f>
        <v>34.98</v>
      </c>
      <c r="C313" s="1">
        <f>IFERROR(__xludf.DUMMYFUNCTION("""COMPUTED_VALUE"""),35.19)</f>
        <v>35.19</v>
      </c>
      <c r="D313" s="1">
        <f>IFERROR(__xludf.DUMMYFUNCTION("""COMPUTED_VALUE"""),33.7)</f>
        <v>33.7</v>
      </c>
      <c r="E313" s="1">
        <f>IFERROR(__xludf.DUMMYFUNCTION("""COMPUTED_VALUE"""),34.13)</f>
        <v>34.13</v>
      </c>
      <c r="F313" s="1">
        <f>IFERROR(__xludf.DUMMYFUNCTION("""COMPUTED_VALUE"""),1417936.0)</f>
        <v>1417936</v>
      </c>
      <c r="G313" s="2" t="s">
        <v>15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IFERROR(__xludf.DUMMYFUNCTION("""COMPUTED_VALUE"""),34.03)</f>
        <v>34.03</v>
      </c>
      <c r="C314" s="1">
        <f>IFERROR(__xludf.DUMMYFUNCTION("""COMPUTED_VALUE"""),34.1)</f>
        <v>34.1</v>
      </c>
      <c r="D314" s="1">
        <f>IFERROR(__xludf.DUMMYFUNCTION("""COMPUTED_VALUE"""),32.84)</f>
        <v>32.84</v>
      </c>
      <c r="E314" s="1">
        <f>IFERROR(__xludf.DUMMYFUNCTION("""COMPUTED_VALUE"""),33.6)</f>
        <v>33.6</v>
      </c>
      <c r="F314" s="1">
        <f>IFERROR(__xludf.DUMMYFUNCTION("""COMPUTED_VALUE"""),1466210.0)</f>
        <v>1466210</v>
      </c>
      <c r="G314" s="2" t="s">
        <v>15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IFERROR(__xludf.DUMMYFUNCTION("""COMPUTED_VALUE"""),33.91)</f>
        <v>33.91</v>
      </c>
      <c r="C315" s="1">
        <f>IFERROR(__xludf.DUMMYFUNCTION("""COMPUTED_VALUE"""),34.47)</f>
        <v>34.47</v>
      </c>
      <c r="D315" s="1">
        <f>IFERROR(__xludf.DUMMYFUNCTION("""COMPUTED_VALUE"""),33.42)</f>
        <v>33.42</v>
      </c>
      <c r="E315" s="1">
        <f>IFERROR(__xludf.DUMMYFUNCTION("""COMPUTED_VALUE"""),33.56)</f>
        <v>33.56</v>
      </c>
      <c r="F315" s="1">
        <f>IFERROR(__xludf.DUMMYFUNCTION("""COMPUTED_VALUE"""),1535698.0)</f>
        <v>1535698</v>
      </c>
      <c r="G315" s="2" t="s">
        <v>15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IFERROR(__xludf.DUMMYFUNCTION("""COMPUTED_VALUE"""),34.38)</f>
        <v>34.38</v>
      </c>
      <c r="C316" s="1">
        <f>IFERROR(__xludf.DUMMYFUNCTION("""COMPUTED_VALUE"""),34.7)</f>
        <v>34.7</v>
      </c>
      <c r="D316" s="1">
        <f>IFERROR(__xludf.DUMMYFUNCTION("""COMPUTED_VALUE"""),33.44)</f>
        <v>33.44</v>
      </c>
      <c r="E316" s="1">
        <f>IFERROR(__xludf.DUMMYFUNCTION("""COMPUTED_VALUE"""),34.3)</f>
        <v>34.3</v>
      </c>
      <c r="F316" s="1">
        <f>IFERROR(__xludf.DUMMYFUNCTION("""COMPUTED_VALUE"""),1805188.0)</f>
        <v>1805188</v>
      </c>
      <c r="G316" s="2" t="s">
        <v>15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IFERROR(__xludf.DUMMYFUNCTION("""COMPUTED_VALUE"""),34.06)</f>
        <v>34.06</v>
      </c>
      <c r="C317" s="1">
        <f>IFERROR(__xludf.DUMMYFUNCTION("""COMPUTED_VALUE"""),35.36)</f>
        <v>35.36</v>
      </c>
      <c r="D317" s="1">
        <f>IFERROR(__xludf.DUMMYFUNCTION("""COMPUTED_VALUE"""),33.78)</f>
        <v>33.78</v>
      </c>
      <c r="E317" s="1">
        <f>IFERROR(__xludf.DUMMYFUNCTION("""COMPUTED_VALUE"""),35.21)</f>
        <v>35.21</v>
      </c>
      <c r="F317" s="1">
        <f>IFERROR(__xludf.DUMMYFUNCTION("""COMPUTED_VALUE"""),1058234.0)</f>
        <v>1058234</v>
      </c>
      <c r="G317" s="2" t="s">
        <v>15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IFERROR(__xludf.DUMMYFUNCTION("""COMPUTED_VALUE"""),35.03)</f>
        <v>35.03</v>
      </c>
      <c r="C318" s="1">
        <f>IFERROR(__xludf.DUMMYFUNCTION("""COMPUTED_VALUE"""),35.06)</f>
        <v>35.06</v>
      </c>
      <c r="D318" s="1">
        <f>IFERROR(__xludf.DUMMYFUNCTION("""COMPUTED_VALUE"""),33.76)</f>
        <v>33.76</v>
      </c>
      <c r="E318" s="1">
        <f>IFERROR(__xludf.DUMMYFUNCTION("""COMPUTED_VALUE"""),33.96)</f>
        <v>33.96</v>
      </c>
      <c r="F318" s="1">
        <f>IFERROR(__xludf.DUMMYFUNCTION("""COMPUTED_VALUE"""),894989.0)</f>
        <v>894989</v>
      </c>
      <c r="G318" s="2" t="s">
        <v>15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IFERROR(__xludf.DUMMYFUNCTION("""COMPUTED_VALUE"""),34.29)</f>
        <v>34.29</v>
      </c>
      <c r="C319" s="1">
        <f>IFERROR(__xludf.DUMMYFUNCTION("""COMPUTED_VALUE"""),34.84)</f>
        <v>34.84</v>
      </c>
      <c r="D319" s="1">
        <f>IFERROR(__xludf.DUMMYFUNCTION("""COMPUTED_VALUE"""),33.81)</f>
        <v>33.81</v>
      </c>
      <c r="E319" s="1">
        <f>IFERROR(__xludf.DUMMYFUNCTION("""COMPUTED_VALUE"""),34.64)</f>
        <v>34.64</v>
      </c>
      <c r="F319" s="1">
        <f>IFERROR(__xludf.DUMMYFUNCTION("""COMPUTED_VALUE"""),795469.0)</f>
        <v>795469</v>
      </c>
      <c r="G319" s="2" t="s">
        <v>15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IFERROR(__xludf.DUMMYFUNCTION("""COMPUTED_VALUE"""),35.54)</f>
        <v>35.54</v>
      </c>
      <c r="C320" s="1">
        <f>IFERROR(__xludf.DUMMYFUNCTION("""COMPUTED_VALUE"""),35.73)</f>
        <v>35.73</v>
      </c>
      <c r="D320" s="1">
        <f>IFERROR(__xludf.DUMMYFUNCTION("""COMPUTED_VALUE"""),34.3)</f>
        <v>34.3</v>
      </c>
      <c r="E320" s="1">
        <f>IFERROR(__xludf.DUMMYFUNCTION("""COMPUTED_VALUE"""),34.96)</f>
        <v>34.96</v>
      </c>
      <c r="F320" s="1">
        <f>IFERROR(__xludf.DUMMYFUNCTION("""COMPUTED_VALUE"""),775028.0)</f>
        <v>775028</v>
      </c>
      <c r="G320" s="2" t="s">
        <v>15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IFERROR(__xludf.DUMMYFUNCTION("""COMPUTED_VALUE"""),35.1)</f>
        <v>35.1</v>
      </c>
      <c r="C321" s="1">
        <f>IFERROR(__xludf.DUMMYFUNCTION("""COMPUTED_VALUE"""),35.91)</f>
        <v>35.91</v>
      </c>
      <c r="D321" s="1">
        <f>IFERROR(__xludf.DUMMYFUNCTION("""COMPUTED_VALUE"""),34.43)</f>
        <v>34.43</v>
      </c>
      <c r="E321" s="1">
        <f>IFERROR(__xludf.DUMMYFUNCTION("""COMPUTED_VALUE"""),35.82)</f>
        <v>35.82</v>
      </c>
      <c r="F321" s="1">
        <f>IFERROR(__xludf.DUMMYFUNCTION("""COMPUTED_VALUE"""),779357.0)</f>
        <v>779357</v>
      </c>
      <c r="G321" s="2" t="s">
        <v>15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IFERROR(__xludf.DUMMYFUNCTION("""COMPUTED_VALUE"""),36.17)</f>
        <v>36.17</v>
      </c>
      <c r="C322" s="1">
        <f>IFERROR(__xludf.DUMMYFUNCTION("""COMPUTED_VALUE"""),37.78)</f>
        <v>37.78</v>
      </c>
      <c r="D322" s="1">
        <f>IFERROR(__xludf.DUMMYFUNCTION("""COMPUTED_VALUE"""),36.16)</f>
        <v>36.16</v>
      </c>
      <c r="E322" s="1">
        <f>IFERROR(__xludf.DUMMYFUNCTION("""COMPUTED_VALUE"""),37.73)</f>
        <v>37.73</v>
      </c>
      <c r="F322" s="1">
        <f>IFERROR(__xludf.DUMMYFUNCTION("""COMPUTED_VALUE"""),963565.0)</f>
        <v>963565</v>
      </c>
      <c r="G322" s="2" t="s">
        <v>15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IFERROR(__xludf.DUMMYFUNCTION("""COMPUTED_VALUE"""),37.7)</f>
        <v>37.7</v>
      </c>
      <c r="C323" s="1">
        <f>IFERROR(__xludf.DUMMYFUNCTION("""COMPUTED_VALUE"""),38.85)</f>
        <v>38.85</v>
      </c>
      <c r="D323" s="1">
        <f>IFERROR(__xludf.DUMMYFUNCTION("""COMPUTED_VALUE"""),37.57)</f>
        <v>37.57</v>
      </c>
      <c r="E323" s="1">
        <f>IFERROR(__xludf.DUMMYFUNCTION("""COMPUTED_VALUE"""),38.54)</f>
        <v>38.54</v>
      </c>
      <c r="F323" s="1">
        <f>IFERROR(__xludf.DUMMYFUNCTION("""COMPUTED_VALUE"""),976630.0)</f>
        <v>976630</v>
      </c>
      <c r="G323" s="2" t="s">
        <v>15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IFERROR(__xludf.DUMMYFUNCTION("""COMPUTED_VALUE"""),38.44)</f>
        <v>38.44</v>
      </c>
      <c r="C324" s="1">
        <f>IFERROR(__xludf.DUMMYFUNCTION("""COMPUTED_VALUE"""),38.86)</f>
        <v>38.86</v>
      </c>
      <c r="D324" s="1">
        <f>IFERROR(__xludf.DUMMYFUNCTION("""COMPUTED_VALUE"""),37.91)</f>
        <v>37.91</v>
      </c>
      <c r="E324" s="1">
        <f>IFERROR(__xludf.DUMMYFUNCTION("""COMPUTED_VALUE"""),38.12)</f>
        <v>38.12</v>
      </c>
      <c r="F324" s="1">
        <f>IFERROR(__xludf.DUMMYFUNCTION("""COMPUTED_VALUE"""),630830.0)</f>
        <v>630830</v>
      </c>
      <c r="G324" s="2" t="s">
        <v>15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IFERROR(__xludf.DUMMYFUNCTION("""COMPUTED_VALUE"""),38.48)</f>
        <v>38.48</v>
      </c>
      <c r="C325" s="1">
        <f>IFERROR(__xludf.DUMMYFUNCTION("""COMPUTED_VALUE"""),39.22)</f>
        <v>39.22</v>
      </c>
      <c r="D325" s="1">
        <f>IFERROR(__xludf.DUMMYFUNCTION("""COMPUTED_VALUE"""),38.22)</f>
        <v>38.22</v>
      </c>
      <c r="E325" s="1">
        <f>IFERROR(__xludf.DUMMYFUNCTION("""COMPUTED_VALUE"""),38.42)</f>
        <v>38.42</v>
      </c>
      <c r="F325" s="1">
        <f>IFERROR(__xludf.DUMMYFUNCTION("""COMPUTED_VALUE"""),816511.0)</f>
        <v>816511</v>
      </c>
      <c r="G325" s="2" t="s">
        <v>15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IFERROR(__xludf.DUMMYFUNCTION("""COMPUTED_VALUE"""),38.55)</f>
        <v>38.55</v>
      </c>
      <c r="C326" s="1">
        <f>IFERROR(__xludf.DUMMYFUNCTION("""COMPUTED_VALUE"""),38.55)</f>
        <v>38.55</v>
      </c>
      <c r="D326" s="1">
        <f>IFERROR(__xludf.DUMMYFUNCTION("""COMPUTED_VALUE"""),36.96)</f>
        <v>36.96</v>
      </c>
      <c r="E326" s="1">
        <f>IFERROR(__xludf.DUMMYFUNCTION("""COMPUTED_VALUE"""),37.17)</f>
        <v>37.17</v>
      </c>
      <c r="F326" s="1">
        <f>IFERROR(__xludf.DUMMYFUNCTION("""COMPUTED_VALUE"""),803634.0)</f>
        <v>803634</v>
      </c>
      <c r="G326" s="2" t="s">
        <v>15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IFERROR(__xludf.DUMMYFUNCTION("""COMPUTED_VALUE"""),37.2)</f>
        <v>37.2</v>
      </c>
      <c r="C327" s="1">
        <f>IFERROR(__xludf.DUMMYFUNCTION("""COMPUTED_VALUE"""),37.48)</f>
        <v>37.48</v>
      </c>
      <c r="D327" s="1">
        <f>IFERROR(__xludf.DUMMYFUNCTION("""COMPUTED_VALUE"""),36.54)</f>
        <v>36.54</v>
      </c>
      <c r="E327" s="1">
        <f>IFERROR(__xludf.DUMMYFUNCTION("""COMPUTED_VALUE"""),36.81)</f>
        <v>36.81</v>
      </c>
      <c r="F327" s="1">
        <f>IFERROR(__xludf.DUMMYFUNCTION("""COMPUTED_VALUE"""),733775.0)</f>
        <v>733775</v>
      </c>
      <c r="G327" s="2" t="s">
        <v>15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IFERROR(__xludf.DUMMYFUNCTION("""COMPUTED_VALUE"""),37.3)</f>
        <v>37.3</v>
      </c>
      <c r="C328" s="1">
        <f>IFERROR(__xludf.DUMMYFUNCTION("""COMPUTED_VALUE"""),37.88)</f>
        <v>37.88</v>
      </c>
      <c r="D328" s="1">
        <f>IFERROR(__xludf.DUMMYFUNCTION("""COMPUTED_VALUE"""),36.9)</f>
        <v>36.9</v>
      </c>
      <c r="E328" s="1">
        <f>IFERROR(__xludf.DUMMYFUNCTION("""COMPUTED_VALUE"""),37.51)</f>
        <v>37.51</v>
      </c>
      <c r="F328" s="1">
        <f>IFERROR(__xludf.DUMMYFUNCTION("""COMPUTED_VALUE"""),657133.0)</f>
        <v>657133</v>
      </c>
      <c r="G328" s="2" t="s">
        <v>15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IFERROR(__xludf.DUMMYFUNCTION("""COMPUTED_VALUE"""),37.55)</f>
        <v>37.55</v>
      </c>
      <c r="C329" s="1">
        <f>IFERROR(__xludf.DUMMYFUNCTION("""COMPUTED_VALUE"""),37.64)</f>
        <v>37.64</v>
      </c>
      <c r="D329" s="1">
        <f>IFERROR(__xludf.DUMMYFUNCTION("""COMPUTED_VALUE"""),36.06)</f>
        <v>36.06</v>
      </c>
      <c r="E329" s="1">
        <f>IFERROR(__xludf.DUMMYFUNCTION("""COMPUTED_VALUE"""),36.07)</f>
        <v>36.07</v>
      </c>
      <c r="F329" s="1">
        <f>IFERROR(__xludf.DUMMYFUNCTION("""COMPUTED_VALUE"""),740236.0)</f>
        <v>740236</v>
      </c>
      <c r="G329" s="2" t="s">
        <v>15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IFERROR(__xludf.DUMMYFUNCTION("""COMPUTED_VALUE"""),36.42)</f>
        <v>36.42</v>
      </c>
      <c r="C330" s="1">
        <f>IFERROR(__xludf.DUMMYFUNCTION("""COMPUTED_VALUE"""),37.1)</f>
        <v>37.1</v>
      </c>
      <c r="D330" s="1">
        <f>IFERROR(__xludf.DUMMYFUNCTION("""COMPUTED_VALUE"""),36.26)</f>
        <v>36.26</v>
      </c>
      <c r="E330" s="1">
        <f>IFERROR(__xludf.DUMMYFUNCTION("""COMPUTED_VALUE"""),36.99)</f>
        <v>36.99</v>
      </c>
      <c r="F330" s="1">
        <f>IFERROR(__xludf.DUMMYFUNCTION("""COMPUTED_VALUE"""),375334.0)</f>
        <v>375334</v>
      </c>
      <c r="G330" s="2" t="s">
        <v>15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IFERROR(__xludf.DUMMYFUNCTION("""COMPUTED_VALUE"""),37.16)</f>
        <v>37.16</v>
      </c>
      <c r="C331" s="1">
        <f>IFERROR(__xludf.DUMMYFUNCTION("""COMPUTED_VALUE"""),37.77)</f>
        <v>37.77</v>
      </c>
      <c r="D331" s="1">
        <f>IFERROR(__xludf.DUMMYFUNCTION("""COMPUTED_VALUE"""),36.79)</f>
        <v>36.79</v>
      </c>
      <c r="E331" s="1">
        <f>IFERROR(__xludf.DUMMYFUNCTION("""COMPUTED_VALUE"""),37.62)</f>
        <v>37.62</v>
      </c>
      <c r="F331" s="1">
        <f>IFERROR(__xludf.DUMMYFUNCTION("""COMPUTED_VALUE"""),668540.0)</f>
        <v>668540</v>
      </c>
      <c r="G331" s="2" t="s">
        <v>15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IFERROR(__xludf.DUMMYFUNCTION("""COMPUTED_VALUE"""),37.63)</f>
        <v>37.63</v>
      </c>
      <c r="C332" s="1">
        <f>IFERROR(__xludf.DUMMYFUNCTION("""COMPUTED_VALUE"""),38.14)</f>
        <v>38.14</v>
      </c>
      <c r="D332" s="1">
        <f>IFERROR(__xludf.DUMMYFUNCTION("""COMPUTED_VALUE"""),36.99)</f>
        <v>36.99</v>
      </c>
      <c r="E332" s="1">
        <f>IFERROR(__xludf.DUMMYFUNCTION("""COMPUTED_VALUE"""),37.31)</f>
        <v>37.31</v>
      </c>
      <c r="F332" s="1">
        <f>IFERROR(__xludf.DUMMYFUNCTION("""COMPUTED_VALUE"""),520578.0)</f>
        <v>520578</v>
      </c>
      <c r="G332" s="2" t="s">
        <v>15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IFERROR(__xludf.DUMMYFUNCTION("""COMPUTED_VALUE"""),37.43)</f>
        <v>37.43</v>
      </c>
      <c r="C333" s="1">
        <f>IFERROR(__xludf.DUMMYFUNCTION("""COMPUTED_VALUE"""),38.11)</f>
        <v>38.11</v>
      </c>
      <c r="D333" s="1">
        <f>IFERROR(__xludf.DUMMYFUNCTION("""COMPUTED_VALUE"""),36.91)</f>
        <v>36.91</v>
      </c>
      <c r="E333" s="1">
        <f>IFERROR(__xludf.DUMMYFUNCTION("""COMPUTED_VALUE"""),37.58)</f>
        <v>37.58</v>
      </c>
      <c r="F333" s="1">
        <f>IFERROR(__xludf.DUMMYFUNCTION("""COMPUTED_VALUE"""),510219.0)</f>
        <v>510219</v>
      </c>
      <c r="G333" s="2" t="s">
        <v>15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IFERROR(__xludf.DUMMYFUNCTION("""COMPUTED_VALUE"""),37.34)</f>
        <v>37.34</v>
      </c>
      <c r="C334" s="1">
        <f>IFERROR(__xludf.DUMMYFUNCTION("""COMPUTED_VALUE"""),37.7)</f>
        <v>37.7</v>
      </c>
      <c r="D334" s="1">
        <f>IFERROR(__xludf.DUMMYFUNCTION("""COMPUTED_VALUE"""),36.47)</f>
        <v>36.47</v>
      </c>
      <c r="E334" s="1">
        <f>IFERROR(__xludf.DUMMYFUNCTION("""COMPUTED_VALUE"""),37.54)</f>
        <v>37.54</v>
      </c>
      <c r="F334" s="1">
        <f>IFERROR(__xludf.DUMMYFUNCTION("""COMPUTED_VALUE"""),612752.0)</f>
        <v>612752</v>
      </c>
      <c r="G334" s="2" t="s">
        <v>15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IFERROR(__xludf.DUMMYFUNCTION("""COMPUTED_VALUE"""),37.36)</f>
        <v>37.36</v>
      </c>
      <c r="C335" s="1">
        <f>IFERROR(__xludf.DUMMYFUNCTION("""COMPUTED_VALUE"""),37.65)</f>
        <v>37.65</v>
      </c>
      <c r="D335" s="1">
        <f>IFERROR(__xludf.DUMMYFUNCTION("""COMPUTED_VALUE"""),37.02)</f>
        <v>37.02</v>
      </c>
      <c r="E335" s="1">
        <f>IFERROR(__xludf.DUMMYFUNCTION("""COMPUTED_VALUE"""),37.41)</f>
        <v>37.41</v>
      </c>
      <c r="F335" s="1">
        <f>IFERROR(__xludf.DUMMYFUNCTION("""COMPUTED_VALUE"""),813915.0)</f>
        <v>813915</v>
      </c>
      <c r="G335" s="2" t="s">
        <v>15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IFERROR(__xludf.DUMMYFUNCTION("""COMPUTED_VALUE"""),37.09)</f>
        <v>37.09</v>
      </c>
      <c r="C336" s="1">
        <f>IFERROR(__xludf.DUMMYFUNCTION("""COMPUTED_VALUE"""),37.45)</f>
        <v>37.45</v>
      </c>
      <c r="D336" s="1">
        <f>IFERROR(__xludf.DUMMYFUNCTION("""COMPUTED_VALUE"""),36.56)</f>
        <v>36.56</v>
      </c>
      <c r="E336" s="1">
        <f>IFERROR(__xludf.DUMMYFUNCTION("""COMPUTED_VALUE"""),37.45)</f>
        <v>37.45</v>
      </c>
      <c r="F336" s="1">
        <f>IFERROR(__xludf.DUMMYFUNCTION("""COMPUTED_VALUE"""),786708.0)</f>
        <v>786708</v>
      </c>
      <c r="G336" s="2" t="s">
        <v>15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IFERROR(__xludf.DUMMYFUNCTION("""COMPUTED_VALUE"""),37.3)</f>
        <v>37.3</v>
      </c>
      <c r="C337" s="1">
        <f>IFERROR(__xludf.DUMMYFUNCTION("""COMPUTED_VALUE"""),37.66)</f>
        <v>37.66</v>
      </c>
      <c r="D337" s="1">
        <f>IFERROR(__xludf.DUMMYFUNCTION("""COMPUTED_VALUE"""),36.6)</f>
        <v>36.6</v>
      </c>
      <c r="E337" s="1">
        <f>IFERROR(__xludf.DUMMYFUNCTION("""COMPUTED_VALUE"""),36.64)</f>
        <v>36.64</v>
      </c>
      <c r="F337" s="1">
        <f>IFERROR(__xludf.DUMMYFUNCTION("""COMPUTED_VALUE"""),527122.0)</f>
        <v>527122</v>
      </c>
      <c r="G337" s="2" t="s">
        <v>15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IFERROR(__xludf.DUMMYFUNCTION("""COMPUTED_VALUE"""),36.35)</f>
        <v>36.35</v>
      </c>
      <c r="C338" s="1">
        <f>IFERROR(__xludf.DUMMYFUNCTION("""COMPUTED_VALUE"""),36.35)</f>
        <v>36.35</v>
      </c>
      <c r="D338" s="1">
        <f>IFERROR(__xludf.DUMMYFUNCTION("""COMPUTED_VALUE"""),35.67)</f>
        <v>35.67</v>
      </c>
      <c r="E338" s="1">
        <f>IFERROR(__xludf.DUMMYFUNCTION("""COMPUTED_VALUE"""),35.83)</f>
        <v>35.83</v>
      </c>
      <c r="F338" s="1">
        <f>IFERROR(__xludf.DUMMYFUNCTION("""COMPUTED_VALUE"""),616937.0)</f>
        <v>616937</v>
      </c>
      <c r="G338" s="2" t="s">
        <v>15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IFERROR(__xludf.DUMMYFUNCTION("""COMPUTED_VALUE"""),35.62)</f>
        <v>35.62</v>
      </c>
      <c r="C339" s="1">
        <f>IFERROR(__xludf.DUMMYFUNCTION("""COMPUTED_VALUE"""),36.38)</f>
        <v>36.38</v>
      </c>
      <c r="D339" s="1">
        <f>IFERROR(__xludf.DUMMYFUNCTION("""COMPUTED_VALUE"""),35.31)</f>
        <v>35.31</v>
      </c>
      <c r="E339" s="1">
        <f>IFERROR(__xludf.DUMMYFUNCTION("""COMPUTED_VALUE"""),36.26)</f>
        <v>36.26</v>
      </c>
      <c r="F339" s="1">
        <f>IFERROR(__xludf.DUMMYFUNCTION("""COMPUTED_VALUE"""),598033.0)</f>
        <v>598033</v>
      </c>
      <c r="G339" s="2" t="s">
        <v>15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IFERROR(__xludf.DUMMYFUNCTION("""COMPUTED_VALUE"""),36.23)</f>
        <v>36.23</v>
      </c>
      <c r="C340" s="1">
        <f>IFERROR(__xludf.DUMMYFUNCTION("""COMPUTED_VALUE"""),37.08)</f>
        <v>37.08</v>
      </c>
      <c r="D340" s="1">
        <f>IFERROR(__xludf.DUMMYFUNCTION("""COMPUTED_VALUE"""),35.78)</f>
        <v>35.78</v>
      </c>
      <c r="E340" s="1">
        <f>IFERROR(__xludf.DUMMYFUNCTION("""COMPUTED_VALUE"""),36.88)</f>
        <v>36.88</v>
      </c>
      <c r="F340" s="1">
        <f>IFERROR(__xludf.DUMMYFUNCTION("""COMPUTED_VALUE"""),533633.0)</f>
        <v>533633</v>
      </c>
      <c r="G340" s="2" t="s">
        <v>15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IFERROR(__xludf.DUMMYFUNCTION("""COMPUTED_VALUE"""),36.92)</f>
        <v>36.92</v>
      </c>
      <c r="C341" s="1">
        <f>IFERROR(__xludf.DUMMYFUNCTION("""COMPUTED_VALUE"""),37.45)</f>
        <v>37.45</v>
      </c>
      <c r="D341" s="1">
        <f>IFERROR(__xludf.DUMMYFUNCTION("""COMPUTED_VALUE"""),36.4)</f>
        <v>36.4</v>
      </c>
      <c r="E341" s="1">
        <f>IFERROR(__xludf.DUMMYFUNCTION("""COMPUTED_VALUE"""),37.17)</f>
        <v>37.17</v>
      </c>
      <c r="F341" s="1">
        <f>IFERROR(__xludf.DUMMYFUNCTION("""COMPUTED_VALUE"""),663894.0)</f>
        <v>663894</v>
      </c>
      <c r="G341" s="2" t="s">
        <v>15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IFERROR(__xludf.DUMMYFUNCTION("""COMPUTED_VALUE"""),37.05)</f>
        <v>37.05</v>
      </c>
      <c r="C342" s="1">
        <f>IFERROR(__xludf.DUMMYFUNCTION("""COMPUTED_VALUE"""),37.37)</f>
        <v>37.37</v>
      </c>
      <c r="D342" s="1">
        <f>IFERROR(__xludf.DUMMYFUNCTION("""COMPUTED_VALUE"""),35.57)</f>
        <v>35.57</v>
      </c>
      <c r="E342" s="1">
        <f>IFERROR(__xludf.DUMMYFUNCTION("""COMPUTED_VALUE"""),35.81)</f>
        <v>35.81</v>
      </c>
      <c r="F342" s="1">
        <f>IFERROR(__xludf.DUMMYFUNCTION("""COMPUTED_VALUE"""),727569.0)</f>
        <v>727569</v>
      </c>
      <c r="G342" s="2" t="s">
        <v>15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IFERROR(__xludf.DUMMYFUNCTION("""COMPUTED_VALUE"""),35.91)</f>
        <v>35.91</v>
      </c>
      <c r="C343" s="1">
        <f>IFERROR(__xludf.DUMMYFUNCTION("""COMPUTED_VALUE"""),36.01)</f>
        <v>36.01</v>
      </c>
      <c r="D343" s="1">
        <f>IFERROR(__xludf.DUMMYFUNCTION("""COMPUTED_VALUE"""),34.7)</f>
        <v>34.7</v>
      </c>
      <c r="E343" s="1">
        <f>IFERROR(__xludf.DUMMYFUNCTION("""COMPUTED_VALUE"""),35.05)</f>
        <v>35.05</v>
      </c>
      <c r="F343" s="1">
        <f>IFERROR(__xludf.DUMMYFUNCTION("""COMPUTED_VALUE"""),996793.0)</f>
        <v>996793</v>
      </c>
      <c r="G343" s="2" t="s">
        <v>15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IFERROR(__xludf.DUMMYFUNCTION("""COMPUTED_VALUE"""),34.31)</f>
        <v>34.31</v>
      </c>
      <c r="C344" s="1">
        <f>IFERROR(__xludf.DUMMYFUNCTION("""COMPUTED_VALUE"""),34.6)</f>
        <v>34.6</v>
      </c>
      <c r="D344" s="1">
        <f>IFERROR(__xludf.DUMMYFUNCTION("""COMPUTED_VALUE"""),31.79)</f>
        <v>31.79</v>
      </c>
      <c r="E344" s="1">
        <f>IFERROR(__xludf.DUMMYFUNCTION("""COMPUTED_VALUE"""),32.59)</f>
        <v>32.59</v>
      </c>
      <c r="F344" s="1">
        <f>IFERROR(__xludf.DUMMYFUNCTION("""COMPUTED_VALUE"""),2055902.0)</f>
        <v>2055902</v>
      </c>
      <c r="G344" s="2" t="s">
        <v>15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IFERROR(__xludf.DUMMYFUNCTION("""COMPUTED_VALUE"""),32.2)</f>
        <v>32.2</v>
      </c>
      <c r="C345" s="1">
        <f>IFERROR(__xludf.DUMMYFUNCTION("""COMPUTED_VALUE"""),33.17)</f>
        <v>33.17</v>
      </c>
      <c r="D345" s="1">
        <f>IFERROR(__xludf.DUMMYFUNCTION("""COMPUTED_VALUE"""),31.9)</f>
        <v>31.9</v>
      </c>
      <c r="E345" s="1">
        <f>IFERROR(__xludf.DUMMYFUNCTION("""COMPUTED_VALUE"""),32.65)</f>
        <v>32.65</v>
      </c>
      <c r="F345" s="1">
        <f>IFERROR(__xludf.DUMMYFUNCTION("""COMPUTED_VALUE"""),1087367.0)</f>
        <v>1087367</v>
      </c>
      <c r="G345" s="2" t="s">
        <v>15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IFERROR(__xludf.DUMMYFUNCTION("""COMPUTED_VALUE"""),32.55)</f>
        <v>32.55</v>
      </c>
      <c r="C346" s="1">
        <f>IFERROR(__xludf.DUMMYFUNCTION("""COMPUTED_VALUE"""),32.62)</f>
        <v>32.62</v>
      </c>
      <c r="D346" s="1">
        <f>IFERROR(__xludf.DUMMYFUNCTION("""COMPUTED_VALUE"""),32.28)</f>
        <v>32.28</v>
      </c>
      <c r="E346" s="1">
        <f>IFERROR(__xludf.DUMMYFUNCTION("""COMPUTED_VALUE"""),32.62)</f>
        <v>32.62</v>
      </c>
      <c r="F346" s="1">
        <f>IFERROR(__xludf.DUMMYFUNCTION("""COMPUTED_VALUE"""),603739.0)</f>
        <v>603739</v>
      </c>
      <c r="G346" s="2" t="s">
        <v>15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IFERROR(__xludf.DUMMYFUNCTION("""COMPUTED_VALUE"""),32.65)</f>
        <v>32.65</v>
      </c>
      <c r="C347" s="1">
        <f>IFERROR(__xludf.DUMMYFUNCTION("""COMPUTED_VALUE"""),32.77)</f>
        <v>32.77</v>
      </c>
      <c r="D347" s="1">
        <f>IFERROR(__xludf.DUMMYFUNCTION("""COMPUTED_VALUE"""),31.63)</f>
        <v>31.63</v>
      </c>
      <c r="E347" s="1">
        <f>IFERROR(__xludf.DUMMYFUNCTION("""COMPUTED_VALUE"""),31.69)</f>
        <v>31.69</v>
      </c>
      <c r="F347" s="1">
        <f>IFERROR(__xludf.DUMMYFUNCTION("""COMPUTED_VALUE"""),1026824.0)</f>
        <v>1026824</v>
      </c>
      <c r="G347" s="2" t="s">
        <v>15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IFERROR(__xludf.DUMMYFUNCTION("""COMPUTED_VALUE"""),31.73)</f>
        <v>31.73</v>
      </c>
      <c r="C348" s="1">
        <f>IFERROR(__xludf.DUMMYFUNCTION("""COMPUTED_VALUE"""),31.94)</f>
        <v>31.94</v>
      </c>
      <c r="D348" s="1">
        <f>IFERROR(__xludf.DUMMYFUNCTION("""COMPUTED_VALUE"""),31.24)</f>
        <v>31.24</v>
      </c>
      <c r="E348" s="1">
        <f>IFERROR(__xludf.DUMMYFUNCTION("""COMPUTED_VALUE"""),31.36)</f>
        <v>31.36</v>
      </c>
      <c r="F348" s="1">
        <f>IFERROR(__xludf.DUMMYFUNCTION("""COMPUTED_VALUE"""),728662.0)</f>
        <v>728662</v>
      </c>
      <c r="G348" s="2" t="s">
        <v>15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IFERROR(__xludf.DUMMYFUNCTION("""COMPUTED_VALUE"""),31.42)</f>
        <v>31.42</v>
      </c>
      <c r="C349" s="1">
        <f>IFERROR(__xludf.DUMMYFUNCTION("""COMPUTED_VALUE"""),32.03)</f>
        <v>32.03</v>
      </c>
      <c r="D349" s="1">
        <f>IFERROR(__xludf.DUMMYFUNCTION("""COMPUTED_VALUE"""),31.39)</f>
        <v>31.39</v>
      </c>
      <c r="E349" s="1">
        <f>IFERROR(__xludf.DUMMYFUNCTION("""COMPUTED_VALUE"""),31.94)</f>
        <v>31.94</v>
      </c>
      <c r="F349" s="1">
        <f>IFERROR(__xludf.DUMMYFUNCTION("""COMPUTED_VALUE"""),597590.0)</f>
        <v>597590</v>
      </c>
      <c r="G349" s="2" t="s">
        <v>15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IFERROR(__xludf.DUMMYFUNCTION("""COMPUTED_VALUE"""),32.14)</f>
        <v>32.14</v>
      </c>
      <c r="C350" s="1">
        <f>IFERROR(__xludf.DUMMYFUNCTION("""COMPUTED_VALUE"""),32.6)</f>
        <v>32.6</v>
      </c>
      <c r="D350" s="1">
        <f>IFERROR(__xludf.DUMMYFUNCTION("""COMPUTED_VALUE"""),31.97)</f>
        <v>31.97</v>
      </c>
      <c r="E350" s="1">
        <f>IFERROR(__xludf.DUMMYFUNCTION("""COMPUTED_VALUE"""),32.2)</f>
        <v>32.2</v>
      </c>
      <c r="F350" s="1">
        <f>IFERROR(__xludf.DUMMYFUNCTION("""COMPUTED_VALUE"""),744352.0)</f>
        <v>744352</v>
      </c>
      <c r="G350" s="2" t="s">
        <v>15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IFERROR(__xludf.DUMMYFUNCTION("""COMPUTED_VALUE"""),32.25)</f>
        <v>32.25</v>
      </c>
      <c r="C351" s="1">
        <f>IFERROR(__xludf.DUMMYFUNCTION("""COMPUTED_VALUE"""),32.45)</f>
        <v>32.45</v>
      </c>
      <c r="D351" s="1">
        <f>IFERROR(__xludf.DUMMYFUNCTION("""COMPUTED_VALUE"""),31.45)</f>
        <v>31.45</v>
      </c>
      <c r="E351" s="1">
        <f>IFERROR(__xludf.DUMMYFUNCTION("""COMPUTED_VALUE"""),31.73)</f>
        <v>31.73</v>
      </c>
      <c r="F351" s="1">
        <f>IFERROR(__xludf.DUMMYFUNCTION("""COMPUTED_VALUE"""),582946.0)</f>
        <v>582946</v>
      </c>
      <c r="G351" s="2" t="s">
        <v>15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IFERROR(__xludf.DUMMYFUNCTION("""COMPUTED_VALUE"""),31.55)</f>
        <v>31.55</v>
      </c>
      <c r="C352" s="1">
        <f>IFERROR(__xludf.DUMMYFUNCTION("""COMPUTED_VALUE"""),31.77)</f>
        <v>31.77</v>
      </c>
      <c r="D352" s="1">
        <f>IFERROR(__xludf.DUMMYFUNCTION("""COMPUTED_VALUE"""),30.56)</f>
        <v>30.56</v>
      </c>
      <c r="E352" s="1">
        <f>IFERROR(__xludf.DUMMYFUNCTION("""COMPUTED_VALUE"""),30.83)</f>
        <v>30.83</v>
      </c>
      <c r="F352" s="1">
        <f>IFERROR(__xludf.DUMMYFUNCTION("""COMPUTED_VALUE"""),1128299.0)</f>
        <v>1128299</v>
      </c>
      <c r="G352" s="2" t="s">
        <v>15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IFERROR(__xludf.DUMMYFUNCTION("""COMPUTED_VALUE"""),30.65)</f>
        <v>30.65</v>
      </c>
      <c r="C353" s="1">
        <f>IFERROR(__xludf.DUMMYFUNCTION("""COMPUTED_VALUE"""),31.11)</f>
        <v>31.11</v>
      </c>
      <c r="D353" s="1">
        <f>IFERROR(__xludf.DUMMYFUNCTION("""COMPUTED_VALUE"""),30.39)</f>
        <v>30.39</v>
      </c>
      <c r="E353" s="1">
        <f>IFERROR(__xludf.DUMMYFUNCTION("""COMPUTED_VALUE"""),30.99)</f>
        <v>30.99</v>
      </c>
      <c r="F353" s="1">
        <f>IFERROR(__xludf.DUMMYFUNCTION("""COMPUTED_VALUE"""),691379.0)</f>
        <v>691379</v>
      </c>
      <c r="G353" s="2" t="s">
        <v>15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IFERROR(__xludf.DUMMYFUNCTION("""COMPUTED_VALUE"""),31.02)</f>
        <v>31.02</v>
      </c>
      <c r="C354" s="1">
        <f>IFERROR(__xludf.DUMMYFUNCTION("""COMPUTED_VALUE"""),31.25)</f>
        <v>31.25</v>
      </c>
      <c r="D354" s="1">
        <f>IFERROR(__xludf.DUMMYFUNCTION("""COMPUTED_VALUE"""),30.82)</f>
        <v>30.82</v>
      </c>
      <c r="E354" s="1">
        <f>IFERROR(__xludf.DUMMYFUNCTION("""COMPUTED_VALUE"""),31.19)</f>
        <v>31.19</v>
      </c>
      <c r="F354" s="1">
        <f>IFERROR(__xludf.DUMMYFUNCTION("""COMPUTED_VALUE"""),458955.0)</f>
        <v>458955</v>
      </c>
      <c r="G354" s="2" t="s">
        <v>15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IFERROR(__xludf.DUMMYFUNCTION("""COMPUTED_VALUE"""),31.48)</f>
        <v>31.48</v>
      </c>
      <c r="C355" s="1">
        <f>IFERROR(__xludf.DUMMYFUNCTION("""COMPUTED_VALUE"""),31.48)</f>
        <v>31.48</v>
      </c>
      <c r="D355" s="1">
        <f>IFERROR(__xludf.DUMMYFUNCTION("""COMPUTED_VALUE"""),30.87)</f>
        <v>30.87</v>
      </c>
      <c r="E355" s="1">
        <f>IFERROR(__xludf.DUMMYFUNCTION("""COMPUTED_VALUE"""),30.87)</f>
        <v>30.87</v>
      </c>
      <c r="F355" s="1">
        <f>IFERROR(__xludf.DUMMYFUNCTION("""COMPUTED_VALUE"""),779029.0)</f>
        <v>779029</v>
      </c>
      <c r="G355" s="2" t="s">
        <v>15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IFERROR(__xludf.DUMMYFUNCTION("""COMPUTED_VALUE"""),30.9)</f>
        <v>30.9</v>
      </c>
      <c r="C356" s="1">
        <f>IFERROR(__xludf.DUMMYFUNCTION("""COMPUTED_VALUE"""),31.12)</f>
        <v>31.12</v>
      </c>
      <c r="D356" s="1">
        <f>IFERROR(__xludf.DUMMYFUNCTION("""COMPUTED_VALUE"""),30.52)</f>
        <v>30.52</v>
      </c>
      <c r="E356" s="1">
        <f>IFERROR(__xludf.DUMMYFUNCTION("""COMPUTED_VALUE"""),30.91)</f>
        <v>30.91</v>
      </c>
      <c r="F356" s="1">
        <f>IFERROR(__xludf.DUMMYFUNCTION("""COMPUTED_VALUE"""),509553.0)</f>
        <v>509553</v>
      </c>
      <c r="G356" s="2" t="s">
        <v>15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IFERROR(__xludf.DUMMYFUNCTION("""COMPUTED_VALUE"""),30.68)</f>
        <v>30.68</v>
      </c>
      <c r="C357" s="1">
        <f>IFERROR(__xludf.DUMMYFUNCTION("""COMPUTED_VALUE"""),30.84)</f>
        <v>30.84</v>
      </c>
      <c r="D357" s="1">
        <f>IFERROR(__xludf.DUMMYFUNCTION("""COMPUTED_VALUE"""),29.97)</f>
        <v>29.97</v>
      </c>
      <c r="E357" s="1">
        <f>IFERROR(__xludf.DUMMYFUNCTION("""COMPUTED_VALUE"""),30.09)</f>
        <v>30.09</v>
      </c>
      <c r="F357" s="1">
        <f>IFERROR(__xludf.DUMMYFUNCTION("""COMPUTED_VALUE"""),743878.0)</f>
        <v>743878</v>
      </c>
      <c r="G357" s="2" t="s">
        <v>15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IFERROR(__xludf.DUMMYFUNCTION("""COMPUTED_VALUE"""),29.8)</f>
        <v>29.8</v>
      </c>
      <c r="C358" s="1">
        <f>IFERROR(__xludf.DUMMYFUNCTION("""COMPUTED_VALUE"""),29.8)</f>
        <v>29.8</v>
      </c>
      <c r="D358" s="1">
        <f>IFERROR(__xludf.DUMMYFUNCTION("""COMPUTED_VALUE"""),28.89)</f>
        <v>28.89</v>
      </c>
      <c r="E358" s="1">
        <f>IFERROR(__xludf.DUMMYFUNCTION("""COMPUTED_VALUE"""),29.02)</f>
        <v>29.02</v>
      </c>
      <c r="F358" s="1">
        <f>IFERROR(__xludf.DUMMYFUNCTION("""COMPUTED_VALUE"""),809622.0)</f>
        <v>809622</v>
      </c>
      <c r="G358" s="2" t="s">
        <v>15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IFERROR(__xludf.DUMMYFUNCTION("""COMPUTED_VALUE"""),29.1)</f>
        <v>29.1</v>
      </c>
      <c r="C359" s="1">
        <f>IFERROR(__xludf.DUMMYFUNCTION("""COMPUTED_VALUE"""),29.12)</f>
        <v>29.12</v>
      </c>
      <c r="D359" s="1">
        <f>IFERROR(__xludf.DUMMYFUNCTION("""COMPUTED_VALUE"""),28.25)</f>
        <v>28.25</v>
      </c>
      <c r="E359" s="1">
        <f>IFERROR(__xludf.DUMMYFUNCTION("""COMPUTED_VALUE"""),28.48)</f>
        <v>28.48</v>
      </c>
      <c r="F359" s="1">
        <f>IFERROR(__xludf.DUMMYFUNCTION("""COMPUTED_VALUE"""),832279.0)</f>
        <v>832279</v>
      </c>
      <c r="G359" s="2" t="s">
        <v>15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IFERROR(__xludf.DUMMYFUNCTION("""COMPUTED_VALUE"""),28.36)</f>
        <v>28.36</v>
      </c>
      <c r="C360" s="1">
        <f>IFERROR(__xludf.DUMMYFUNCTION("""COMPUTED_VALUE"""),28.65)</f>
        <v>28.65</v>
      </c>
      <c r="D360" s="1">
        <f>IFERROR(__xludf.DUMMYFUNCTION("""COMPUTED_VALUE"""),27.76)</f>
        <v>27.76</v>
      </c>
      <c r="E360" s="1">
        <f>IFERROR(__xludf.DUMMYFUNCTION("""COMPUTED_VALUE"""),28.39)</f>
        <v>28.39</v>
      </c>
      <c r="F360" s="1">
        <f>IFERROR(__xludf.DUMMYFUNCTION("""COMPUTED_VALUE"""),880520.0)</f>
        <v>880520</v>
      </c>
      <c r="G360" s="2" t="s">
        <v>15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IFERROR(__xludf.DUMMYFUNCTION("""COMPUTED_VALUE"""),28.59)</f>
        <v>28.59</v>
      </c>
      <c r="C361" s="1">
        <f>IFERROR(__xludf.DUMMYFUNCTION("""COMPUTED_VALUE"""),28.59)</f>
        <v>28.59</v>
      </c>
      <c r="D361" s="1">
        <f>IFERROR(__xludf.DUMMYFUNCTION("""COMPUTED_VALUE"""),27.99)</f>
        <v>27.99</v>
      </c>
      <c r="E361" s="1">
        <f>IFERROR(__xludf.DUMMYFUNCTION("""COMPUTED_VALUE"""),28.12)</f>
        <v>28.12</v>
      </c>
      <c r="F361" s="1">
        <f>IFERROR(__xludf.DUMMYFUNCTION("""COMPUTED_VALUE"""),346583.0)</f>
        <v>346583</v>
      </c>
      <c r="G361" s="2" t="s">
        <v>15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IFERROR(__xludf.DUMMYFUNCTION("""COMPUTED_VALUE"""),28.21)</f>
        <v>28.21</v>
      </c>
      <c r="C362" s="1">
        <f>IFERROR(__xludf.DUMMYFUNCTION("""COMPUTED_VALUE"""),28.52)</f>
        <v>28.52</v>
      </c>
      <c r="D362" s="1">
        <f>IFERROR(__xludf.DUMMYFUNCTION("""COMPUTED_VALUE"""),27.78)</f>
        <v>27.78</v>
      </c>
      <c r="E362" s="1">
        <f>IFERROR(__xludf.DUMMYFUNCTION("""COMPUTED_VALUE"""),27.78)</f>
        <v>27.78</v>
      </c>
      <c r="F362" s="1">
        <f>IFERROR(__xludf.DUMMYFUNCTION("""COMPUTED_VALUE"""),522842.0)</f>
        <v>522842</v>
      </c>
      <c r="G362" s="2" t="s">
        <v>15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IFERROR(__xludf.DUMMYFUNCTION("""COMPUTED_VALUE"""),27.49)</f>
        <v>27.49</v>
      </c>
      <c r="C363" s="1">
        <f>IFERROR(__xludf.DUMMYFUNCTION("""COMPUTED_VALUE"""),27.49)</f>
        <v>27.49</v>
      </c>
      <c r="D363" s="1">
        <f>IFERROR(__xludf.DUMMYFUNCTION("""COMPUTED_VALUE"""),26.78)</f>
        <v>26.78</v>
      </c>
      <c r="E363" s="1">
        <f>IFERROR(__xludf.DUMMYFUNCTION("""COMPUTED_VALUE"""),27.04)</f>
        <v>27.04</v>
      </c>
      <c r="F363" s="1">
        <f>IFERROR(__xludf.DUMMYFUNCTION("""COMPUTED_VALUE"""),1345304.0)</f>
        <v>1345304</v>
      </c>
      <c r="G363" s="2" t="s">
        <v>15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IFERROR(__xludf.DUMMYFUNCTION("""COMPUTED_VALUE"""),27.48)</f>
        <v>27.48</v>
      </c>
      <c r="C364" s="1">
        <f>IFERROR(__xludf.DUMMYFUNCTION("""COMPUTED_VALUE"""),27.48)</f>
        <v>27.48</v>
      </c>
      <c r="D364" s="1">
        <f>IFERROR(__xludf.DUMMYFUNCTION("""COMPUTED_VALUE"""),26.28)</f>
        <v>26.28</v>
      </c>
      <c r="E364" s="1">
        <f>IFERROR(__xludf.DUMMYFUNCTION("""COMPUTED_VALUE"""),26.48)</f>
        <v>26.48</v>
      </c>
      <c r="F364" s="1">
        <f>IFERROR(__xludf.DUMMYFUNCTION("""COMPUTED_VALUE"""),1201631.0)</f>
        <v>1201631</v>
      </c>
      <c r="G364" s="2" t="s">
        <v>15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IFERROR(__xludf.DUMMYFUNCTION("""COMPUTED_VALUE"""),26.87)</f>
        <v>26.87</v>
      </c>
      <c r="C365" s="1">
        <f>IFERROR(__xludf.DUMMYFUNCTION("""COMPUTED_VALUE"""),27.26)</f>
        <v>27.26</v>
      </c>
      <c r="D365" s="1">
        <f>IFERROR(__xludf.DUMMYFUNCTION("""COMPUTED_VALUE"""),26.81)</f>
        <v>26.81</v>
      </c>
      <c r="E365" s="1">
        <f>IFERROR(__xludf.DUMMYFUNCTION("""COMPUTED_VALUE"""),27.12)</f>
        <v>27.12</v>
      </c>
      <c r="F365" s="1">
        <f>IFERROR(__xludf.DUMMYFUNCTION("""COMPUTED_VALUE"""),1190743.0)</f>
        <v>1190743</v>
      </c>
      <c r="G365" s="2" t="s">
        <v>15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IFERROR(__xludf.DUMMYFUNCTION("""COMPUTED_VALUE"""),27.09)</f>
        <v>27.09</v>
      </c>
      <c r="C366" s="1">
        <f>IFERROR(__xludf.DUMMYFUNCTION("""COMPUTED_VALUE"""),27.13)</f>
        <v>27.13</v>
      </c>
      <c r="D366" s="1">
        <f>IFERROR(__xludf.DUMMYFUNCTION("""COMPUTED_VALUE"""),26.09)</f>
        <v>26.09</v>
      </c>
      <c r="E366" s="1">
        <f>IFERROR(__xludf.DUMMYFUNCTION("""COMPUTED_VALUE"""),26.09)</f>
        <v>26.09</v>
      </c>
      <c r="F366" s="1">
        <f>IFERROR(__xludf.DUMMYFUNCTION("""COMPUTED_VALUE"""),1217244.0)</f>
        <v>1217244</v>
      </c>
      <c r="G366" s="2" t="s">
        <v>15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IFERROR(__xludf.DUMMYFUNCTION("""COMPUTED_VALUE"""),25.94)</f>
        <v>25.94</v>
      </c>
      <c r="C367" s="1">
        <f>IFERROR(__xludf.DUMMYFUNCTION("""COMPUTED_VALUE"""),26.05)</f>
        <v>26.05</v>
      </c>
      <c r="D367" s="1">
        <f>IFERROR(__xludf.DUMMYFUNCTION("""COMPUTED_VALUE"""),25.22)</f>
        <v>25.22</v>
      </c>
      <c r="E367" s="1">
        <f>IFERROR(__xludf.DUMMYFUNCTION("""COMPUTED_VALUE"""),25.51)</f>
        <v>25.51</v>
      </c>
      <c r="F367" s="1">
        <f>IFERROR(__xludf.DUMMYFUNCTION("""COMPUTED_VALUE"""),1430579.0)</f>
        <v>1430579</v>
      </c>
      <c r="G367" s="2" t="s">
        <v>15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IFERROR(__xludf.DUMMYFUNCTION("""COMPUTED_VALUE"""),25.67)</f>
        <v>25.67</v>
      </c>
      <c r="C368" s="1">
        <f>IFERROR(__xludf.DUMMYFUNCTION("""COMPUTED_VALUE"""),26.01)</f>
        <v>26.01</v>
      </c>
      <c r="D368" s="1">
        <f>IFERROR(__xludf.DUMMYFUNCTION("""COMPUTED_VALUE"""),24.83)</f>
        <v>24.83</v>
      </c>
      <c r="E368" s="1">
        <f>IFERROR(__xludf.DUMMYFUNCTION("""COMPUTED_VALUE"""),24.83)</f>
        <v>24.83</v>
      </c>
      <c r="F368" s="1">
        <f>IFERROR(__xludf.DUMMYFUNCTION("""COMPUTED_VALUE"""),1569665.0)</f>
        <v>1569665</v>
      </c>
      <c r="G368" s="2" t="s">
        <v>15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IFERROR(__xludf.DUMMYFUNCTION("""COMPUTED_VALUE"""),24.52)</f>
        <v>24.52</v>
      </c>
      <c r="C369" s="1">
        <f>IFERROR(__xludf.DUMMYFUNCTION("""COMPUTED_VALUE"""),24.72)</f>
        <v>24.72</v>
      </c>
      <c r="D369" s="1">
        <f>IFERROR(__xludf.DUMMYFUNCTION("""COMPUTED_VALUE"""),24.21)</f>
        <v>24.21</v>
      </c>
      <c r="E369" s="1">
        <f>IFERROR(__xludf.DUMMYFUNCTION("""COMPUTED_VALUE"""),24.65)</f>
        <v>24.65</v>
      </c>
      <c r="F369" s="1">
        <f>IFERROR(__xludf.DUMMYFUNCTION("""COMPUTED_VALUE"""),978235.0)</f>
        <v>978235</v>
      </c>
      <c r="G369" s="2" t="s">
        <v>15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IFERROR(__xludf.DUMMYFUNCTION("""COMPUTED_VALUE"""),24.82)</f>
        <v>24.82</v>
      </c>
      <c r="C370" s="1">
        <f>IFERROR(__xludf.DUMMYFUNCTION("""COMPUTED_VALUE"""),24.89)</f>
        <v>24.89</v>
      </c>
      <c r="D370" s="1">
        <f>IFERROR(__xludf.DUMMYFUNCTION("""COMPUTED_VALUE"""),24.02)</f>
        <v>24.02</v>
      </c>
      <c r="E370" s="1">
        <f>IFERROR(__xludf.DUMMYFUNCTION("""COMPUTED_VALUE"""),24.34)</f>
        <v>24.34</v>
      </c>
      <c r="F370" s="1">
        <f>IFERROR(__xludf.DUMMYFUNCTION("""COMPUTED_VALUE"""),1141310.0)</f>
        <v>1141310</v>
      </c>
      <c r="G370" s="2" t="s">
        <v>15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IFERROR(__xludf.DUMMYFUNCTION("""COMPUTED_VALUE"""),24.57)</f>
        <v>24.57</v>
      </c>
      <c r="C371" s="1">
        <f>IFERROR(__xludf.DUMMYFUNCTION("""COMPUTED_VALUE"""),24.99)</f>
        <v>24.99</v>
      </c>
      <c r="D371" s="1">
        <f>IFERROR(__xludf.DUMMYFUNCTION("""COMPUTED_VALUE"""),24.51)</f>
        <v>24.51</v>
      </c>
      <c r="E371" s="1">
        <f>IFERROR(__xludf.DUMMYFUNCTION("""COMPUTED_VALUE"""),24.72)</f>
        <v>24.72</v>
      </c>
      <c r="F371" s="1">
        <f>IFERROR(__xludf.DUMMYFUNCTION("""COMPUTED_VALUE"""),891847.0)</f>
        <v>891847</v>
      </c>
      <c r="G371" s="2" t="s">
        <v>15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IFERROR(__xludf.DUMMYFUNCTION("""COMPUTED_VALUE"""),25.15)</f>
        <v>25.15</v>
      </c>
      <c r="C372" s="1">
        <f>IFERROR(__xludf.DUMMYFUNCTION("""COMPUTED_VALUE"""),25.57)</f>
        <v>25.57</v>
      </c>
      <c r="D372" s="1">
        <f>IFERROR(__xludf.DUMMYFUNCTION("""COMPUTED_VALUE"""),24.7)</f>
        <v>24.7</v>
      </c>
      <c r="E372" s="1">
        <f>IFERROR(__xludf.DUMMYFUNCTION("""COMPUTED_VALUE"""),25.36)</f>
        <v>25.36</v>
      </c>
      <c r="F372" s="1">
        <f>IFERROR(__xludf.DUMMYFUNCTION("""COMPUTED_VALUE"""),1525374.0)</f>
        <v>1525374</v>
      </c>
      <c r="G372" s="2" t="s">
        <v>15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IFERROR(__xludf.DUMMYFUNCTION("""COMPUTED_VALUE"""),25.1)</f>
        <v>25.1</v>
      </c>
      <c r="C373" s="1">
        <f>IFERROR(__xludf.DUMMYFUNCTION("""COMPUTED_VALUE"""),26.48)</f>
        <v>26.48</v>
      </c>
      <c r="D373" s="1">
        <f>IFERROR(__xludf.DUMMYFUNCTION("""COMPUTED_VALUE"""),25.08)</f>
        <v>25.08</v>
      </c>
      <c r="E373" s="1">
        <f>IFERROR(__xludf.DUMMYFUNCTION("""COMPUTED_VALUE"""),26.42)</f>
        <v>26.42</v>
      </c>
      <c r="F373" s="1">
        <f>IFERROR(__xludf.DUMMYFUNCTION("""COMPUTED_VALUE"""),1665074.0)</f>
        <v>1665074</v>
      </c>
      <c r="G373" s="2" t="s">
        <v>15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IFERROR(__xludf.DUMMYFUNCTION("""COMPUTED_VALUE"""),26.0)</f>
        <v>26</v>
      </c>
      <c r="C374" s="1">
        <f>IFERROR(__xludf.DUMMYFUNCTION("""COMPUTED_VALUE"""),27.0)</f>
        <v>27</v>
      </c>
      <c r="D374" s="1">
        <f>IFERROR(__xludf.DUMMYFUNCTION("""COMPUTED_VALUE"""),25.25)</f>
        <v>25.25</v>
      </c>
      <c r="E374" s="1">
        <f>IFERROR(__xludf.DUMMYFUNCTION("""COMPUTED_VALUE"""),25.75)</f>
        <v>25.75</v>
      </c>
      <c r="F374" s="1">
        <f>IFERROR(__xludf.DUMMYFUNCTION("""COMPUTED_VALUE"""),2131175.0)</f>
        <v>2131175</v>
      </c>
      <c r="G374" s="2" t="s">
        <v>15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IFERROR(__xludf.DUMMYFUNCTION("""COMPUTED_VALUE"""),26.26)</f>
        <v>26.26</v>
      </c>
      <c r="C375" s="1">
        <f>IFERROR(__xludf.DUMMYFUNCTION("""COMPUTED_VALUE"""),27.28)</f>
        <v>27.28</v>
      </c>
      <c r="D375" s="1">
        <f>IFERROR(__xludf.DUMMYFUNCTION("""COMPUTED_VALUE"""),26.08)</f>
        <v>26.08</v>
      </c>
      <c r="E375" s="1">
        <f>IFERROR(__xludf.DUMMYFUNCTION("""COMPUTED_VALUE"""),26.66)</f>
        <v>26.66</v>
      </c>
      <c r="F375" s="1">
        <f>IFERROR(__xludf.DUMMYFUNCTION("""COMPUTED_VALUE"""),3452504.0)</f>
        <v>3452504</v>
      </c>
      <c r="G375" s="2" t="s">
        <v>15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IFERROR(__xludf.DUMMYFUNCTION("""COMPUTED_VALUE"""),26.4)</f>
        <v>26.4</v>
      </c>
      <c r="C376" s="1">
        <f>IFERROR(__xludf.DUMMYFUNCTION("""COMPUTED_VALUE"""),26.58)</f>
        <v>26.58</v>
      </c>
      <c r="D376" s="1">
        <f>IFERROR(__xludf.DUMMYFUNCTION("""COMPUTED_VALUE"""),26.07)</f>
        <v>26.07</v>
      </c>
      <c r="E376" s="1">
        <f>IFERROR(__xludf.DUMMYFUNCTION("""COMPUTED_VALUE"""),26.19)</f>
        <v>26.19</v>
      </c>
      <c r="F376" s="1">
        <f>IFERROR(__xludf.DUMMYFUNCTION("""COMPUTED_VALUE"""),824078.0)</f>
        <v>824078</v>
      </c>
      <c r="G376" s="2" t="s">
        <v>15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IFERROR(__xludf.DUMMYFUNCTION("""COMPUTED_VALUE"""),25.88)</f>
        <v>25.88</v>
      </c>
      <c r="C377" s="1">
        <f>IFERROR(__xludf.DUMMYFUNCTION("""COMPUTED_VALUE"""),26.08)</f>
        <v>26.08</v>
      </c>
      <c r="D377" s="1">
        <f>IFERROR(__xludf.DUMMYFUNCTION("""COMPUTED_VALUE"""),25.39)</f>
        <v>25.39</v>
      </c>
      <c r="E377" s="1">
        <f>IFERROR(__xludf.DUMMYFUNCTION("""COMPUTED_VALUE"""),25.77)</f>
        <v>25.77</v>
      </c>
      <c r="F377" s="1">
        <f>IFERROR(__xludf.DUMMYFUNCTION("""COMPUTED_VALUE"""),672170.0)</f>
        <v>672170</v>
      </c>
      <c r="G377" s="2" t="s">
        <v>15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IFERROR(__xludf.DUMMYFUNCTION("""COMPUTED_VALUE"""),25.69)</f>
        <v>25.69</v>
      </c>
      <c r="C378" s="1">
        <f>IFERROR(__xludf.DUMMYFUNCTION("""COMPUTED_VALUE"""),26.06)</f>
        <v>26.06</v>
      </c>
      <c r="D378" s="1">
        <f>IFERROR(__xludf.DUMMYFUNCTION("""COMPUTED_VALUE"""),25.52)</f>
        <v>25.52</v>
      </c>
      <c r="E378" s="1">
        <f>IFERROR(__xludf.DUMMYFUNCTION("""COMPUTED_VALUE"""),25.6)</f>
        <v>25.6</v>
      </c>
      <c r="F378" s="1">
        <f>IFERROR(__xludf.DUMMYFUNCTION("""COMPUTED_VALUE"""),588056.0)</f>
        <v>588056</v>
      </c>
      <c r="G378" s="2" t="s">
        <v>15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IFERROR(__xludf.DUMMYFUNCTION("""COMPUTED_VALUE"""),25.37)</f>
        <v>25.37</v>
      </c>
      <c r="C379" s="1">
        <f>IFERROR(__xludf.DUMMYFUNCTION("""COMPUTED_VALUE"""),26.66)</f>
        <v>26.66</v>
      </c>
      <c r="D379" s="1">
        <f>IFERROR(__xludf.DUMMYFUNCTION("""COMPUTED_VALUE"""),25.26)</f>
        <v>25.26</v>
      </c>
      <c r="E379" s="1">
        <f>IFERROR(__xludf.DUMMYFUNCTION("""COMPUTED_VALUE"""),26.6)</f>
        <v>26.6</v>
      </c>
      <c r="F379" s="1">
        <f>IFERROR(__xludf.DUMMYFUNCTION("""COMPUTED_VALUE"""),1057520.0)</f>
        <v>1057520</v>
      </c>
      <c r="G379" s="2" t="s">
        <v>15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IFERROR(__xludf.DUMMYFUNCTION("""COMPUTED_VALUE"""),26.26)</f>
        <v>26.26</v>
      </c>
      <c r="C380" s="1">
        <f>IFERROR(__xludf.DUMMYFUNCTION("""COMPUTED_VALUE"""),26.95)</f>
        <v>26.95</v>
      </c>
      <c r="D380" s="1">
        <f>IFERROR(__xludf.DUMMYFUNCTION("""COMPUTED_VALUE"""),26.16)</f>
        <v>26.16</v>
      </c>
      <c r="E380" s="1">
        <f>IFERROR(__xludf.DUMMYFUNCTION("""COMPUTED_VALUE"""),26.65)</f>
        <v>26.65</v>
      </c>
      <c r="F380" s="1">
        <f>IFERROR(__xludf.DUMMYFUNCTION("""COMPUTED_VALUE"""),1155923.0)</f>
        <v>1155923</v>
      </c>
      <c r="G380" s="2" t="s">
        <v>15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IFERROR(__xludf.DUMMYFUNCTION("""COMPUTED_VALUE"""),26.8)</f>
        <v>26.8</v>
      </c>
      <c r="C381" s="1">
        <f>IFERROR(__xludf.DUMMYFUNCTION("""COMPUTED_VALUE"""),27.35)</f>
        <v>27.35</v>
      </c>
      <c r="D381" s="1">
        <f>IFERROR(__xludf.DUMMYFUNCTION("""COMPUTED_VALUE"""),26.44)</f>
        <v>26.44</v>
      </c>
      <c r="E381" s="1">
        <f>IFERROR(__xludf.DUMMYFUNCTION("""COMPUTED_VALUE"""),27.15)</f>
        <v>27.15</v>
      </c>
      <c r="F381" s="1">
        <f>IFERROR(__xludf.DUMMYFUNCTION("""COMPUTED_VALUE"""),841759.0)</f>
        <v>841759</v>
      </c>
      <c r="G381" s="2" t="s">
        <v>15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IFERROR(__xludf.DUMMYFUNCTION("""COMPUTED_VALUE"""),27.04)</f>
        <v>27.04</v>
      </c>
      <c r="C382" s="1">
        <f>IFERROR(__xludf.DUMMYFUNCTION("""COMPUTED_VALUE"""),28.05)</f>
        <v>28.05</v>
      </c>
      <c r="D382" s="1">
        <f>IFERROR(__xludf.DUMMYFUNCTION("""COMPUTED_VALUE"""),27.04)</f>
        <v>27.04</v>
      </c>
      <c r="E382" s="1">
        <f>IFERROR(__xludf.DUMMYFUNCTION("""COMPUTED_VALUE"""),27.8)</f>
        <v>27.8</v>
      </c>
      <c r="F382" s="1">
        <f>IFERROR(__xludf.DUMMYFUNCTION("""COMPUTED_VALUE"""),892341.0)</f>
        <v>892341</v>
      </c>
      <c r="G382" s="2" t="s">
        <v>15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IFERROR(__xludf.DUMMYFUNCTION("""COMPUTED_VALUE"""),27.98)</f>
        <v>27.98</v>
      </c>
      <c r="C383" s="1">
        <f>IFERROR(__xludf.DUMMYFUNCTION("""COMPUTED_VALUE"""),28.11)</f>
        <v>28.11</v>
      </c>
      <c r="D383" s="1">
        <f>IFERROR(__xludf.DUMMYFUNCTION("""COMPUTED_VALUE"""),25.74)</f>
        <v>25.74</v>
      </c>
      <c r="E383" s="1">
        <f>IFERROR(__xludf.DUMMYFUNCTION("""COMPUTED_VALUE"""),26.2)</f>
        <v>26.2</v>
      </c>
      <c r="F383" s="1">
        <f>IFERROR(__xludf.DUMMYFUNCTION("""COMPUTED_VALUE"""),1837633.0)</f>
        <v>1837633</v>
      </c>
      <c r="G383" s="2" t="s">
        <v>15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IFERROR(__xludf.DUMMYFUNCTION("""COMPUTED_VALUE"""),26.06)</f>
        <v>26.06</v>
      </c>
      <c r="C384" s="1">
        <f>IFERROR(__xludf.DUMMYFUNCTION("""COMPUTED_VALUE"""),26.75)</f>
        <v>26.75</v>
      </c>
      <c r="D384" s="1">
        <f>IFERROR(__xludf.DUMMYFUNCTION("""COMPUTED_VALUE"""),25.98)</f>
        <v>25.98</v>
      </c>
      <c r="E384" s="1">
        <f>IFERROR(__xludf.DUMMYFUNCTION("""COMPUTED_VALUE"""),26.2)</f>
        <v>26.2</v>
      </c>
      <c r="F384" s="1">
        <f>IFERROR(__xludf.DUMMYFUNCTION("""COMPUTED_VALUE"""),1064221.0)</f>
        <v>1064221</v>
      </c>
      <c r="G384" s="2" t="s">
        <v>15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IFERROR(__xludf.DUMMYFUNCTION("""COMPUTED_VALUE"""),26.19)</f>
        <v>26.19</v>
      </c>
      <c r="C385" s="1">
        <f>IFERROR(__xludf.DUMMYFUNCTION("""COMPUTED_VALUE"""),26.43)</f>
        <v>26.43</v>
      </c>
      <c r="D385" s="1">
        <f>IFERROR(__xludf.DUMMYFUNCTION("""COMPUTED_VALUE"""),25.98)</f>
        <v>25.98</v>
      </c>
      <c r="E385" s="1">
        <f>IFERROR(__xludf.DUMMYFUNCTION("""COMPUTED_VALUE"""),26.36)</f>
        <v>26.36</v>
      </c>
      <c r="F385" s="1">
        <f>IFERROR(__xludf.DUMMYFUNCTION("""COMPUTED_VALUE"""),985219.0)</f>
        <v>985219</v>
      </c>
      <c r="G385" s="2" t="s">
        <v>15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IFERROR(__xludf.DUMMYFUNCTION("""COMPUTED_VALUE"""),26.08)</f>
        <v>26.08</v>
      </c>
      <c r="C386" s="1">
        <f>IFERROR(__xludf.DUMMYFUNCTION("""COMPUTED_VALUE"""),26.47)</f>
        <v>26.47</v>
      </c>
      <c r="D386" s="1">
        <f>IFERROR(__xludf.DUMMYFUNCTION("""COMPUTED_VALUE"""),25.47)</f>
        <v>25.47</v>
      </c>
      <c r="E386" s="1">
        <f>IFERROR(__xludf.DUMMYFUNCTION("""COMPUTED_VALUE"""),25.84)</f>
        <v>25.84</v>
      </c>
      <c r="F386" s="1">
        <f>IFERROR(__xludf.DUMMYFUNCTION("""COMPUTED_VALUE"""),1066804.0)</f>
        <v>1066804</v>
      </c>
      <c r="G386" s="2" t="s">
        <v>15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IFERROR(__xludf.DUMMYFUNCTION("""COMPUTED_VALUE"""),25.7)</f>
        <v>25.7</v>
      </c>
      <c r="C387" s="1">
        <f>IFERROR(__xludf.DUMMYFUNCTION("""COMPUTED_VALUE"""),26.1)</f>
        <v>26.1</v>
      </c>
      <c r="D387" s="1">
        <f>IFERROR(__xludf.DUMMYFUNCTION("""COMPUTED_VALUE"""),25.52)</f>
        <v>25.52</v>
      </c>
      <c r="E387" s="1">
        <f>IFERROR(__xludf.DUMMYFUNCTION("""COMPUTED_VALUE"""),25.95)</f>
        <v>25.95</v>
      </c>
      <c r="F387" s="1">
        <f>IFERROR(__xludf.DUMMYFUNCTION("""COMPUTED_VALUE"""),749035.0)</f>
        <v>749035</v>
      </c>
      <c r="G387" s="2" t="s">
        <v>15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IFERROR(__xludf.DUMMYFUNCTION("""COMPUTED_VALUE"""),25.56)</f>
        <v>25.56</v>
      </c>
      <c r="C388" s="1">
        <f>IFERROR(__xludf.DUMMYFUNCTION("""COMPUTED_VALUE"""),25.66)</f>
        <v>25.66</v>
      </c>
      <c r="D388" s="1">
        <f>IFERROR(__xludf.DUMMYFUNCTION("""COMPUTED_VALUE"""),25.06)</f>
        <v>25.06</v>
      </c>
      <c r="E388" s="1">
        <f>IFERROR(__xludf.DUMMYFUNCTION("""COMPUTED_VALUE"""),25.35)</f>
        <v>25.35</v>
      </c>
      <c r="F388" s="1">
        <f>IFERROR(__xludf.DUMMYFUNCTION("""COMPUTED_VALUE"""),1138643.0)</f>
        <v>1138643</v>
      </c>
      <c r="G388" s="2" t="s">
        <v>15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IFERROR(__xludf.DUMMYFUNCTION("""COMPUTED_VALUE"""),25.17)</f>
        <v>25.17</v>
      </c>
      <c r="C389" s="1">
        <f>IFERROR(__xludf.DUMMYFUNCTION("""COMPUTED_VALUE"""),25.35)</f>
        <v>25.35</v>
      </c>
      <c r="D389" s="1">
        <f>IFERROR(__xludf.DUMMYFUNCTION("""COMPUTED_VALUE"""),23.93)</f>
        <v>23.93</v>
      </c>
      <c r="E389" s="1">
        <f>IFERROR(__xludf.DUMMYFUNCTION("""COMPUTED_VALUE"""),24.15)</f>
        <v>24.15</v>
      </c>
      <c r="F389" s="1">
        <f>IFERROR(__xludf.DUMMYFUNCTION("""COMPUTED_VALUE"""),1178754.0)</f>
        <v>1178754</v>
      </c>
      <c r="G389" s="2" t="s">
        <v>15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IFERROR(__xludf.DUMMYFUNCTION("""COMPUTED_VALUE"""),24.14)</f>
        <v>24.14</v>
      </c>
      <c r="C390" s="1">
        <f>IFERROR(__xludf.DUMMYFUNCTION("""COMPUTED_VALUE"""),24.78)</f>
        <v>24.78</v>
      </c>
      <c r="D390" s="1">
        <f>IFERROR(__xludf.DUMMYFUNCTION("""COMPUTED_VALUE"""),23.82)</f>
        <v>23.82</v>
      </c>
      <c r="E390" s="1">
        <f>IFERROR(__xludf.DUMMYFUNCTION("""COMPUTED_VALUE"""),24.69)</f>
        <v>24.69</v>
      </c>
      <c r="F390" s="1">
        <f>IFERROR(__xludf.DUMMYFUNCTION("""COMPUTED_VALUE"""),994783.0)</f>
        <v>994783</v>
      </c>
      <c r="G390" s="2" t="s">
        <v>15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IFERROR(__xludf.DUMMYFUNCTION("""COMPUTED_VALUE"""),24.58)</f>
        <v>24.58</v>
      </c>
      <c r="C391" s="1">
        <f>IFERROR(__xludf.DUMMYFUNCTION("""COMPUTED_VALUE"""),24.89)</f>
        <v>24.89</v>
      </c>
      <c r="D391" s="1">
        <f>IFERROR(__xludf.DUMMYFUNCTION("""COMPUTED_VALUE"""),24.19)</f>
        <v>24.19</v>
      </c>
      <c r="E391" s="1">
        <f>IFERROR(__xludf.DUMMYFUNCTION("""COMPUTED_VALUE"""),24.89)</f>
        <v>24.89</v>
      </c>
      <c r="F391" s="1">
        <f>IFERROR(__xludf.DUMMYFUNCTION("""COMPUTED_VALUE"""),603691.0)</f>
        <v>603691</v>
      </c>
      <c r="G391" s="2" t="s">
        <v>15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IFERROR(__xludf.DUMMYFUNCTION("""COMPUTED_VALUE"""),25.3)</f>
        <v>25.3</v>
      </c>
      <c r="C392" s="1">
        <f>IFERROR(__xludf.DUMMYFUNCTION("""COMPUTED_VALUE"""),25.83)</f>
        <v>25.83</v>
      </c>
      <c r="D392" s="1">
        <f>IFERROR(__xludf.DUMMYFUNCTION("""COMPUTED_VALUE"""),25.0)</f>
        <v>25</v>
      </c>
      <c r="E392" s="1">
        <f>IFERROR(__xludf.DUMMYFUNCTION("""COMPUTED_VALUE"""),25.79)</f>
        <v>25.79</v>
      </c>
      <c r="F392" s="1">
        <f>IFERROR(__xludf.DUMMYFUNCTION("""COMPUTED_VALUE"""),1058460.0)</f>
        <v>1058460</v>
      </c>
      <c r="G392" s="2" t="s">
        <v>15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IFERROR(__xludf.DUMMYFUNCTION("""COMPUTED_VALUE"""),26.3)</f>
        <v>26.3</v>
      </c>
      <c r="C393" s="1">
        <f>IFERROR(__xludf.DUMMYFUNCTION("""COMPUTED_VALUE"""),29.37)</f>
        <v>29.37</v>
      </c>
      <c r="D393" s="1">
        <f>IFERROR(__xludf.DUMMYFUNCTION("""COMPUTED_VALUE"""),26.17)</f>
        <v>26.17</v>
      </c>
      <c r="E393" s="1">
        <f>IFERROR(__xludf.DUMMYFUNCTION("""COMPUTED_VALUE"""),28.5)</f>
        <v>28.5</v>
      </c>
      <c r="F393" s="1">
        <f>IFERROR(__xludf.DUMMYFUNCTION("""COMPUTED_VALUE"""),3285411.0)</f>
        <v>3285411</v>
      </c>
      <c r="G393" s="2" t="s">
        <v>15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IFERROR(__xludf.DUMMYFUNCTION("""COMPUTED_VALUE"""),28.44)</f>
        <v>28.44</v>
      </c>
      <c r="C394" s="1">
        <f>IFERROR(__xludf.DUMMYFUNCTION("""COMPUTED_VALUE"""),28.9)</f>
        <v>28.9</v>
      </c>
      <c r="D394" s="1">
        <f>IFERROR(__xludf.DUMMYFUNCTION("""COMPUTED_VALUE"""),28.17)</f>
        <v>28.17</v>
      </c>
      <c r="E394" s="1">
        <f>IFERROR(__xludf.DUMMYFUNCTION("""COMPUTED_VALUE"""),28.36)</f>
        <v>28.36</v>
      </c>
      <c r="F394" s="1">
        <f>IFERROR(__xludf.DUMMYFUNCTION("""COMPUTED_VALUE"""),969372.0)</f>
        <v>969372</v>
      </c>
      <c r="G394" s="2" t="s">
        <v>15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IFERROR(__xludf.DUMMYFUNCTION("""COMPUTED_VALUE"""),27.98)</f>
        <v>27.98</v>
      </c>
      <c r="C395" s="1">
        <f>IFERROR(__xludf.DUMMYFUNCTION("""COMPUTED_VALUE"""),28.65)</f>
        <v>28.65</v>
      </c>
      <c r="D395" s="1">
        <f>IFERROR(__xludf.DUMMYFUNCTION("""COMPUTED_VALUE"""),27.8)</f>
        <v>27.8</v>
      </c>
      <c r="E395" s="1">
        <f>IFERROR(__xludf.DUMMYFUNCTION("""COMPUTED_VALUE"""),28.21)</f>
        <v>28.21</v>
      </c>
      <c r="F395" s="1">
        <f>IFERROR(__xludf.DUMMYFUNCTION("""COMPUTED_VALUE"""),840514.0)</f>
        <v>840514</v>
      </c>
      <c r="G395" s="2" t="s">
        <v>15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IFERROR(__xludf.DUMMYFUNCTION("""COMPUTED_VALUE"""),27.92)</f>
        <v>27.92</v>
      </c>
      <c r="C396" s="1">
        <f>IFERROR(__xludf.DUMMYFUNCTION("""COMPUTED_VALUE"""),28.12)</f>
        <v>28.12</v>
      </c>
      <c r="D396" s="1">
        <f>IFERROR(__xludf.DUMMYFUNCTION("""COMPUTED_VALUE"""),27.43)</f>
        <v>27.43</v>
      </c>
      <c r="E396" s="1">
        <f>IFERROR(__xludf.DUMMYFUNCTION("""COMPUTED_VALUE"""),28.02)</f>
        <v>28.02</v>
      </c>
      <c r="F396" s="1">
        <f>IFERROR(__xludf.DUMMYFUNCTION("""COMPUTED_VALUE"""),929848.0)</f>
        <v>929848</v>
      </c>
      <c r="G396" s="2" t="s">
        <v>15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IFERROR(__xludf.DUMMYFUNCTION("""COMPUTED_VALUE"""),27.89)</f>
        <v>27.89</v>
      </c>
      <c r="C397" s="1">
        <f>IFERROR(__xludf.DUMMYFUNCTION("""COMPUTED_VALUE"""),29.3)</f>
        <v>29.3</v>
      </c>
      <c r="D397" s="1">
        <f>IFERROR(__xludf.DUMMYFUNCTION("""COMPUTED_VALUE"""),27.72)</f>
        <v>27.72</v>
      </c>
      <c r="E397" s="1">
        <f>IFERROR(__xludf.DUMMYFUNCTION("""COMPUTED_VALUE"""),29.28)</f>
        <v>29.28</v>
      </c>
      <c r="F397" s="1">
        <f>IFERROR(__xludf.DUMMYFUNCTION("""COMPUTED_VALUE"""),1316243.0)</f>
        <v>1316243</v>
      </c>
      <c r="G397" s="2" t="s">
        <v>15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IFERROR(__xludf.DUMMYFUNCTION("""COMPUTED_VALUE"""),29.5)</f>
        <v>29.5</v>
      </c>
      <c r="C398" s="1">
        <f>IFERROR(__xludf.DUMMYFUNCTION("""COMPUTED_VALUE"""),30.28)</f>
        <v>30.28</v>
      </c>
      <c r="D398" s="1">
        <f>IFERROR(__xludf.DUMMYFUNCTION("""COMPUTED_VALUE"""),29.5)</f>
        <v>29.5</v>
      </c>
      <c r="E398" s="1">
        <f>IFERROR(__xludf.DUMMYFUNCTION("""COMPUTED_VALUE"""),29.75)</f>
        <v>29.75</v>
      </c>
      <c r="F398" s="1">
        <f>IFERROR(__xludf.DUMMYFUNCTION("""COMPUTED_VALUE"""),1075823.0)</f>
        <v>1075823</v>
      </c>
      <c r="G398" s="2" t="s">
        <v>15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IFERROR(__xludf.DUMMYFUNCTION("""COMPUTED_VALUE"""),29.56)</f>
        <v>29.56</v>
      </c>
      <c r="C399" s="1">
        <f>IFERROR(__xludf.DUMMYFUNCTION("""COMPUTED_VALUE"""),30.31)</f>
        <v>30.31</v>
      </c>
      <c r="D399" s="1">
        <f>IFERROR(__xludf.DUMMYFUNCTION("""COMPUTED_VALUE"""),29.4)</f>
        <v>29.4</v>
      </c>
      <c r="E399" s="1">
        <f>IFERROR(__xludf.DUMMYFUNCTION("""COMPUTED_VALUE"""),30.16)</f>
        <v>30.16</v>
      </c>
      <c r="F399" s="1">
        <f>IFERROR(__xludf.DUMMYFUNCTION("""COMPUTED_VALUE"""),1283197.0)</f>
        <v>1283197</v>
      </c>
      <c r="G399" s="2" t="s">
        <v>15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IFERROR(__xludf.DUMMYFUNCTION("""COMPUTED_VALUE"""),30.01)</f>
        <v>30.01</v>
      </c>
      <c r="C400" s="1">
        <f>IFERROR(__xludf.DUMMYFUNCTION("""COMPUTED_VALUE"""),31.1)</f>
        <v>31.1</v>
      </c>
      <c r="D400" s="1">
        <f>IFERROR(__xludf.DUMMYFUNCTION("""COMPUTED_VALUE"""),29.86)</f>
        <v>29.86</v>
      </c>
      <c r="E400" s="1">
        <f>IFERROR(__xludf.DUMMYFUNCTION("""COMPUTED_VALUE"""),31.01)</f>
        <v>31.01</v>
      </c>
      <c r="F400" s="1">
        <f>IFERROR(__xludf.DUMMYFUNCTION("""COMPUTED_VALUE"""),1286362.0)</f>
        <v>1286362</v>
      </c>
      <c r="G400" s="2" t="s">
        <v>15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IFERROR(__xludf.DUMMYFUNCTION("""COMPUTED_VALUE"""),30.75)</f>
        <v>30.75</v>
      </c>
      <c r="C401" s="1">
        <f>IFERROR(__xludf.DUMMYFUNCTION("""COMPUTED_VALUE"""),31.25)</f>
        <v>31.25</v>
      </c>
      <c r="D401" s="1">
        <f>IFERROR(__xludf.DUMMYFUNCTION("""COMPUTED_VALUE"""),30.28)</f>
        <v>30.28</v>
      </c>
      <c r="E401" s="1">
        <f>IFERROR(__xludf.DUMMYFUNCTION("""COMPUTED_VALUE"""),30.82)</f>
        <v>30.82</v>
      </c>
      <c r="F401" s="1">
        <f>IFERROR(__xludf.DUMMYFUNCTION("""COMPUTED_VALUE"""),1002680.0)</f>
        <v>1002680</v>
      </c>
      <c r="G401" s="2" t="s">
        <v>15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IFERROR(__xludf.DUMMYFUNCTION("""COMPUTED_VALUE"""),30.75)</f>
        <v>30.75</v>
      </c>
      <c r="C402" s="1">
        <f>IFERROR(__xludf.DUMMYFUNCTION("""COMPUTED_VALUE"""),31.58)</f>
        <v>31.58</v>
      </c>
      <c r="D402" s="1">
        <f>IFERROR(__xludf.DUMMYFUNCTION("""COMPUTED_VALUE"""),30.75)</f>
        <v>30.75</v>
      </c>
      <c r="E402" s="1">
        <f>IFERROR(__xludf.DUMMYFUNCTION("""COMPUTED_VALUE"""),31.35)</f>
        <v>31.35</v>
      </c>
      <c r="F402" s="1">
        <f>IFERROR(__xludf.DUMMYFUNCTION("""COMPUTED_VALUE"""),1146526.0)</f>
        <v>1146526</v>
      </c>
      <c r="G402" s="2" t="s">
        <v>15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IFERROR(__xludf.DUMMYFUNCTION("""COMPUTED_VALUE"""),31.05)</f>
        <v>31.05</v>
      </c>
      <c r="C403" s="1">
        <f>IFERROR(__xludf.DUMMYFUNCTION("""COMPUTED_VALUE"""),31.85)</f>
        <v>31.85</v>
      </c>
      <c r="D403" s="1">
        <f>IFERROR(__xludf.DUMMYFUNCTION("""COMPUTED_VALUE"""),30.45)</f>
        <v>30.45</v>
      </c>
      <c r="E403" s="1">
        <f>IFERROR(__xludf.DUMMYFUNCTION("""COMPUTED_VALUE"""),30.72)</f>
        <v>30.72</v>
      </c>
      <c r="F403" s="1">
        <f>IFERROR(__xludf.DUMMYFUNCTION("""COMPUTED_VALUE"""),825826.0)</f>
        <v>825826</v>
      </c>
      <c r="G403" s="2" t="s">
        <v>15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IFERROR(__xludf.DUMMYFUNCTION("""COMPUTED_VALUE"""),30.45)</f>
        <v>30.45</v>
      </c>
      <c r="C404" s="1">
        <f>IFERROR(__xludf.DUMMYFUNCTION("""COMPUTED_VALUE"""),32.17)</f>
        <v>32.17</v>
      </c>
      <c r="D404" s="1">
        <f>IFERROR(__xludf.DUMMYFUNCTION("""COMPUTED_VALUE"""),30.45)</f>
        <v>30.45</v>
      </c>
      <c r="E404" s="1">
        <f>IFERROR(__xludf.DUMMYFUNCTION("""COMPUTED_VALUE"""),31.35)</f>
        <v>31.35</v>
      </c>
      <c r="F404" s="1">
        <f>IFERROR(__xludf.DUMMYFUNCTION("""COMPUTED_VALUE"""),980111.0)</f>
        <v>980111</v>
      </c>
      <c r="G404" s="2" t="s">
        <v>15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IFERROR(__xludf.DUMMYFUNCTION("""COMPUTED_VALUE"""),31.23)</f>
        <v>31.23</v>
      </c>
      <c r="C405" s="1">
        <f>IFERROR(__xludf.DUMMYFUNCTION("""COMPUTED_VALUE"""),31.31)</f>
        <v>31.31</v>
      </c>
      <c r="D405" s="1">
        <f>IFERROR(__xludf.DUMMYFUNCTION("""COMPUTED_VALUE"""),30.35)</f>
        <v>30.35</v>
      </c>
      <c r="E405" s="1">
        <f>IFERROR(__xludf.DUMMYFUNCTION("""COMPUTED_VALUE"""),31.29)</f>
        <v>31.29</v>
      </c>
      <c r="F405" s="1">
        <f>IFERROR(__xludf.DUMMYFUNCTION("""COMPUTED_VALUE"""),799542.0)</f>
        <v>799542</v>
      </c>
      <c r="G405" s="2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IFERROR(__xludf.DUMMYFUNCTION("GOOGLEFINANCE(""BAS"",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IFERROR(__xludf.DUMMYFUNCTION("""COMPUTED_VALUE"""),44565.66666666667)</f>
        <v>44565.66667</v>
      </c>
      <c r="B2" s="1">
        <f>IFERROR(__xludf.DUMMYFUNCTION("""COMPUTED_VALUE"""),0.91)</f>
        <v>0.91</v>
      </c>
      <c r="C2" s="1">
        <f>IFERROR(__xludf.DUMMYFUNCTION("""COMPUTED_VALUE"""),1.83)</f>
        <v>1.83</v>
      </c>
      <c r="D2" s="1">
        <f>IFERROR(__xludf.DUMMYFUNCTION("""COMPUTED_VALUE"""),0.91)</f>
        <v>0.91</v>
      </c>
      <c r="E2" s="1">
        <f>IFERROR(__xludf.DUMMYFUNCTION("""COMPUTED_VALUE"""),1.37)</f>
        <v>1.37</v>
      </c>
      <c r="F2" s="1">
        <f>IFERROR(__xludf.DUMMYFUNCTION("""COMPUTED_VALUE"""),1587540.0)</f>
        <v>1587540</v>
      </c>
      <c r="G2" s="2" t="s">
        <v>2</v>
      </c>
    </row>
    <row r="3">
      <c r="A3" s="3">
        <f>IFERROR(__xludf.DUMMYFUNCTION("""COMPUTED_VALUE"""),44566.66666666667)</f>
        <v>44566.66667</v>
      </c>
      <c r="B3" s="1">
        <f>IFERROR(__xludf.DUMMYFUNCTION("""COMPUTED_VALUE"""),0.91)</f>
        <v>0.91</v>
      </c>
      <c r="C3" s="1">
        <f>IFERROR(__xludf.DUMMYFUNCTION("""COMPUTED_VALUE"""),1.83)</f>
        <v>1.83</v>
      </c>
      <c r="D3" s="1">
        <f>IFERROR(__xludf.DUMMYFUNCTION("""COMPUTED_VALUE"""),0.91)</f>
        <v>0.91</v>
      </c>
      <c r="E3" s="1">
        <f>IFERROR(__xludf.DUMMYFUNCTION("""COMPUTED_VALUE"""),1.83)</f>
        <v>1.83</v>
      </c>
      <c r="F3" s="1">
        <f>IFERROR(__xludf.DUMMYFUNCTION("""COMPUTED_VALUE"""),1567348.0)</f>
        <v>1567348</v>
      </c>
      <c r="G3" s="2" t="s">
        <v>2</v>
      </c>
    </row>
    <row r="4">
      <c r="A4" s="3">
        <f>IFERROR(__xludf.DUMMYFUNCTION("""COMPUTED_VALUE"""),44567.66666666667)</f>
        <v>44567.66667</v>
      </c>
      <c r="B4" s="1">
        <f>IFERROR(__xludf.DUMMYFUNCTION("""COMPUTED_VALUE"""),1.83)</f>
        <v>1.83</v>
      </c>
      <c r="C4" s="1">
        <f>IFERROR(__xludf.DUMMYFUNCTION("""COMPUTED_VALUE"""),1.83)</f>
        <v>1.83</v>
      </c>
      <c r="D4" s="1">
        <f>IFERROR(__xludf.DUMMYFUNCTION("""COMPUTED_VALUE"""),1.83)</f>
        <v>1.83</v>
      </c>
      <c r="E4" s="1">
        <f>IFERROR(__xludf.DUMMYFUNCTION("""COMPUTED_VALUE"""),1.83)</f>
        <v>1.83</v>
      </c>
      <c r="F4" s="1">
        <f>IFERROR(__xludf.DUMMYFUNCTION("""COMPUTED_VALUE"""),1900000.0)</f>
        <v>1900000</v>
      </c>
      <c r="G4" s="2" t="s">
        <v>2</v>
      </c>
    </row>
    <row r="5">
      <c r="A5" s="3">
        <f>IFERROR(__xludf.DUMMYFUNCTION("""COMPUTED_VALUE"""),44568.66666666667)</f>
        <v>44568.66667</v>
      </c>
      <c r="B5" s="1">
        <f>IFERROR(__xludf.DUMMYFUNCTION("""COMPUTED_VALUE"""),1.83)</f>
        <v>1.83</v>
      </c>
      <c r="C5" s="1">
        <f>IFERROR(__xludf.DUMMYFUNCTION("""COMPUTED_VALUE"""),1.83)</f>
        <v>1.83</v>
      </c>
      <c r="D5" s="1">
        <f>IFERROR(__xludf.DUMMYFUNCTION("""COMPUTED_VALUE"""),1.83)</f>
        <v>1.83</v>
      </c>
      <c r="E5" s="1">
        <f>IFERROR(__xludf.DUMMYFUNCTION("""COMPUTED_VALUE"""),1.83)</f>
        <v>1.83</v>
      </c>
      <c r="F5" s="1">
        <f>IFERROR(__xludf.DUMMYFUNCTION("""COMPUTED_VALUE"""),498.0)</f>
        <v>498</v>
      </c>
      <c r="G5" s="2" t="s">
        <v>2</v>
      </c>
    </row>
    <row r="6">
      <c r="A6" s="3">
        <f>IFERROR(__xludf.DUMMYFUNCTION("""COMPUTED_VALUE"""),44571.66666666667)</f>
        <v>44571.66667</v>
      </c>
      <c r="B6" s="1">
        <f>IFERROR(__xludf.DUMMYFUNCTION("""COMPUTED_VALUE"""),1.83)</f>
        <v>1.83</v>
      </c>
      <c r="C6" s="1">
        <f>IFERROR(__xludf.DUMMYFUNCTION("""COMPUTED_VALUE"""),1.83)</f>
        <v>1.83</v>
      </c>
      <c r="D6" s="1">
        <f>IFERROR(__xludf.DUMMYFUNCTION("""COMPUTED_VALUE"""),1.37)</f>
        <v>1.37</v>
      </c>
      <c r="E6" s="1">
        <f>IFERROR(__xludf.DUMMYFUNCTION("""COMPUTED_VALUE"""),1.37)</f>
        <v>1.37</v>
      </c>
      <c r="F6" s="1">
        <f>IFERROR(__xludf.DUMMYFUNCTION("""COMPUTED_VALUE"""),2872500.0)</f>
        <v>2872500</v>
      </c>
      <c r="G6" s="2" t="s">
        <v>2</v>
      </c>
    </row>
    <row r="7">
      <c r="A7" s="3">
        <f>IFERROR(__xludf.DUMMYFUNCTION("""COMPUTED_VALUE"""),44572.66666666667)</f>
        <v>44572.66667</v>
      </c>
      <c r="B7" s="1">
        <f>IFERROR(__xludf.DUMMYFUNCTION("""COMPUTED_VALUE"""),0.91)</f>
        <v>0.91</v>
      </c>
      <c r="C7" s="1">
        <f>IFERROR(__xludf.DUMMYFUNCTION("""COMPUTED_VALUE"""),1.83)</f>
        <v>1.83</v>
      </c>
      <c r="D7" s="1">
        <f>IFERROR(__xludf.DUMMYFUNCTION("""COMPUTED_VALUE"""),0.91)</f>
        <v>0.91</v>
      </c>
      <c r="E7" s="1">
        <f>IFERROR(__xludf.DUMMYFUNCTION("""COMPUTED_VALUE"""),1.37)</f>
        <v>1.37</v>
      </c>
      <c r="F7" s="1">
        <f>IFERROR(__xludf.DUMMYFUNCTION("""COMPUTED_VALUE"""),1350009.0)</f>
        <v>1350009</v>
      </c>
      <c r="G7" s="2" t="s">
        <v>2</v>
      </c>
    </row>
    <row r="8">
      <c r="A8" s="3">
        <f>IFERROR(__xludf.DUMMYFUNCTION("""COMPUTED_VALUE"""),44573.66666666667)</f>
        <v>44573.66667</v>
      </c>
      <c r="B8" s="1">
        <f>IFERROR(__xludf.DUMMYFUNCTION("""COMPUTED_VALUE"""),1.37)</f>
        <v>1.37</v>
      </c>
      <c r="C8" s="1">
        <f>IFERROR(__xludf.DUMMYFUNCTION("""COMPUTED_VALUE"""),1.83)</f>
        <v>1.83</v>
      </c>
      <c r="D8" s="1">
        <f>IFERROR(__xludf.DUMMYFUNCTION("""COMPUTED_VALUE"""),1.37)</f>
        <v>1.37</v>
      </c>
      <c r="E8" s="1">
        <f>IFERROR(__xludf.DUMMYFUNCTION("""COMPUTED_VALUE"""),1.37)</f>
        <v>1.37</v>
      </c>
      <c r="F8" s="1">
        <f>IFERROR(__xludf.DUMMYFUNCTION("""COMPUTED_VALUE"""),1275000.0)</f>
        <v>1275000</v>
      </c>
      <c r="G8" s="2" t="s">
        <v>2</v>
      </c>
    </row>
    <row r="9">
      <c r="A9" s="3">
        <f>IFERROR(__xludf.DUMMYFUNCTION("""COMPUTED_VALUE"""),44574.66666666667)</f>
        <v>44574.66667</v>
      </c>
      <c r="B9" s="1">
        <f>IFERROR(__xludf.DUMMYFUNCTION("""COMPUTED_VALUE"""),1.83)</f>
        <v>1.83</v>
      </c>
      <c r="C9" s="1">
        <f>IFERROR(__xludf.DUMMYFUNCTION("""COMPUTED_VALUE"""),1.83)</f>
        <v>1.83</v>
      </c>
      <c r="D9" s="1">
        <f>IFERROR(__xludf.DUMMYFUNCTION("""COMPUTED_VALUE"""),1.37)</f>
        <v>1.37</v>
      </c>
      <c r="E9" s="1">
        <f>IFERROR(__xludf.DUMMYFUNCTION("""COMPUTED_VALUE"""),1.37)</f>
        <v>1.37</v>
      </c>
      <c r="F9" s="1">
        <f>IFERROR(__xludf.DUMMYFUNCTION("""COMPUTED_VALUE"""),4197800.0)</f>
        <v>4197800</v>
      </c>
      <c r="G9" s="2" t="s">
        <v>2</v>
      </c>
    </row>
    <row r="10">
      <c r="A10" s="3">
        <f>IFERROR(__xludf.DUMMYFUNCTION("""COMPUTED_VALUE"""),44575.66666666667)</f>
        <v>44575.66667</v>
      </c>
      <c r="B10" s="1">
        <f>IFERROR(__xludf.DUMMYFUNCTION("""COMPUTED_VALUE"""),1.83)</f>
        <v>1.83</v>
      </c>
      <c r="C10" s="1">
        <f>IFERROR(__xludf.DUMMYFUNCTION("""COMPUTED_VALUE"""),1.83)</f>
        <v>1.83</v>
      </c>
      <c r="D10" s="1">
        <f>IFERROR(__xludf.DUMMYFUNCTION("""COMPUTED_VALUE"""),1.83)</f>
        <v>1.83</v>
      </c>
      <c r="E10" s="1">
        <f>IFERROR(__xludf.DUMMYFUNCTION("""COMPUTED_VALUE"""),1.83)</f>
        <v>1.83</v>
      </c>
      <c r="F10" s="1">
        <f>IFERROR(__xludf.DUMMYFUNCTION("""COMPUTED_VALUE"""),8079022.0)</f>
        <v>8079022</v>
      </c>
      <c r="G10" s="2" t="s">
        <v>2</v>
      </c>
    </row>
    <row r="11">
      <c r="A11" s="3">
        <f>IFERROR(__xludf.DUMMYFUNCTION("""COMPUTED_VALUE"""),44578.66666666667)</f>
        <v>44578.66667</v>
      </c>
      <c r="B11" s="1">
        <f>IFERROR(__xludf.DUMMYFUNCTION("""COMPUTED_VALUE"""),1.83)</f>
        <v>1.83</v>
      </c>
      <c r="C11" s="1">
        <f>IFERROR(__xludf.DUMMYFUNCTION("""COMPUTED_VALUE"""),1.83)</f>
        <v>1.83</v>
      </c>
      <c r="D11" s="1">
        <f>IFERROR(__xludf.DUMMYFUNCTION("""COMPUTED_VALUE"""),1.37)</f>
        <v>1.37</v>
      </c>
      <c r="E11" s="1">
        <f>IFERROR(__xludf.DUMMYFUNCTION("""COMPUTED_VALUE"""),1.83)</f>
        <v>1.83</v>
      </c>
      <c r="F11" s="1">
        <f>IFERROR(__xludf.DUMMYFUNCTION("""COMPUTED_VALUE"""),4500274.0)</f>
        <v>4500274</v>
      </c>
      <c r="G11" s="2" t="s">
        <v>2</v>
      </c>
    </row>
    <row r="12">
      <c r="A12" s="3">
        <f>IFERROR(__xludf.DUMMYFUNCTION("""COMPUTED_VALUE"""),44579.66666666667)</f>
        <v>44579.66667</v>
      </c>
      <c r="B12" s="1">
        <f>IFERROR(__xludf.DUMMYFUNCTION("""COMPUTED_VALUE"""),1.83)</f>
        <v>1.83</v>
      </c>
      <c r="C12" s="1">
        <f>IFERROR(__xludf.DUMMYFUNCTION("""COMPUTED_VALUE"""),1.83)</f>
        <v>1.83</v>
      </c>
      <c r="D12" s="1">
        <f>IFERROR(__xludf.DUMMYFUNCTION("""COMPUTED_VALUE"""),1.37)</f>
        <v>1.37</v>
      </c>
      <c r="E12" s="1">
        <f>IFERROR(__xludf.DUMMYFUNCTION("""COMPUTED_VALUE"""),1.83)</f>
        <v>1.83</v>
      </c>
      <c r="F12" s="1">
        <f>IFERROR(__xludf.DUMMYFUNCTION("""COMPUTED_VALUE"""),1500000.0)</f>
        <v>1500000</v>
      </c>
      <c r="G12" s="2" t="s">
        <v>2</v>
      </c>
    </row>
    <row r="13">
      <c r="A13" s="3">
        <f>IFERROR(__xludf.DUMMYFUNCTION("""COMPUTED_VALUE"""),44580.66666666667)</f>
        <v>44580.66667</v>
      </c>
      <c r="B13" s="1">
        <f>IFERROR(__xludf.DUMMYFUNCTION("""COMPUTED_VALUE"""),1.83)</f>
        <v>1.83</v>
      </c>
      <c r="C13" s="1">
        <f>IFERROR(__xludf.DUMMYFUNCTION("""COMPUTED_VALUE"""),1.83)</f>
        <v>1.83</v>
      </c>
      <c r="D13" s="1">
        <f>IFERROR(__xludf.DUMMYFUNCTION("""COMPUTED_VALUE"""),1.83)</f>
        <v>1.83</v>
      </c>
      <c r="E13" s="1">
        <f>IFERROR(__xludf.DUMMYFUNCTION("""COMPUTED_VALUE"""),1.83)</f>
        <v>1.83</v>
      </c>
      <c r="F13" s="1">
        <f>IFERROR(__xludf.DUMMYFUNCTION("""COMPUTED_VALUE"""),3100802.0)</f>
        <v>3100802</v>
      </c>
      <c r="G13" s="2" t="s">
        <v>2</v>
      </c>
    </row>
    <row r="14">
      <c r="A14" s="3">
        <f>IFERROR(__xludf.DUMMYFUNCTION("""COMPUTED_VALUE"""),44581.66666666667)</f>
        <v>44581.66667</v>
      </c>
      <c r="B14" s="1">
        <f>IFERROR(__xludf.DUMMYFUNCTION("""COMPUTED_VALUE"""),1.83)</f>
        <v>1.83</v>
      </c>
      <c r="C14" s="1">
        <f>IFERROR(__xludf.DUMMYFUNCTION("""COMPUTED_VALUE"""),1.83)</f>
        <v>1.83</v>
      </c>
      <c r="D14" s="1">
        <f>IFERROR(__xludf.DUMMYFUNCTION("""COMPUTED_VALUE"""),1.83)</f>
        <v>1.83</v>
      </c>
      <c r="E14" s="1">
        <f>IFERROR(__xludf.DUMMYFUNCTION("""COMPUTED_VALUE"""),1.83)</f>
        <v>1.83</v>
      </c>
      <c r="F14" s="1">
        <f>IFERROR(__xludf.DUMMYFUNCTION("""COMPUTED_VALUE"""),3.6416339E7)</f>
        <v>36416339</v>
      </c>
      <c r="G14" s="2" t="s">
        <v>2</v>
      </c>
    </row>
    <row r="15">
      <c r="A15" s="3">
        <f>IFERROR(__xludf.DUMMYFUNCTION("""COMPUTED_VALUE"""),44582.66666666667)</f>
        <v>44582.66667</v>
      </c>
      <c r="B15" s="1">
        <f>IFERROR(__xludf.DUMMYFUNCTION("""COMPUTED_VALUE"""),1.83)</f>
        <v>1.83</v>
      </c>
      <c r="C15" s="1">
        <f>IFERROR(__xludf.DUMMYFUNCTION("""COMPUTED_VALUE"""),1.83)</f>
        <v>1.83</v>
      </c>
      <c r="D15" s="1">
        <f>IFERROR(__xludf.DUMMYFUNCTION("""COMPUTED_VALUE"""),1.37)</f>
        <v>1.37</v>
      </c>
      <c r="E15" s="1">
        <f>IFERROR(__xludf.DUMMYFUNCTION("""COMPUTED_VALUE"""),1.83)</f>
        <v>1.83</v>
      </c>
      <c r="F15" s="1">
        <f>IFERROR(__xludf.DUMMYFUNCTION("""COMPUTED_VALUE"""),3000000.0)</f>
        <v>3000000</v>
      </c>
      <c r="G15" s="2" t="s">
        <v>2</v>
      </c>
    </row>
    <row r="16">
      <c r="A16" s="3">
        <f>IFERROR(__xludf.DUMMYFUNCTION("""COMPUTED_VALUE"""),44585.66666666667)</f>
        <v>44585.66667</v>
      </c>
      <c r="B16" s="1">
        <f>IFERROR(__xludf.DUMMYFUNCTION("""COMPUTED_VALUE"""),1.83)</f>
        <v>1.83</v>
      </c>
      <c r="C16" s="1">
        <f>IFERROR(__xludf.DUMMYFUNCTION("""COMPUTED_VALUE"""),1.83)</f>
        <v>1.83</v>
      </c>
      <c r="D16" s="1">
        <f>IFERROR(__xludf.DUMMYFUNCTION("""COMPUTED_VALUE"""),1.37)</f>
        <v>1.37</v>
      </c>
      <c r="E16" s="1">
        <f>IFERROR(__xludf.DUMMYFUNCTION("""COMPUTED_VALUE"""),1.37)</f>
        <v>1.37</v>
      </c>
      <c r="F16" s="1">
        <f>IFERROR(__xludf.DUMMYFUNCTION("""COMPUTED_VALUE"""),2608452.0)</f>
        <v>2608452</v>
      </c>
      <c r="G16" s="2" t="s">
        <v>2</v>
      </c>
    </row>
    <row r="17">
      <c r="A17" s="3">
        <f>IFERROR(__xludf.DUMMYFUNCTION("""COMPUTED_VALUE"""),44586.66666666667)</f>
        <v>44586.66667</v>
      </c>
      <c r="B17" s="1">
        <f>IFERROR(__xludf.DUMMYFUNCTION("""COMPUTED_VALUE"""),1.83)</f>
        <v>1.83</v>
      </c>
      <c r="C17" s="1">
        <f>IFERROR(__xludf.DUMMYFUNCTION("""COMPUTED_VALUE"""),1.83)</f>
        <v>1.83</v>
      </c>
      <c r="D17" s="1">
        <f>IFERROR(__xludf.DUMMYFUNCTION("""COMPUTED_VALUE"""),1.83)</f>
        <v>1.83</v>
      </c>
      <c r="E17" s="1">
        <f>IFERROR(__xludf.DUMMYFUNCTION("""COMPUTED_VALUE"""),1.83)</f>
        <v>1.83</v>
      </c>
      <c r="F17" s="1">
        <f>IFERROR(__xludf.DUMMYFUNCTION("""COMPUTED_VALUE"""),2784068.0)</f>
        <v>2784068</v>
      </c>
      <c r="G17" s="2" t="s">
        <v>2</v>
      </c>
    </row>
    <row r="18">
      <c r="A18" s="3">
        <f>IFERROR(__xludf.DUMMYFUNCTION("""COMPUTED_VALUE"""),44588.66666666667)</f>
        <v>44588.66667</v>
      </c>
      <c r="B18" s="1">
        <f>IFERROR(__xludf.DUMMYFUNCTION("""COMPUTED_VALUE"""),1.83)</f>
        <v>1.83</v>
      </c>
      <c r="C18" s="1">
        <f>IFERROR(__xludf.DUMMYFUNCTION("""COMPUTED_VALUE"""),1.83)</f>
        <v>1.83</v>
      </c>
      <c r="D18" s="1">
        <f>IFERROR(__xludf.DUMMYFUNCTION("""COMPUTED_VALUE"""),1.37)</f>
        <v>1.37</v>
      </c>
      <c r="E18" s="1">
        <f>IFERROR(__xludf.DUMMYFUNCTION("""COMPUTED_VALUE"""),1.83)</f>
        <v>1.83</v>
      </c>
      <c r="F18" s="1">
        <f>IFERROR(__xludf.DUMMYFUNCTION("""COMPUTED_VALUE"""),3418580.0)</f>
        <v>3418580</v>
      </c>
      <c r="G18" s="2" t="s">
        <v>2</v>
      </c>
    </row>
    <row r="19">
      <c r="A19" s="3">
        <f>IFERROR(__xludf.DUMMYFUNCTION("""COMPUTED_VALUE"""),44589.66666666667)</f>
        <v>44589.66667</v>
      </c>
      <c r="B19" s="1">
        <f>IFERROR(__xludf.DUMMYFUNCTION("""COMPUTED_VALUE"""),1.83)</f>
        <v>1.83</v>
      </c>
      <c r="C19" s="1">
        <f>IFERROR(__xludf.DUMMYFUNCTION("""COMPUTED_VALUE"""),1.83)</f>
        <v>1.83</v>
      </c>
      <c r="D19" s="1">
        <f>IFERROR(__xludf.DUMMYFUNCTION("""COMPUTED_VALUE"""),1.83)</f>
        <v>1.83</v>
      </c>
      <c r="E19" s="1">
        <f>IFERROR(__xludf.DUMMYFUNCTION("""COMPUTED_VALUE"""),1.83)</f>
        <v>1.83</v>
      </c>
      <c r="F19" s="1">
        <f>IFERROR(__xludf.DUMMYFUNCTION("""COMPUTED_VALUE"""),400000.0)</f>
        <v>400000</v>
      </c>
      <c r="G19" s="2" t="s">
        <v>2</v>
      </c>
    </row>
    <row r="20">
      <c r="A20" s="3">
        <f>IFERROR(__xludf.DUMMYFUNCTION("""COMPUTED_VALUE"""),44592.66666666667)</f>
        <v>44592.66667</v>
      </c>
      <c r="B20" s="1">
        <f>IFERROR(__xludf.DUMMYFUNCTION("""COMPUTED_VALUE"""),1.83)</f>
        <v>1.83</v>
      </c>
      <c r="C20" s="1">
        <f>IFERROR(__xludf.DUMMYFUNCTION("""COMPUTED_VALUE"""),1.83)</f>
        <v>1.83</v>
      </c>
      <c r="D20" s="1">
        <f>IFERROR(__xludf.DUMMYFUNCTION("""COMPUTED_VALUE"""),1.37)</f>
        <v>1.37</v>
      </c>
      <c r="E20" s="1">
        <f>IFERROR(__xludf.DUMMYFUNCTION("""COMPUTED_VALUE"""),1.37)</f>
        <v>1.37</v>
      </c>
      <c r="F20" s="1">
        <f>IFERROR(__xludf.DUMMYFUNCTION("""COMPUTED_VALUE"""),3.6582736E7)</f>
        <v>36582736</v>
      </c>
      <c r="G20" s="2" t="s">
        <v>2</v>
      </c>
    </row>
    <row r="21">
      <c r="A21" s="3">
        <f>IFERROR(__xludf.DUMMYFUNCTION("""COMPUTED_VALUE"""),44594.66666666667)</f>
        <v>44594.66667</v>
      </c>
      <c r="B21" s="1">
        <f>IFERROR(__xludf.DUMMYFUNCTION("""COMPUTED_VALUE"""),1.83)</f>
        <v>1.83</v>
      </c>
      <c r="C21" s="1">
        <f>IFERROR(__xludf.DUMMYFUNCTION("""COMPUTED_VALUE"""),1.83)</f>
        <v>1.83</v>
      </c>
      <c r="D21" s="1">
        <f>IFERROR(__xludf.DUMMYFUNCTION("""COMPUTED_VALUE"""),1.37)</f>
        <v>1.37</v>
      </c>
      <c r="E21" s="1">
        <f>IFERROR(__xludf.DUMMYFUNCTION("""COMPUTED_VALUE"""),1.37)</f>
        <v>1.37</v>
      </c>
      <c r="F21" s="1">
        <f>IFERROR(__xludf.DUMMYFUNCTION("""COMPUTED_VALUE"""),1201171.0)</f>
        <v>1201171</v>
      </c>
      <c r="G21" s="2" t="s">
        <v>2</v>
      </c>
    </row>
    <row r="22">
      <c r="A22" s="3">
        <f>IFERROR(__xludf.DUMMYFUNCTION("""COMPUTED_VALUE"""),44595.66666666667)</f>
        <v>44595.66667</v>
      </c>
      <c r="B22" s="1">
        <f>IFERROR(__xludf.DUMMYFUNCTION("""COMPUTED_VALUE"""),1.83)</f>
        <v>1.83</v>
      </c>
      <c r="C22" s="1">
        <f>IFERROR(__xludf.DUMMYFUNCTION("""COMPUTED_VALUE"""),1.83)</f>
        <v>1.83</v>
      </c>
      <c r="D22" s="1">
        <f>IFERROR(__xludf.DUMMYFUNCTION("""COMPUTED_VALUE"""),1.37)</f>
        <v>1.37</v>
      </c>
      <c r="E22" s="1">
        <f>IFERROR(__xludf.DUMMYFUNCTION("""COMPUTED_VALUE"""),1.37)</f>
        <v>1.37</v>
      </c>
      <c r="F22" s="1">
        <f>IFERROR(__xludf.DUMMYFUNCTION("""COMPUTED_VALUE"""),550000.0)</f>
        <v>550000</v>
      </c>
      <c r="G22" s="2" t="s">
        <v>2</v>
      </c>
    </row>
    <row r="23">
      <c r="A23" s="3">
        <f>IFERROR(__xludf.DUMMYFUNCTION("""COMPUTED_VALUE"""),44596.66666666667)</f>
        <v>44596.66667</v>
      </c>
      <c r="B23" s="1">
        <f>IFERROR(__xludf.DUMMYFUNCTION("""COMPUTED_VALUE"""),1.83)</f>
        <v>1.83</v>
      </c>
      <c r="C23" s="1">
        <f>IFERROR(__xludf.DUMMYFUNCTION("""COMPUTED_VALUE"""),1.83)</f>
        <v>1.83</v>
      </c>
      <c r="D23" s="1">
        <f>IFERROR(__xludf.DUMMYFUNCTION("""COMPUTED_VALUE"""),1.83)</f>
        <v>1.83</v>
      </c>
      <c r="E23" s="1">
        <f>IFERROR(__xludf.DUMMYFUNCTION("""COMPUTED_VALUE"""),1.83)</f>
        <v>1.83</v>
      </c>
      <c r="F23" s="1">
        <f>IFERROR(__xludf.DUMMYFUNCTION("""COMPUTED_VALUE"""),985545.0)</f>
        <v>985545</v>
      </c>
      <c r="G23" s="2" t="s">
        <v>2</v>
      </c>
    </row>
    <row r="24">
      <c r="A24" s="3">
        <f>IFERROR(__xludf.DUMMYFUNCTION("""COMPUTED_VALUE"""),44599.66666666667)</f>
        <v>44599.66667</v>
      </c>
      <c r="B24" s="1">
        <f>IFERROR(__xludf.DUMMYFUNCTION("""COMPUTED_VALUE"""),1.83)</f>
        <v>1.83</v>
      </c>
      <c r="C24" s="1">
        <f>IFERROR(__xludf.DUMMYFUNCTION("""COMPUTED_VALUE"""),1.83)</f>
        <v>1.83</v>
      </c>
      <c r="D24" s="1">
        <f>IFERROR(__xludf.DUMMYFUNCTION("""COMPUTED_VALUE"""),1.83)</f>
        <v>1.83</v>
      </c>
      <c r="E24" s="1">
        <f>IFERROR(__xludf.DUMMYFUNCTION("""COMPUTED_VALUE"""),1.83)</f>
        <v>1.83</v>
      </c>
      <c r="F24" s="1">
        <f>IFERROR(__xludf.DUMMYFUNCTION("""COMPUTED_VALUE"""),124876.0)</f>
        <v>124876</v>
      </c>
      <c r="G24" s="2" t="s">
        <v>2</v>
      </c>
    </row>
    <row r="25">
      <c r="A25" s="3">
        <f>IFERROR(__xludf.DUMMYFUNCTION("""COMPUTED_VALUE"""),44600.66666666667)</f>
        <v>44600.66667</v>
      </c>
      <c r="B25" s="1">
        <f>IFERROR(__xludf.DUMMYFUNCTION("""COMPUTED_VALUE"""),1.37)</f>
        <v>1.37</v>
      </c>
      <c r="C25" s="1">
        <f>IFERROR(__xludf.DUMMYFUNCTION("""COMPUTED_VALUE"""),1.83)</f>
        <v>1.83</v>
      </c>
      <c r="D25" s="1">
        <f>IFERROR(__xludf.DUMMYFUNCTION("""COMPUTED_VALUE"""),1.37)</f>
        <v>1.37</v>
      </c>
      <c r="E25" s="1">
        <f>IFERROR(__xludf.DUMMYFUNCTION("""COMPUTED_VALUE"""),1.83)</f>
        <v>1.83</v>
      </c>
      <c r="F25" s="1">
        <f>IFERROR(__xludf.DUMMYFUNCTION("""COMPUTED_VALUE"""),1764098.0)</f>
        <v>1764098</v>
      </c>
      <c r="G25" s="2" t="s">
        <v>2</v>
      </c>
    </row>
    <row r="26">
      <c r="A26" s="3">
        <f>IFERROR(__xludf.DUMMYFUNCTION("""COMPUTED_VALUE"""),44601.66666666667)</f>
        <v>44601.66667</v>
      </c>
      <c r="B26" s="1">
        <f>IFERROR(__xludf.DUMMYFUNCTION("""COMPUTED_VALUE"""),1.37)</f>
        <v>1.37</v>
      </c>
      <c r="C26" s="1">
        <f>IFERROR(__xludf.DUMMYFUNCTION("""COMPUTED_VALUE"""),1.83)</f>
        <v>1.83</v>
      </c>
      <c r="D26" s="1">
        <f>IFERROR(__xludf.DUMMYFUNCTION("""COMPUTED_VALUE"""),1.37)</f>
        <v>1.37</v>
      </c>
      <c r="E26" s="1">
        <f>IFERROR(__xludf.DUMMYFUNCTION("""COMPUTED_VALUE"""),1.83)</f>
        <v>1.83</v>
      </c>
      <c r="F26" s="1">
        <f>IFERROR(__xludf.DUMMYFUNCTION("""COMPUTED_VALUE"""),1764098.0)</f>
        <v>1764098</v>
      </c>
      <c r="G26" s="2" t="s">
        <v>2</v>
      </c>
    </row>
    <row r="27">
      <c r="A27" s="3">
        <f>IFERROR(__xludf.DUMMYFUNCTION("""COMPUTED_VALUE"""),44602.66666666667)</f>
        <v>44602.66667</v>
      </c>
      <c r="B27" s="1">
        <f>IFERROR(__xludf.DUMMYFUNCTION("""COMPUTED_VALUE"""),1.83)</f>
        <v>1.83</v>
      </c>
      <c r="C27" s="1">
        <f>IFERROR(__xludf.DUMMYFUNCTION("""COMPUTED_VALUE"""),1.83)</f>
        <v>1.83</v>
      </c>
      <c r="D27" s="1">
        <f>IFERROR(__xludf.DUMMYFUNCTION("""COMPUTED_VALUE"""),1.83)</f>
        <v>1.83</v>
      </c>
      <c r="E27" s="1">
        <f>IFERROR(__xludf.DUMMYFUNCTION("""COMPUTED_VALUE"""),1.83)</f>
        <v>1.83</v>
      </c>
      <c r="F27" s="1">
        <f>IFERROR(__xludf.DUMMYFUNCTION("""COMPUTED_VALUE"""),250023.0)</f>
        <v>250023</v>
      </c>
      <c r="G27" s="2" t="s">
        <v>2</v>
      </c>
    </row>
    <row r="28">
      <c r="A28" s="3">
        <f>IFERROR(__xludf.DUMMYFUNCTION("""COMPUTED_VALUE"""),44603.66666666667)</f>
        <v>44603.66667</v>
      </c>
      <c r="B28" s="1">
        <f>IFERROR(__xludf.DUMMYFUNCTION("""COMPUTED_VALUE"""),1.83)</f>
        <v>1.83</v>
      </c>
      <c r="C28" s="1">
        <f>IFERROR(__xludf.DUMMYFUNCTION("""COMPUTED_VALUE"""),1.83)</f>
        <v>1.83</v>
      </c>
      <c r="D28" s="1">
        <f>IFERROR(__xludf.DUMMYFUNCTION("""COMPUTED_VALUE"""),1.37)</f>
        <v>1.37</v>
      </c>
      <c r="E28" s="1">
        <f>IFERROR(__xludf.DUMMYFUNCTION("""COMPUTED_VALUE"""),1.37)</f>
        <v>1.37</v>
      </c>
      <c r="F28" s="1">
        <f>IFERROR(__xludf.DUMMYFUNCTION("""COMPUTED_VALUE"""),2333671.0)</f>
        <v>2333671</v>
      </c>
      <c r="G28" s="2" t="s">
        <v>2</v>
      </c>
    </row>
    <row r="29">
      <c r="A29" s="3">
        <f>IFERROR(__xludf.DUMMYFUNCTION("""COMPUTED_VALUE"""),44606.66666666667)</f>
        <v>44606.66667</v>
      </c>
      <c r="B29" s="1">
        <f>IFERROR(__xludf.DUMMYFUNCTION("""COMPUTED_VALUE"""),1.83)</f>
        <v>1.83</v>
      </c>
      <c r="C29" s="1">
        <f>IFERROR(__xludf.DUMMYFUNCTION("""COMPUTED_VALUE"""),1.83)</f>
        <v>1.83</v>
      </c>
      <c r="D29" s="1">
        <f>IFERROR(__xludf.DUMMYFUNCTION("""COMPUTED_VALUE"""),1.37)</f>
        <v>1.37</v>
      </c>
      <c r="E29" s="1">
        <f>IFERROR(__xludf.DUMMYFUNCTION("""COMPUTED_VALUE"""),1.83)</f>
        <v>1.83</v>
      </c>
      <c r="F29" s="1">
        <f>IFERROR(__xludf.DUMMYFUNCTION("""COMPUTED_VALUE"""),4059481.0)</f>
        <v>4059481</v>
      </c>
      <c r="G29" s="2" t="s">
        <v>2</v>
      </c>
    </row>
    <row r="30">
      <c r="A30" s="3">
        <f>IFERROR(__xludf.DUMMYFUNCTION("""COMPUTED_VALUE"""),44607.66666666667)</f>
        <v>44607.66667</v>
      </c>
      <c r="B30" s="1">
        <f>IFERROR(__xludf.DUMMYFUNCTION("""COMPUTED_VALUE"""),1.83)</f>
        <v>1.83</v>
      </c>
      <c r="C30" s="1">
        <f>IFERROR(__xludf.DUMMYFUNCTION("""COMPUTED_VALUE"""),1.83)</f>
        <v>1.83</v>
      </c>
      <c r="D30" s="1">
        <f>IFERROR(__xludf.DUMMYFUNCTION("""COMPUTED_VALUE"""),1.37)</f>
        <v>1.37</v>
      </c>
      <c r="E30" s="1">
        <f>IFERROR(__xludf.DUMMYFUNCTION("""COMPUTED_VALUE"""),1.37)</f>
        <v>1.37</v>
      </c>
      <c r="F30" s="1">
        <f>IFERROR(__xludf.DUMMYFUNCTION("""COMPUTED_VALUE"""),4066401.0)</f>
        <v>4066401</v>
      </c>
      <c r="G30" s="2" t="s">
        <v>2</v>
      </c>
    </row>
    <row r="31">
      <c r="A31" s="3">
        <f>IFERROR(__xludf.DUMMYFUNCTION("""COMPUTED_VALUE"""),44608.66666666667)</f>
        <v>44608.66667</v>
      </c>
      <c r="B31" s="1">
        <f>IFERROR(__xludf.DUMMYFUNCTION("""COMPUTED_VALUE"""),1.83)</f>
        <v>1.83</v>
      </c>
      <c r="C31" s="1">
        <f>IFERROR(__xludf.DUMMYFUNCTION("""COMPUTED_VALUE"""),1.83)</f>
        <v>1.83</v>
      </c>
      <c r="D31" s="1">
        <f>IFERROR(__xludf.DUMMYFUNCTION("""COMPUTED_VALUE"""),1.83)</f>
        <v>1.83</v>
      </c>
      <c r="E31" s="1">
        <f>IFERROR(__xludf.DUMMYFUNCTION("""COMPUTED_VALUE"""),1.83)</f>
        <v>1.83</v>
      </c>
      <c r="F31" s="1">
        <f>IFERROR(__xludf.DUMMYFUNCTION("""COMPUTED_VALUE"""),9951.0)</f>
        <v>9951</v>
      </c>
      <c r="G31" s="2" t="s">
        <v>2</v>
      </c>
    </row>
    <row r="32">
      <c r="A32" s="3">
        <f>IFERROR(__xludf.DUMMYFUNCTION("""COMPUTED_VALUE"""),44609.66666666667)</f>
        <v>44609.66667</v>
      </c>
      <c r="B32" s="1">
        <f>IFERROR(__xludf.DUMMYFUNCTION("""COMPUTED_VALUE"""),1.83)</f>
        <v>1.83</v>
      </c>
      <c r="C32" s="1">
        <f>IFERROR(__xludf.DUMMYFUNCTION("""COMPUTED_VALUE"""),1.83)</f>
        <v>1.83</v>
      </c>
      <c r="D32" s="1">
        <f>IFERROR(__xludf.DUMMYFUNCTION("""COMPUTED_VALUE"""),1.83)</f>
        <v>1.83</v>
      </c>
      <c r="E32" s="1">
        <f>IFERROR(__xludf.DUMMYFUNCTION("""COMPUTED_VALUE"""),1.83)</f>
        <v>1.83</v>
      </c>
      <c r="F32" s="1">
        <f>IFERROR(__xludf.DUMMYFUNCTION("""COMPUTED_VALUE"""),276090.0)</f>
        <v>276090</v>
      </c>
      <c r="G32" s="2" t="s">
        <v>2</v>
      </c>
    </row>
    <row r="33">
      <c r="A33" s="3">
        <f>IFERROR(__xludf.DUMMYFUNCTION("""COMPUTED_VALUE"""),44610.66666666667)</f>
        <v>44610.66667</v>
      </c>
      <c r="B33" s="1">
        <f>IFERROR(__xludf.DUMMYFUNCTION("""COMPUTED_VALUE"""),1.83)</f>
        <v>1.83</v>
      </c>
      <c r="C33" s="1">
        <f>IFERROR(__xludf.DUMMYFUNCTION("""COMPUTED_VALUE"""),1.83)</f>
        <v>1.83</v>
      </c>
      <c r="D33" s="1">
        <f>IFERROR(__xludf.DUMMYFUNCTION("""COMPUTED_VALUE"""),0.91)</f>
        <v>0.91</v>
      </c>
      <c r="E33" s="1">
        <f>IFERROR(__xludf.DUMMYFUNCTION("""COMPUTED_VALUE"""),1.83)</f>
        <v>1.83</v>
      </c>
      <c r="F33" s="1">
        <f>IFERROR(__xludf.DUMMYFUNCTION("""COMPUTED_VALUE"""),2739693.0)</f>
        <v>2739693</v>
      </c>
      <c r="G33" s="2" t="s">
        <v>2</v>
      </c>
    </row>
    <row r="34">
      <c r="A34" s="3">
        <f>IFERROR(__xludf.DUMMYFUNCTION("""COMPUTED_VALUE"""),44613.66666666667)</f>
        <v>44613.66667</v>
      </c>
      <c r="B34" s="1">
        <f>IFERROR(__xludf.DUMMYFUNCTION("""COMPUTED_VALUE"""),1.83)</f>
        <v>1.83</v>
      </c>
      <c r="C34" s="1">
        <f>IFERROR(__xludf.DUMMYFUNCTION("""COMPUTED_VALUE"""),1.83)</f>
        <v>1.83</v>
      </c>
      <c r="D34" s="1">
        <f>IFERROR(__xludf.DUMMYFUNCTION("""COMPUTED_VALUE"""),1.37)</f>
        <v>1.37</v>
      </c>
      <c r="E34" s="1">
        <f>IFERROR(__xludf.DUMMYFUNCTION("""COMPUTED_VALUE"""),1.83)</f>
        <v>1.83</v>
      </c>
      <c r="F34" s="1">
        <f>IFERROR(__xludf.DUMMYFUNCTION("""COMPUTED_VALUE"""),8000025.0)</f>
        <v>8000025</v>
      </c>
      <c r="G34" s="2" t="s">
        <v>2</v>
      </c>
    </row>
    <row r="35">
      <c r="A35" s="3">
        <f>IFERROR(__xludf.DUMMYFUNCTION("""COMPUTED_VALUE"""),44614.66666666667)</f>
        <v>44614.66667</v>
      </c>
      <c r="B35" s="1">
        <f>IFERROR(__xludf.DUMMYFUNCTION("""COMPUTED_VALUE"""),1.37)</f>
        <v>1.37</v>
      </c>
      <c r="C35" s="1">
        <f>IFERROR(__xludf.DUMMYFUNCTION("""COMPUTED_VALUE"""),1.83)</f>
        <v>1.83</v>
      </c>
      <c r="D35" s="1">
        <f>IFERROR(__xludf.DUMMYFUNCTION("""COMPUTED_VALUE"""),1.37)</f>
        <v>1.37</v>
      </c>
      <c r="E35" s="1">
        <f>IFERROR(__xludf.DUMMYFUNCTION("""COMPUTED_VALUE"""),1.37)</f>
        <v>1.37</v>
      </c>
      <c r="F35" s="1">
        <f>IFERROR(__xludf.DUMMYFUNCTION("""COMPUTED_VALUE"""),3100080.0)</f>
        <v>3100080</v>
      </c>
      <c r="G35" s="2" t="s">
        <v>2</v>
      </c>
    </row>
    <row r="36">
      <c r="A36" s="3">
        <f>IFERROR(__xludf.DUMMYFUNCTION("""COMPUTED_VALUE"""),44615.66666666667)</f>
        <v>44615.66667</v>
      </c>
      <c r="B36" s="1">
        <f>IFERROR(__xludf.DUMMYFUNCTION("""COMPUTED_VALUE"""),1.83)</f>
        <v>1.83</v>
      </c>
      <c r="C36" s="1">
        <f>IFERROR(__xludf.DUMMYFUNCTION("""COMPUTED_VALUE"""),1.83)</f>
        <v>1.83</v>
      </c>
      <c r="D36" s="1">
        <f>IFERROR(__xludf.DUMMYFUNCTION("""COMPUTED_VALUE"""),1.37)</f>
        <v>1.37</v>
      </c>
      <c r="E36" s="1">
        <f>IFERROR(__xludf.DUMMYFUNCTION("""COMPUTED_VALUE"""),1.83)</f>
        <v>1.83</v>
      </c>
      <c r="F36" s="1">
        <f>IFERROR(__xludf.DUMMYFUNCTION("""COMPUTED_VALUE"""),3607862.0)</f>
        <v>3607862</v>
      </c>
      <c r="G36" s="2" t="s">
        <v>2</v>
      </c>
    </row>
    <row r="37">
      <c r="A37" s="3">
        <f>IFERROR(__xludf.DUMMYFUNCTION("""COMPUTED_VALUE"""),44616.66666666667)</f>
        <v>44616.66667</v>
      </c>
      <c r="B37" s="1">
        <f>IFERROR(__xludf.DUMMYFUNCTION("""COMPUTED_VALUE"""),1.83)</f>
        <v>1.83</v>
      </c>
      <c r="C37" s="1">
        <f>IFERROR(__xludf.DUMMYFUNCTION("""COMPUTED_VALUE"""),1.83)</f>
        <v>1.83</v>
      </c>
      <c r="D37" s="1">
        <f>IFERROR(__xludf.DUMMYFUNCTION("""COMPUTED_VALUE"""),1.83)</f>
        <v>1.83</v>
      </c>
      <c r="E37" s="1">
        <f>IFERROR(__xludf.DUMMYFUNCTION("""COMPUTED_VALUE"""),1.83)</f>
        <v>1.83</v>
      </c>
      <c r="F37" s="1">
        <f>IFERROR(__xludf.DUMMYFUNCTION("""COMPUTED_VALUE"""),3192527.0)</f>
        <v>3192527</v>
      </c>
      <c r="G37" s="2" t="s">
        <v>2</v>
      </c>
    </row>
    <row r="38">
      <c r="A38" s="3">
        <f>IFERROR(__xludf.DUMMYFUNCTION("""COMPUTED_VALUE"""),44617.66666666667)</f>
        <v>44617.66667</v>
      </c>
      <c r="B38" s="1">
        <f>IFERROR(__xludf.DUMMYFUNCTION("""COMPUTED_VALUE"""),0.91)</f>
        <v>0.91</v>
      </c>
      <c r="C38" s="1">
        <f>IFERROR(__xludf.DUMMYFUNCTION("""COMPUTED_VALUE"""),1.83)</f>
        <v>1.83</v>
      </c>
      <c r="D38" s="1">
        <f>IFERROR(__xludf.DUMMYFUNCTION("""COMPUTED_VALUE"""),0.91)</f>
        <v>0.91</v>
      </c>
      <c r="E38" s="1">
        <f>IFERROR(__xludf.DUMMYFUNCTION("""COMPUTED_VALUE"""),1.83)</f>
        <v>1.83</v>
      </c>
      <c r="F38" s="1">
        <f>IFERROR(__xludf.DUMMYFUNCTION("""COMPUTED_VALUE"""),3422340.0)</f>
        <v>3422340</v>
      </c>
      <c r="G38" s="2" t="s">
        <v>2</v>
      </c>
    </row>
    <row r="39">
      <c r="A39" s="3">
        <f>IFERROR(__xludf.DUMMYFUNCTION("""COMPUTED_VALUE"""),44622.66666666667)</f>
        <v>44622.66667</v>
      </c>
      <c r="B39" s="1">
        <f>IFERROR(__xludf.DUMMYFUNCTION("""COMPUTED_VALUE"""),1.83)</f>
        <v>1.83</v>
      </c>
      <c r="C39" s="1">
        <f>IFERROR(__xludf.DUMMYFUNCTION("""COMPUTED_VALUE"""),1.83)</f>
        <v>1.83</v>
      </c>
      <c r="D39" s="1">
        <f>IFERROR(__xludf.DUMMYFUNCTION("""COMPUTED_VALUE"""),1.37)</f>
        <v>1.37</v>
      </c>
      <c r="E39" s="1">
        <f>IFERROR(__xludf.DUMMYFUNCTION("""COMPUTED_VALUE"""),1.83)</f>
        <v>1.83</v>
      </c>
      <c r="F39" s="1">
        <f>IFERROR(__xludf.DUMMYFUNCTION("""COMPUTED_VALUE"""),1.4268547E7)</f>
        <v>14268547</v>
      </c>
      <c r="G39" s="2" t="s">
        <v>2</v>
      </c>
    </row>
    <row r="40">
      <c r="A40" s="3">
        <f>IFERROR(__xludf.DUMMYFUNCTION("""COMPUTED_VALUE"""),44623.66666666667)</f>
        <v>44623.66667</v>
      </c>
      <c r="B40" s="1">
        <f>IFERROR(__xludf.DUMMYFUNCTION("""COMPUTED_VALUE"""),1.83)</f>
        <v>1.83</v>
      </c>
      <c r="C40" s="1">
        <f>IFERROR(__xludf.DUMMYFUNCTION("""COMPUTED_VALUE"""),1.83)</f>
        <v>1.83</v>
      </c>
      <c r="D40" s="1">
        <f>IFERROR(__xludf.DUMMYFUNCTION("""COMPUTED_VALUE"""),1.83)</f>
        <v>1.83</v>
      </c>
      <c r="E40" s="1">
        <f>IFERROR(__xludf.DUMMYFUNCTION("""COMPUTED_VALUE"""),1.83)</f>
        <v>1.83</v>
      </c>
      <c r="F40" s="1">
        <f>IFERROR(__xludf.DUMMYFUNCTION("""COMPUTED_VALUE"""),1.7224822E7)</f>
        <v>17224822</v>
      </c>
      <c r="G40" s="2" t="s">
        <v>2</v>
      </c>
    </row>
    <row r="41">
      <c r="A41" s="3">
        <f>IFERROR(__xludf.DUMMYFUNCTION("""COMPUTED_VALUE"""),44624.66666666667)</f>
        <v>44624.66667</v>
      </c>
      <c r="B41" s="1">
        <f>IFERROR(__xludf.DUMMYFUNCTION("""COMPUTED_VALUE"""),1.83)</f>
        <v>1.83</v>
      </c>
      <c r="C41" s="1">
        <f>IFERROR(__xludf.DUMMYFUNCTION("""COMPUTED_VALUE"""),1.83)</f>
        <v>1.83</v>
      </c>
      <c r="D41" s="1">
        <f>IFERROR(__xludf.DUMMYFUNCTION("""COMPUTED_VALUE"""),1.37)</f>
        <v>1.37</v>
      </c>
      <c r="E41" s="1">
        <f>IFERROR(__xludf.DUMMYFUNCTION("""COMPUTED_VALUE"""),1.83)</f>
        <v>1.83</v>
      </c>
      <c r="F41" s="1">
        <f>IFERROR(__xludf.DUMMYFUNCTION("""COMPUTED_VALUE"""),8940046.0)</f>
        <v>8940046</v>
      </c>
      <c r="G41" s="2" t="s">
        <v>2</v>
      </c>
    </row>
    <row r="42">
      <c r="A42" s="3">
        <f>IFERROR(__xludf.DUMMYFUNCTION("""COMPUTED_VALUE"""),44627.66666666667)</f>
        <v>44627.66667</v>
      </c>
      <c r="B42" s="1">
        <f>IFERROR(__xludf.DUMMYFUNCTION("""COMPUTED_VALUE"""),1.83)</f>
        <v>1.83</v>
      </c>
      <c r="C42" s="1">
        <f>IFERROR(__xludf.DUMMYFUNCTION("""COMPUTED_VALUE"""),1.83)</f>
        <v>1.83</v>
      </c>
      <c r="D42" s="1">
        <f>IFERROR(__xludf.DUMMYFUNCTION("""COMPUTED_VALUE"""),1.83)</f>
        <v>1.83</v>
      </c>
      <c r="E42" s="1">
        <f>IFERROR(__xludf.DUMMYFUNCTION("""COMPUTED_VALUE"""),1.83)</f>
        <v>1.83</v>
      </c>
      <c r="F42" s="1">
        <f>IFERROR(__xludf.DUMMYFUNCTION("""COMPUTED_VALUE"""),1.3623782E7)</f>
        <v>13623782</v>
      </c>
      <c r="G42" s="2" t="s">
        <v>2</v>
      </c>
    </row>
    <row r="43">
      <c r="A43" s="3">
        <f>IFERROR(__xludf.DUMMYFUNCTION("""COMPUTED_VALUE"""),44628.66666666667)</f>
        <v>44628.66667</v>
      </c>
      <c r="B43" s="1">
        <f>IFERROR(__xludf.DUMMYFUNCTION("""COMPUTED_VALUE"""),1.83)</f>
        <v>1.83</v>
      </c>
      <c r="C43" s="1">
        <f>IFERROR(__xludf.DUMMYFUNCTION("""COMPUTED_VALUE"""),1.83)</f>
        <v>1.83</v>
      </c>
      <c r="D43" s="1">
        <f>IFERROR(__xludf.DUMMYFUNCTION("""COMPUTED_VALUE"""),1.83)</f>
        <v>1.83</v>
      </c>
      <c r="E43" s="1">
        <f>IFERROR(__xludf.DUMMYFUNCTION("""COMPUTED_VALUE"""),1.83)</f>
        <v>1.83</v>
      </c>
      <c r="F43" s="1">
        <f>IFERROR(__xludf.DUMMYFUNCTION("""COMPUTED_VALUE"""),1.1783881E7)</f>
        <v>11783881</v>
      </c>
      <c r="G43" s="2" t="s">
        <v>2</v>
      </c>
    </row>
    <row r="44">
      <c r="A44" s="3">
        <f>IFERROR(__xludf.DUMMYFUNCTION("""COMPUTED_VALUE"""),44629.66666666667)</f>
        <v>44629.66667</v>
      </c>
      <c r="B44" s="1">
        <f>IFERROR(__xludf.DUMMYFUNCTION("""COMPUTED_VALUE"""),1.83)</f>
        <v>1.83</v>
      </c>
      <c r="C44" s="1">
        <f>IFERROR(__xludf.DUMMYFUNCTION("""COMPUTED_VALUE"""),2.74)</f>
        <v>2.74</v>
      </c>
      <c r="D44" s="1">
        <f>IFERROR(__xludf.DUMMYFUNCTION("""COMPUTED_VALUE"""),1.83)</f>
        <v>1.83</v>
      </c>
      <c r="E44" s="1">
        <f>IFERROR(__xludf.DUMMYFUNCTION("""COMPUTED_VALUE"""),1.83)</f>
        <v>1.83</v>
      </c>
      <c r="F44" s="1">
        <f>IFERROR(__xludf.DUMMYFUNCTION("""COMPUTED_VALUE"""),1.71470662E8)</f>
        <v>171470662</v>
      </c>
      <c r="G44" s="2" t="s">
        <v>2</v>
      </c>
    </row>
    <row r="45">
      <c r="A45" s="3">
        <f>IFERROR(__xludf.DUMMYFUNCTION("""COMPUTED_VALUE"""),44630.66666666667)</f>
        <v>44630.66667</v>
      </c>
      <c r="B45" s="1">
        <f>IFERROR(__xludf.DUMMYFUNCTION("""COMPUTED_VALUE"""),1.83)</f>
        <v>1.83</v>
      </c>
      <c r="C45" s="1">
        <f>IFERROR(__xludf.DUMMYFUNCTION("""COMPUTED_VALUE"""),2.28)</f>
        <v>2.28</v>
      </c>
      <c r="D45" s="1">
        <f>IFERROR(__xludf.DUMMYFUNCTION("""COMPUTED_VALUE"""),1.83)</f>
        <v>1.83</v>
      </c>
      <c r="E45" s="1">
        <f>IFERROR(__xludf.DUMMYFUNCTION("""COMPUTED_VALUE"""),1.83)</f>
        <v>1.83</v>
      </c>
      <c r="F45" s="1">
        <f>IFERROR(__xludf.DUMMYFUNCTION("""COMPUTED_VALUE"""),1.4958666E7)</f>
        <v>14958666</v>
      </c>
      <c r="G45" s="2" t="s">
        <v>2</v>
      </c>
    </row>
    <row r="46">
      <c r="A46" s="3">
        <f>IFERROR(__xludf.DUMMYFUNCTION("""COMPUTED_VALUE"""),44631.66666666667)</f>
        <v>44631.66667</v>
      </c>
      <c r="B46" s="1">
        <f>IFERROR(__xludf.DUMMYFUNCTION("""COMPUTED_VALUE"""),1.83)</f>
        <v>1.83</v>
      </c>
      <c r="C46" s="1">
        <f>IFERROR(__xludf.DUMMYFUNCTION("""COMPUTED_VALUE"""),2.74)</f>
        <v>2.74</v>
      </c>
      <c r="D46" s="1">
        <f>IFERROR(__xludf.DUMMYFUNCTION("""COMPUTED_VALUE"""),1.83)</f>
        <v>1.83</v>
      </c>
      <c r="E46" s="1">
        <f>IFERROR(__xludf.DUMMYFUNCTION("""COMPUTED_VALUE"""),1.83)</f>
        <v>1.83</v>
      </c>
      <c r="F46" s="1">
        <f>IFERROR(__xludf.DUMMYFUNCTION("""COMPUTED_VALUE"""),4428313.0)</f>
        <v>4428313</v>
      </c>
      <c r="G46" s="2" t="s">
        <v>2</v>
      </c>
    </row>
    <row r="47">
      <c r="A47" s="3">
        <f>IFERROR(__xludf.DUMMYFUNCTION("""COMPUTED_VALUE"""),44634.66666666667)</f>
        <v>44634.66667</v>
      </c>
      <c r="B47" s="1">
        <f>IFERROR(__xludf.DUMMYFUNCTION("""COMPUTED_VALUE"""),1.83)</f>
        <v>1.83</v>
      </c>
      <c r="C47" s="1">
        <f>IFERROR(__xludf.DUMMYFUNCTION("""COMPUTED_VALUE"""),2.28)</f>
        <v>2.28</v>
      </c>
      <c r="D47" s="1">
        <f>IFERROR(__xludf.DUMMYFUNCTION("""COMPUTED_VALUE"""),1.83)</f>
        <v>1.83</v>
      </c>
      <c r="E47" s="1">
        <f>IFERROR(__xludf.DUMMYFUNCTION("""COMPUTED_VALUE"""),1.83)</f>
        <v>1.83</v>
      </c>
      <c r="F47" s="1">
        <f>IFERROR(__xludf.DUMMYFUNCTION("""COMPUTED_VALUE"""),4268569.0)</f>
        <v>4268569</v>
      </c>
      <c r="G47" s="2" t="s">
        <v>2</v>
      </c>
    </row>
    <row r="48">
      <c r="A48" s="3">
        <f>IFERROR(__xludf.DUMMYFUNCTION("""COMPUTED_VALUE"""),44635.66666666667)</f>
        <v>44635.66667</v>
      </c>
      <c r="B48" s="1">
        <f>IFERROR(__xludf.DUMMYFUNCTION("""COMPUTED_VALUE"""),1.83)</f>
        <v>1.83</v>
      </c>
      <c r="C48" s="1">
        <f>IFERROR(__xludf.DUMMYFUNCTION("""COMPUTED_VALUE"""),1.83)</f>
        <v>1.83</v>
      </c>
      <c r="D48" s="1">
        <f>IFERROR(__xludf.DUMMYFUNCTION("""COMPUTED_VALUE"""),1.83)</f>
        <v>1.83</v>
      </c>
      <c r="E48" s="1">
        <f>IFERROR(__xludf.DUMMYFUNCTION("""COMPUTED_VALUE"""),1.83)</f>
        <v>1.83</v>
      </c>
      <c r="F48" s="1">
        <f>IFERROR(__xludf.DUMMYFUNCTION("""COMPUTED_VALUE"""),1.10356404E8)</f>
        <v>110356404</v>
      </c>
      <c r="G48" s="2" t="s">
        <v>2</v>
      </c>
    </row>
    <row r="49">
      <c r="A49" s="3">
        <f>IFERROR(__xludf.DUMMYFUNCTION("""COMPUTED_VALUE"""),44636.66666666667)</f>
        <v>44636.66667</v>
      </c>
      <c r="B49" s="1">
        <f>IFERROR(__xludf.DUMMYFUNCTION("""COMPUTED_VALUE"""),1.83)</f>
        <v>1.83</v>
      </c>
      <c r="C49" s="1">
        <f>IFERROR(__xludf.DUMMYFUNCTION("""COMPUTED_VALUE"""),2.74)</f>
        <v>2.74</v>
      </c>
      <c r="D49" s="1">
        <f>IFERROR(__xludf.DUMMYFUNCTION("""COMPUTED_VALUE"""),1.83)</f>
        <v>1.83</v>
      </c>
      <c r="E49" s="1">
        <f>IFERROR(__xludf.DUMMYFUNCTION("""COMPUTED_VALUE"""),2.74)</f>
        <v>2.74</v>
      </c>
      <c r="F49" s="1">
        <f>IFERROR(__xludf.DUMMYFUNCTION("""COMPUTED_VALUE"""),3901888.0)</f>
        <v>3901888</v>
      </c>
      <c r="G49" s="2" t="s">
        <v>2</v>
      </c>
    </row>
    <row r="50">
      <c r="A50" s="3">
        <f>IFERROR(__xludf.DUMMYFUNCTION("""COMPUTED_VALUE"""),44637.66666666667)</f>
        <v>44637.66667</v>
      </c>
      <c r="B50" s="1">
        <f>IFERROR(__xludf.DUMMYFUNCTION("""COMPUTED_VALUE"""),2.74)</f>
        <v>2.74</v>
      </c>
      <c r="C50" s="1">
        <f>IFERROR(__xludf.DUMMYFUNCTION("""COMPUTED_VALUE"""),2.74)</f>
        <v>2.74</v>
      </c>
      <c r="D50" s="1">
        <f>IFERROR(__xludf.DUMMYFUNCTION("""COMPUTED_VALUE"""),1.83)</f>
        <v>1.83</v>
      </c>
      <c r="E50" s="1">
        <f>IFERROR(__xludf.DUMMYFUNCTION("""COMPUTED_VALUE"""),2.74)</f>
        <v>2.74</v>
      </c>
      <c r="F50" s="1">
        <f>IFERROR(__xludf.DUMMYFUNCTION("""COMPUTED_VALUE"""),1.9085127E7)</f>
        <v>19085127</v>
      </c>
      <c r="G50" s="2" t="s">
        <v>2</v>
      </c>
    </row>
    <row r="51">
      <c r="A51" s="3">
        <f>IFERROR(__xludf.DUMMYFUNCTION("""COMPUTED_VALUE"""),44638.66666666667)</f>
        <v>44638.66667</v>
      </c>
      <c r="B51" s="1">
        <f>IFERROR(__xludf.DUMMYFUNCTION("""COMPUTED_VALUE"""),1.83)</f>
        <v>1.83</v>
      </c>
      <c r="C51" s="1">
        <f>IFERROR(__xludf.DUMMYFUNCTION("""COMPUTED_VALUE"""),2.28)</f>
        <v>2.28</v>
      </c>
      <c r="D51" s="1">
        <f>IFERROR(__xludf.DUMMYFUNCTION("""COMPUTED_VALUE"""),1.83)</f>
        <v>1.83</v>
      </c>
      <c r="E51" s="1">
        <f>IFERROR(__xludf.DUMMYFUNCTION("""COMPUTED_VALUE"""),1.83)</f>
        <v>1.83</v>
      </c>
      <c r="F51" s="1">
        <f>IFERROR(__xludf.DUMMYFUNCTION("""COMPUTED_VALUE"""),1.4330395E7)</f>
        <v>14330395</v>
      </c>
      <c r="G51" s="2" t="s">
        <v>2</v>
      </c>
    </row>
    <row r="52">
      <c r="A52" s="3">
        <f>IFERROR(__xludf.DUMMYFUNCTION("""COMPUTED_VALUE"""),44641.66666666667)</f>
        <v>44641.66667</v>
      </c>
      <c r="B52" s="1">
        <f>IFERROR(__xludf.DUMMYFUNCTION("""COMPUTED_VALUE"""),1.83)</f>
        <v>1.83</v>
      </c>
      <c r="C52" s="1">
        <f>IFERROR(__xludf.DUMMYFUNCTION("""COMPUTED_VALUE"""),2.28)</f>
        <v>2.28</v>
      </c>
      <c r="D52" s="1">
        <f>IFERROR(__xludf.DUMMYFUNCTION("""COMPUTED_VALUE"""),1.83)</f>
        <v>1.83</v>
      </c>
      <c r="E52" s="1">
        <f>IFERROR(__xludf.DUMMYFUNCTION("""COMPUTED_VALUE"""),2.28)</f>
        <v>2.28</v>
      </c>
      <c r="F52" s="1">
        <f>IFERROR(__xludf.DUMMYFUNCTION("""COMPUTED_VALUE"""),2101017.0)</f>
        <v>2101017</v>
      </c>
      <c r="G52" s="2" t="s">
        <v>2</v>
      </c>
    </row>
    <row r="53">
      <c r="A53" s="3">
        <f>IFERROR(__xludf.DUMMYFUNCTION("""COMPUTED_VALUE"""),44642.66666666667)</f>
        <v>44642.66667</v>
      </c>
      <c r="B53" s="1">
        <f>IFERROR(__xludf.DUMMYFUNCTION("""COMPUTED_VALUE"""),1.83)</f>
        <v>1.83</v>
      </c>
      <c r="C53" s="1">
        <f>IFERROR(__xludf.DUMMYFUNCTION("""COMPUTED_VALUE"""),2.28)</f>
        <v>2.28</v>
      </c>
      <c r="D53" s="1">
        <f>IFERROR(__xludf.DUMMYFUNCTION("""COMPUTED_VALUE"""),1.83)</f>
        <v>1.83</v>
      </c>
      <c r="E53" s="1">
        <f>IFERROR(__xludf.DUMMYFUNCTION("""COMPUTED_VALUE"""),2.28)</f>
        <v>2.28</v>
      </c>
      <c r="F53" s="1">
        <f>IFERROR(__xludf.DUMMYFUNCTION("""COMPUTED_VALUE"""),549000.0)</f>
        <v>549000</v>
      </c>
      <c r="G53" s="2" t="s">
        <v>2</v>
      </c>
    </row>
    <row r="54">
      <c r="A54" s="3">
        <f>IFERROR(__xludf.DUMMYFUNCTION("""COMPUTED_VALUE"""),44643.66666666667)</f>
        <v>44643.66667</v>
      </c>
      <c r="B54" s="1">
        <f>IFERROR(__xludf.DUMMYFUNCTION("""COMPUTED_VALUE"""),2.28)</f>
        <v>2.28</v>
      </c>
      <c r="C54" s="1">
        <f>IFERROR(__xludf.DUMMYFUNCTION("""COMPUTED_VALUE"""),2.28)</f>
        <v>2.28</v>
      </c>
      <c r="D54" s="1">
        <f>IFERROR(__xludf.DUMMYFUNCTION("""COMPUTED_VALUE"""),1.83)</f>
        <v>1.83</v>
      </c>
      <c r="E54" s="1">
        <f>IFERROR(__xludf.DUMMYFUNCTION("""COMPUTED_VALUE"""),2.28)</f>
        <v>2.28</v>
      </c>
      <c r="F54" s="1">
        <f>IFERROR(__xludf.DUMMYFUNCTION("""COMPUTED_VALUE"""),4100000.0)</f>
        <v>4100000</v>
      </c>
      <c r="G54" s="2" t="s">
        <v>2</v>
      </c>
    </row>
    <row r="55">
      <c r="A55" s="3">
        <f>IFERROR(__xludf.DUMMYFUNCTION("""COMPUTED_VALUE"""),44644.66666666667)</f>
        <v>44644.66667</v>
      </c>
      <c r="B55" s="1">
        <f>IFERROR(__xludf.DUMMYFUNCTION("""COMPUTED_VALUE"""),1.83)</f>
        <v>1.83</v>
      </c>
      <c r="C55" s="1">
        <f>IFERROR(__xludf.DUMMYFUNCTION("""COMPUTED_VALUE"""),2.28)</f>
        <v>2.28</v>
      </c>
      <c r="D55" s="1">
        <f>IFERROR(__xludf.DUMMYFUNCTION("""COMPUTED_VALUE"""),1.83)</f>
        <v>1.83</v>
      </c>
      <c r="E55" s="1">
        <f>IFERROR(__xludf.DUMMYFUNCTION("""COMPUTED_VALUE"""),1.83)</f>
        <v>1.83</v>
      </c>
      <c r="F55" s="1">
        <f>IFERROR(__xludf.DUMMYFUNCTION("""COMPUTED_VALUE"""),9986379.0)</f>
        <v>9986379</v>
      </c>
      <c r="G55" s="2" t="s">
        <v>2</v>
      </c>
    </row>
    <row r="56">
      <c r="A56" s="3">
        <f>IFERROR(__xludf.DUMMYFUNCTION("""COMPUTED_VALUE"""),44645.66666666667)</f>
        <v>44645.66667</v>
      </c>
      <c r="B56" s="1">
        <f>IFERROR(__xludf.DUMMYFUNCTION("""COMPUTED_VALUE"""),1.83)</f>
        <v>1.83</v>
      </c>
      <c r="C56" s="1">
        <f>IFERROR(__xludf.DUMMYFUNCTION("""COMPUTED_VALUE"""),1.83)</f>
        <v>1.83</v>
      </c>
      <c r="D56" s="1">
        <f>IFERROR(__xludf.DUMMYFUNCTION("""COMPUTED_VALUE"""),1.83)</f>
        <v>1.83</v>
      </c>
      <c r="E56" s="1">
        <f>IFERROR(__xludf.DUMMYFUNCTION("""COMPUTED_VALUE"""),1.83)</f>
        <v>1.83</v>
      </c>
      <c r="F56" s="1">
        <f>IFERROR(__xludf.DUMMYFUNCTION("""COMPUTED_VALUE"""),2.2648112E7)</f>
        <v>22648112</v>
      </c>
      <c r="G56" s="2" t="s">
        <v>2</v>
      </c>
    </row>
    <row r="57">
      <c r="A57" s="3">
        <f>IFERROR(__xludf.DUMMYFUNCTION("""COMPUTED_VALUE"""),44648.66666666667)</f>
        <v>44648.66667</v>
      </c>
      <c r="B57" s="1">
        <f>IFERROR(__xludf.DUMMYFUNCTION("""COMPUTED_VALUE"""),2.74)</f>
        <v>2.74</v>
      </c>
      <c r="C57" s="1">
        <f>IFERROR(__xludf.DUMMYFUNCTION("""COMPUTED_VALUE"""),2.74)</f>
        <v>2.74</v>
      </c>
      <c r="D57" s="1">
        <f>IFERROR(__xludf.DUMMYFUNCTION("""COMPUTED_VALUE"""),2.28)</f>
        <v>2.28</v>
      </c>
      <c r="E57" s="1">
        <f>IFERROR(__xludf.DUMMYFUNCTION("""COMPUTED_VALUE"""),2.28)</f>
        <v>2.28</v>
      </c>
      <c r="F57" s="1">
        <f>IFERROR(__xludf.DUMMYFUNCTION("""COMPUTED_VALUE"""),9197496.0)</f>
        <v>9197496</v>
      </c>
      <c r="G57" s="2" t="s">
        <v>2</v>
      </c>
    </row>
    <row r="58">
      <c r="A58" s="3">
        <f>IFERROR(__xludf.DUMMYFUNCTION("""COMPUTED_VALUE"""),44649.66666666667)</f>
        <v>44649.66667</v>
      </c>
      <c r="B58" s="1">
        <f>IFERROR(__xludf.DUMMYFUNCTION("""COMPUTED_VALUE"""),1.83)</f>
        <v>1.83</v>
      </c>
      <c r="C58" s="1">
        <f>IFERROR(__xludf.DUMMYFUNCTION("""COMPUTED_VALUE"""),2.28)</f>
        <v>2.28</v>
      </c>
      <c r="D58" s="1">
        <f>IFERROR(__xludf.DUMMYFUNCTION("""COMPUTED_VALUE"""),1.83)</f>
        <v>1.83</v>
      </c>
      <c r="E58" s="1">
        <f>IFERROR(__xludf.DUMMYFUNCTION("""COMPUTED_VALUE"""),1.83)</f>
        <v>1.83</v>
      </c>
      <c r="F58" s="1">
        <f>IFERROR(__xludf.DUMMYFUNCTION("""COMPUTED_VALUE"""),837145.0)</f>
        <v>837145</v>
      </c>
      <c r="G58" s="2" t="s">
        <v>2</v>
      </c>
    </row>
    <row r="59">
      <c r="A59" s="3">
        <f>IFERROR(__xludf.DUMMYFUNCTION("""COMPUTED_VALUE"""),44650.66666666667)</f>
        <v>44650.66667</v>
      </c>
      <c r="B59" s="1">
        <f>IFERROR(__xludf.DUMMYFUNCTION("""COMPUTED_VALUE"""),1.83)</f>
        <v>1.83</v>
      </c>
      <c r="C59" s="1">
        <f>IFERROR(__xludf.DUMMYFUNCTION("""COMPUTED_VALUE"""),2.28)</f>
        <v>2.28</v>
      </c>
      <c r="D59" s="1">
        <f>IFERROR(__xludf.DUMMYFUNCTION("""COMPUTED_VALUE"""),1.83)</f>
        <v>1.83</v>
      </c>
      <c r="E59" s="1">
        <f>IFERROR(__xludf.DUMMYFUNCTION("""COMPUTED_VALUE"""),2.28)</f>
        <v>2.28</v>
      </c>
      <c r="F59" s="1">
        <f>IFERROR(__xludf.DUMMYFUNCTION("""COMPUTED_VALUE"""),6841369.0)</f>
        <v>6841369</v>
      </c>
      <c r="G59" s="2" t="s">
        <v>2</v>
      </c>
    </row>
    <row r="60">
      <c r="A60" s="3">
        <f>IFERROR(__xludf.DUMMYFUNCTION("""COMPUTED_VALUE"""),44651.66666666667)</f>
        <v>44651.66667</v>
      </c>
      <c r="B60" s="1">
        <f>IFERROR(__xludf.DUMMYFUNCTION("""COMPUTED_VALUE"""),2.74)</f>
        <v>2.74</v>
      </c>
      <c r="C60" s="1">
        <f>IFERROR(__xludf.DUMMYFUNCTION("""COMPUTED_VALUE"""),2.74)</f>
        <v>2.74</v>
      </c>
      <c r="D60" s="1">
        <f>IFERROR(__xludf.DUMMYFUNCTION("""COMPUTED_VALUE"""),1.83)</f>
        <v>1.83</v>
      </c>
      <c r="E60" s="1">
        <f>IFERROR(__xludf.DUMMYFUNCTION("""COMPUTED_VALUE"""),2.28)</f>
        <v>2.28</v>
      </c>
      <c r="F60" s="1">
        <f>IFERROR(__xludf.DUMMYFUNCTION("""COMPUTED_VALUE"""),1806908.0)</f>
        <v>1806908</v>
      </c>
      <c r="G60" s="2" t="s">
        <v>2</v>
      </c>
    </row>
    <row r="61">
      <c r="A61" s="3">
        <f>IFERROR(__xludf.DUMMYFUNCTION("""COMPUTED_VALUE"""),44652.66666666667)</f>
        <v>44652.66667</v>
      </c>
      <c r="B61" s="1">
        <f>IFERROR(__xludf.DUMMYFUNCTION("""COMPUTED_VALUE"""),2.28)</f>
        <v>2.28</v>
      </c>
      <c r="C61" s="1">
        <f>IFERROR(__xludf.DUMMYFUNCTION("""COMPUTED_VALUE"""),2.28)</f>
        <v>2.28</v>
      </c>
      <c r="D61" s="1">
        <f>IFERROR(__xludf.DUMMYFUNCTION("""COMPUTED_VALUE"""),2.28)</f>
        <v>2.28</v>
      </c>
      <c r="E61" s="1">
        <f>IFERROR(__xludf.DUMMYFUNCTION("""COMPUTED_VALUE"""),2.28)</f>
        <v>2.28</v>
      </c>
      <c r="F61" s="1">
        <f>IFERROR(__xludf.DUMMYFUNCTION("""COMPUTED_VALUE"""),600000.0)</f>
        <v>600000</v>
      </c>
      <c r="G61" s="2" t="s">
        <v>2</v>
      </c>
    </row>
    <row r="62">
      <c r="A62" s="3">
        <f>IFERROR(__xludf.DUMMYFUNCTION("""COMPUTED_VALUE"""),44656.66666666667)</f>
        <v>44656.66667</v>
      </c>
      <c r="B62" s="1">
        <f>IFERROR(__xludf.DUMMYFUNCTION("""COMPUTED_VALUE"""),1.83)</f>
        <v>1.83</v>
      </c>
      <c r="C62" s="1">
        <f>IFERROR(__xludf.DUMMYFUNCTION("""COMPUTED_VALUE"""),2.28)</f>
        <v>2.28</v>
      </c>
      <c r="D62" s="1">
        <f>IFERROR(__xludf.DUMMYFUNCTION("""COMPUTED_VALUE"""),1.83)</f>
        <v>1.83</v>
      </c>
      <c r="E62" s="1">
        <f>IFERROR(__xludf.DUMMYFUNCTION("""COMPUTED_VALUE"""),1.83)</f>
        <v>1.83</v>
      </c>
      <c r="F62" s="1">
        <f>IFERROR(__xludf.DUMMYFUNCTION("""COMPUTED_VALUE"""),6537185.0)</f>
        <v>6537185</v>
      </c>
      <c r="G62" s="2" t="s">
        <v>2</v>
      </c>
    </row>
    <row r="63">
      <c r="A63" s="3">
        <f>IFERROR(__xludf.DUMMYFUNCTION("""COMPUTED_VALUE"""),44657.66666666667)</f>
        <v>44657.66667</v>
      </c>
      <c r="B63" s="1">
        <f>IFERROR(__xludf.DUMMYFUNCTION("""COMPUTED_VALUE"""),1.83)</f>
        <v>1.83</v>
      </c>
      <c r="C63" s="1">
        <f>IFERROR(__xludf.DUMMYFUNCTION("""COMPUTED_VALUE"""),1.83)</f>
        <v>1.83</v>
      </c>
      <c r="D63" s="1">
        <f>IFERROR(__xludf.DUMMYFUNCTION("""COMPUTED_VALUE"""),1.83)</f>
        <v>1.83</v>
      </c>
      <c r="E63" s="1">
        <f>IFERROR(__xludf.DUMMYFUNCTION("""COMPUTED_VALUE"""),1.83)</f>
        <v>1.83</v>
      </c>
      <c r="F63" s="1">
        <f>IFERROR(__xludf.DUMMYFUNCTION("""COMPUTED_VALUE"""),1765496.0)</f>
        <v>1765496</v>
      </c>
      <c r="G63" s="2" t="s">
        <v>2</v>
      </c>
    </row>
    <row r="64">
      <c r="A64" s="3">
        <f>IFERROR(__xludf.DUMMYFUNCTION("""COMPUTED_VALUE"""),44658.66666666667)</f>
        <v>44658.66667</v>
      </c>
      <c r="B64" s="1">
        <f>IFERROR(__xludf.DUMMYFUNCTION("""COMPUTED_VALUE"""),1.83)</f>
        <v>1.83</v>
      </c>
      <c r="C64" s="1">
        <f>IFERROR(__xludf.DUMMYFUNCTION("""COMPUTED_VALUE"""),2.28)</f>
        <v>2.28</v>
      </c>
      <c r="D64" s="1">
        <f>IFERROR(__xludf.DUMMYFUNCTION("""COMPUTED_VALUE"""),1.83)</f>
        <v>1.83</v>
      </c>
      <c r="E64" s="1">
        <f>IFERROR(__xludf.DUMMYFUNCTION("""COMPUTED_VALUE"""),2.28)</f>
        <v>2.28</v>
      </c>
      <c r="F64" s="1">
        <f>IFERROR(__xludf.DUMMYFUNCTION("""COMPUTED_VALUE"""),1.7635935E7)</f>
        <v>17635935</v>
      </c>
      <c r="G64" s="2" t="s">
        <v>2</v>
      </c>
    </row>
    <row r="65">
      <c r="A65" s="3">
        <f>IFERROR(__xludf.DUMMYFUNCTION("""COMPUTED_VALUE"""),44659.66666666667)</f>
        <v>44659.66667</v>
      </c>
      <c r="B65" s="1">
        <f>IFERROR(__xludf.DUMMYFUNCTION("""COMPUTED_VALUE"""),2.74)</f>
        <v>2.74</v>
      </c>
      <c r="C65" s="1">
        <f>IFERROR(__xludf.DUMMYFUNCTION("""COMPUTED_VALUE"""),2.74)</f>
        <v>2.74</v>
      </c>
      <c r="D65" s="1">
        <f>IFERROR(__xludf.DUMMYFUNCTION("""COMPUTED_VALUE"""),2.28)</f>
        <v>2.28</v>
      </c>
      <c r="E65" s="1">
        <f>IFERROR(__xludf.DUMMYFUNCTION("""COMPUTED_VALUE"""),2.28)</f>
        <v>2.28</v>
      </c>
      <c r="F65" s="1">
        <f>IFERROR(__xludf.DUMMYFUNCTION("""COMPUTED_VALUE"""),2485584.0)</f>
        <v>2485584</v>
      </c>
      <c r="G65" s="2" t="s">
        <v>2</v>
      </c>
    </row>
    <row r="66">
      <c r="A66" s="3">
        <f>IFERROR(__xludf.DUMMYFUNCTION("""COMPUTED_VALUE"""),44662.66666666667)</f>
        <v>44662.66667</v>
      </c>
      <c r="B66" s="1">
        <f>IFERROR(__xludf.DUMMYFUNCTION("""COMPUTED_VALUE"""),2.74)</f>
        <v>2.74</v>
      </c>
      <c r="C66" s="1">
        <f>IFERROR(__xludf.DUMMYFUNCTION("""COMPUTED_VALUE"""),2.74)</f>
        <v>2.74</v>
      </c>
      <c r="D66" s="1">
        <f>IFERROR(__xludf.DUMMYFUNCTION("""COMPUTED_VALUE"""),1.83)</f>
        <v>1.83</v>
      </c>
      <c r="E66" s="1">
        <f>IFERROR(__xludf.DUMMYFUNCTION("""COMPUTED_VALUE"""),1.83)</f>
        <v>1.83</v>
      </c>
      <c r="F66" s="1">
        <f>IFERROR(__xludf.DUMMYFUNCTION("""COMPUTED_VALUE"""),9.2387107E7)</f>
        <v>92387107</v>
      </c>
      <c r="G66" s="2" t="s">
        <v>2</v>
      </c>
    </row>
    <row r="67">
      <c r="A67" s="3">
        <f>IFERROR(__xludf.DUMMYFUNCTION("""COMPUTED_VALUE"""),44663.66666666667)</f>
        <v>44663.66667</v>
      </c>
      <c r="B67" s="1">
        <f>IFERROR(__xludf.DUMMYFUNCTION("""COMPUTED_VALUE"""),1.83)</f>
        <v>1.83</v>
      </c>
      <c r="C67" s="1">
        <f>IFERROR(__xludf.DUMMYFUNCTION("""COMPUTED_VALUE"""),1.83)</f>
        <v>1.83</v>
      </c>
      <c r="D67" s="1">
        <f>IFERROR(__xludf.DUMMYFUNCTION("""COMPUTED_VALUE"""),1.83)</f>
        <v>1.83</v>
      </c>
      <c r="E67" s="1">
        <f>IFERROR(__xludf.DUMMYFUNCTION("""COMPUTED_VALUE"""),1.83)</f>
        <v>1.83</v>
      </c>
      <c r="F67" s="1">
        <f>IFERROR(__xludf.DUMMYFUNCTION("""COMPUTED_VALUE"""),3.227498E7)</f>
        <v>32274980</v>
      </c>
      <c r="G67" s="2" t="s">
        <v>2</v>
      </c>
    </row>
    <row r="68">
      <c r="A68" s="3">
        <f>IFERROR(__xludf.DUMMYFUNCTION("""COMPUTED_VALUE"""),44664.66666666667)</f>
        <v>44664.66667</v>
      </c>
      <c r="B68" s="1">
        <f>IFERROR(__xludf.DUMMYFUNCTION("""COMPUTED_VALUE"""),1.83)</f>
        <v>1.83</v>
      </c>
      <c r="C68" s="1">
        <f>IFERROR(__xludf.DUMMYFUNCTION("""COMPUTED_VALUE"""),1.83)</f>
        <v>1.83</v>
      </c>
      <c r="D68" s="1">
        <f>IFERROR(__xludf.DUMMYFUNCTION("""COMPUTED_VALUE"""),1.83)</f>
        <v>1.83</v>
      </c>
      <c r="E68" s="1">
        <f>IFERROR(__xludf.DUMMYFUNCTION("""COMPUTED_VALUE"""),1.83)</f>
        <v>1.83</v>
      </c>
      <c r="F68" s="1">
        <f>IFERROR(__xludf.DUMMYFUNCTION("""COMPUTED_VALUE"""),3639682.0)</f>
        <v>3639682</v>
      </c>
      <c r="G68" s="2" t="s">
        <v>2</v>
      </c>
    </row>
    <row r="69">
      <c r="A69" s="3">
        <f>IFERROR(__xludf.DUMMYFUNCTION("""COMPUTED_VALUE"""),44665.66666666667)</f>
        <v>44665.66667</v>
      </c>
      <c r="B69" s="1">
        <f>IFERROR(__xludf.DUMMYFUNCTION("""COMPUTED_VALUE"""),1.83)</f>
        <v>1.83</v>
      </c>
      <c r="C69" s="1">
        <f>IFERROR(__xludf.DUMMYFUNCTION("""COMPUTED_VALUE"""),1.83)</f>
        <v>1.83</v>
      </c>
      <c r="D69" s="1">
        <f>IFERROR(__xludf.DUMMYFUNCTION("""COMPUTED_VALUE"""),1.83)</f>
        <v>1.83</v>
      </c>
      <c r="E69" s="1">
        <f>IFERROR(__xludf.DUMMYFUNCTION("""COMPUTED_VALUE"""),1.83)</f>
        <v>1.83</v>
      </c>
      <c r="F69" s="1">
        <f>IFERROR(__xludf.DUMMYFUNCTION("""COMPUTED_VALUE"""),1.224998E7)</f>
        <v>12249980</v>
      </c>
      <c r="G69" s="2" t="s">
        <v>2</v>
      </c>
    </row>
    <row r="70">
      <c r="A70" s="3">
        <f>IFERROR(__xludf.DUMMYFUNCTION("""COMPUTED_VALUE"""),44670.66666666667)</f>
        <v>44670.66667</v>
      </c>
      <c r="B70" s="1">
        <f>IFERROR(__xludf.DUMMYFUNCTION("""COMPUTED_VALUE"""),1.83)</f>
        <v>1.83</v>
      </c>
      <c r="C70" s="1">
        <f>IFERROR(__xludf.DUMMYFUNCTION("""COMPUTED_VALUE"""),1.83)</f>
        <v>1.83</v>
      </c>
      <c r="D70" s="1">
        <f>IFERROR(__xludf.DUMMYFUNCTION("""COMPUTED_VALUE"""),1.83)</f>
        <v>1.83</v>
      </c>
      <c r="E70" s="1">
        <f>IFERROR(__xludf.DUMMYFUNCTION("""COMPUTED_VALUE"""),1.83)</f>
        <v>1.83</v>
      </c>
      <c r="F70" s="1">
        <f>IFERROR(__xludf.DUMMYFUNCTION("""COMPUTED_VALUE"""),1924060.0)</f>
        <v>1924060</v>
      </c>
      <c r="G70" s="2" t="s">
        <v>2</v>
      </c>
    </row>
    <row r="71">
      <c r="A71" s="3">
        <f>IFERROR(__xludf.DUMMYFUNCTION("""COMPUTED_VALUE"""),44671.66666666667)</f>
        <v>44671.66667</v>
      </c>
      <c r="B71" s="1">
        <f>IFERROR(__xludf.DUMMYFUNCTION("""COMPUTED_VALUE"""),1.83)</f>
        <v>1.83</v>
      </c>
      <c r="C71" s="1">
        <f>IFERROR(__xludf.DUMMYFUNCTION("""COMPUTED_VALUE"""),1.83)</f>
        <v>1.83</v>
      </c>
      <c r="D71" s="1">
        <f>IFERROR(__xludf.DUMMYFUNCTION("""COMPUTED_VALUE"""),1.83)</f>
        <v>1.83</v>
      </c>
      <c r="E71" s="1">
        <f>IFERROR(__xludf.DUMMYFUNCTION("""COMPUTED_VALUE"""),1.83)</f>
        <v>1.83</v>
      </c>
      <c r="F71" s="1">
        <f>IFERROR(__xludf.DUMMYFUNCTION("""COMPUTED_VALUE"""),2.4326473E7)</f>
        <v>24326473</v>
      </c>
      <c r="G71" s="2" t="s">
        <v>2</v>
      </c>
    </row>
    <row r="72">
      <c r="A72" s="3">
        <f>IFERROR(__xludf.DUMMYFUNCTION("""COMPUTED_VALUE"""),44672.66666666667)</f>
        <v>44672.66667</v>
      </c>
      <c r="B72" s="1">
        <f>IFERROR(__xludf.DUMMYFUNCTION("""COMPUTED_VALUE"""),1.83)</f>
        <v>1.83</v>
      </c>
      <c r="C72" s="1">
        <f>IFERROR(__xludf.DUMMYFUNCTION("""COMPUTED_VALUE"""),1.83)</f>
        <v>1.83</v>
      </c>
      <c r="D72" s="1">
        <f>IFERROR(__xludf.DUMMYFUNCTION("""COMPUTED_VALUE"""),1.83)</f>
        <v>1.83</v>
      </c>
      <c r="E72" s="1">
        <f>IFERROR(__xludf.DUMMYFUNCTION("""COMPUTED_VALUE"""),1.83)</f>
        <v>1.83</v>
      </c>
      <c r="F72" s="1">
        <f>IFERROR(__xludf.DUMMYFUNCTION("""COMPUTED_VALUE"""),100000.0)</f>
        <v>100000</v>
      </c>
      <c r="G72" s="2" t="s">
        <v>2</v>
      </c>
    </row>
    <row r="73">
      <c r="A73" s="3">
        <f>IFERROR(__xludf.DUMMYFUNCTION("""COMPUTED_VALUE"""),44673.66666666667)</f>
        <v>44673.66667</v>
      </c>
      <c r="B73" s="1">
        <f>IFERROR(__xludf.DUMMYFUNCTION("""COMPUTED_VALUE"""),1.83)</f>
        <v>1.83</v>
      </c>
      <c r="C73" s="1">
        <f>IFERROR(__xludf.DUMMYFUNCTION("""COMPUTED_VALUE"""),1.83)</f>
        <v>1.83</v>
      </c>
      <c r="D73" s="1">
        <f>IFERROR(__xludf.DUMMYFUNCTION("""COMPUTED_VALUE"""),1.83)</f>
        <v>1.83</v>
      </c>
      <c r="E73" s="1">
        <f>IFERROR(__xludf.DUMMYFUNCTION("""COMPUTED_VALUE"""),1.83)</f>
        <v>1.83</v>
      </c>
      <c r="F73" s="1">
        <f>IFERROR(__xludf.DUMMYFUNCTION("""COMPUTED_VALUE"""),2750025.0)</f>
        <v>2750025</v>
      </c>
      <c r="G73" s="2" t="s">
        <v>2</v>
      </c>
    </row>
    <row r="74">
      <c r="A74" s="3">
        <f>IFERROR(__xludf.DUMMYFUNCTION("""COMPUTED_VALUE"""),44677.66666666667)</f>
        <v>44677.66667</v>
      </c>
      <c r="B74" s="1">
        <f>IFERROR(__xludf.DUMMYFUNCTION("""COMPUTED_VALUE"""),1.83)</f>
        <v>1.83</v>
      </c>
      <c r="C74" s="1">
        <f>IFERROR(__xludf.DUMMYFUNCTION("""COMPUTED_VALUE"""),1.83)</f>
        <v>1.83</v>
      </c>
      <c r="D74" s="1">
        <f>IFERROR(__xludf.DUMMYFUNCTION("""COMPUTED_VALUE"""),1.37)</f>
        <v>1.37</v>
      </c>
      <c r="E74" s="1">
        <f>IFERROR(__xludf.DUMMYFUNCTION("""COMPUTED_VALUE"""),1.37)</f>
        <v>1.37</v>
      </c>
      <c r="F74" s="1">
        <f>IFERROR(__xludf.DUMMYFUNCTION("""COMPUTED_VALUE"""),2000000.0)</f>
        <v>2000000</v>
      </c>
      <c r="G74" s="2" t="s">
        <v>2</v>
      </c>
    </row>
    <row r="75">
      <c r="A75" s="3">
        <f>IFERROR(__xludf.DUMMYFUNCTION("""COMPUTED_VALUE"""),44678.66666666667)</f>
        <v>44678.66667</v>
      </c>
      <c r="B75" s="1">
        <f>IFERROR(__xludf.DUMMYFUNCTION("""COMPUTED_VALUE"""),1.83)</f>
        <v>1.83</v>
      </c>
      <c r="C75" s="1">
        <f>IFERROR(__xludf.DUMMYFUNCTION("""COMPUTED_VALUE"""),1.83)</f>
        <v>1.83</v>
      </c>
      <c r="D75" s="1">
        <f>IFERROR(__xludf.DUMMYFUNCTION("""COMPUTED_VALUE"""),1.83)</f>
        <v>1.83</v>
      </c>
      <c r="E75" s="1">
        <f>IFERROR(__xludf.DUMMYFUNCTION("""COMPUTED_VALUE"""),1.83)</f>
        <v>1.83</v>
      </c>
      <c r="F75" s="1">
        <f>IFERROR(__xludf.DUMMYFUNCTION("""COMPUTED_VALUE"""),199951.0)</f>
        <v>199951</v>
      </c>
      <c r="G75" s="2" t="s">
        <v>2</v>
      </c>
    </row>
    <row r="76">
      <c r="A76" s="3">
        <f>IFERROR(__xludf.DUMMYFUNCTION("""COMPUTED_VALUE"""),44679.66666666667)</f>
        <v>44679.66667</v>
      </c>
      <c r="B76" s="1">
        <f>IFERROR(__xludf.DUMMYFUNCTION("""COMPUTED_VALUE"""),1.83)</f>
        <v>1.83</v>
      </c>
      <c r="C76" s="1">
        <f>IFERROR(__xludf.DUMMYFUNCTION("""COMPUTED_VALUE"""),1.83)</f>
        <v>1.83</v>
      </c>
      <c r="D76" s="1">
        <f>IFERROR(__xludf.DUMMYFUNCTION("""COMPUTED_VALUE"""),1.83)</f>
        <v>1.83</v>
      </c>
      <c r="E76" s="1">
        <f>IFERROR(__xludf.DUMMYFUNCTION("""COMPUTED_VALUE"""),1.83)</f>
        <v>1.83</v>
      </c>
      <c r="F76" s="1">
        <f>IFERROR(__xludf.DUMMYFUNCTION("""COMPUTED_VALUE"""),1999359.0)</f>
        <v>1999359</v>
      </c>
      <c r="G76" s="2" t="s">
        <v>2</v>
      </c>
    </row>
    <row r="77">
      <c r="A77" s="3">
        <f>IFERROR(__xludf.DUMMYFUNCTION("""COMPUTED_VALUE"""),44680.66666666667)</f>
        <v>44680.66667</v>
      </c>
      <c r="B77" s="1">
        <f>IFERROR(__xludf.DUMMYFUNCTION("""COMPUTED_VALUE"""),1.83)</f>
        <v>1.83</v>
      </c>
      <c r="C77" s="1">
        <f>IFERROR(__xludf.DUMMYFUNCTION("""COMPUTED_VALUE"""),1.83)</f>
        <v>1.83</v>
      </c>
      <c r="D77" s="1">
        <f>IFERROR(__xludf.DUMMYFUNCTION("""COMPUTED_VALUE"""),1.83)</f>
        <v>1.83</v>
      </c>
      <c r="E77" s="1">
        <f>IFERROR(__xludf.DUMMYFUNCTION("""COMPUTED_VALUE"""),1.83)</f>
        <v>1.83</v>
      </c>
      <c r="F77" s="1">
        <f>IFERROR(__xludf.DUMMYFUNCTION("""COMPUTED_VALUE"""),1307933.0)</f>
        <v>1307933</v>
      </c>
      <c r="G77" s="2" t="s">
        <v>2</v>
      </c>
    </row>
    <row r="78">
      <c r="A78" s="3">
        <f>IFERROR(__xludf.DUMMYFUNCTION("""COMPUTED_VALUE"""),44683.66666666667)</f>
        <v>44683.66667</v>
      </c>
      <c r="B78" s="1">
        <f>IFERROR(__xludf.DUMMYFUNCTION("""COMPUTED_VALUE"""),1.83)</f>
        <v>1.83</v>
      </c>
      <c r="C78" s="1">
        <f>IFERROR(__xludf.DUMMYFUNCTION("""COMPUTED_VALUE"""),1.83)</f>
        <v>1.83</v>
      </c>
      <c r="D78" s="1">
        <f>IFERROR(__xludf.DUMMYFUNCTION("""COMPUTED_VALUE"""),1.37)</f>
        <v>1.37</v>
      </c>
      <c r="E78" s="1">
        <f>IFERROR(__xludf.DUMMYFUNCTION("""COMPUTED_VALUE"""),1.83)</f>
        <v>1.83</v>
      </c>
      <c r="F78" s="1">
        <f>IFERROR(__xludf.DUMMYFUNCTION("""COMPUTED_VALUE"""),1.0089212E7)</f>
        <v>10089212</v>
      </c>
      <c r="G78" s="2" t="s">
        <v>2</v>
      </c>
    </row>
    <row r="79">
      <c r="A79" s="3">
        <f>IFERROR(__xludf.DUMMYFUNCTION("""COMPUTED_VALUE"""),44693.66666666667)</f>
        <v>44693.66667</v>
      </c>
      <c r="B79" s="1">
        <f>IFERROR(__xludf.DUMMYFUNCTION("""COMPUTED_VALUE"""),0.04)</f>
        <v>0.04</v>
      </c>
      <c r="C79" s="1">
        <f>IFERROR(__xludf.DUMMYFUNCTION("""COMPUTED_VALUE"""),0.04)</f>
        <v>0.04</v>
      </c>
      <c r="D79" s="1">
        <f>IFERROR(__xludf.DUMMYFUNCTION("""COMPUTED_VALUE"""),0.04)</f>
        <v>0.04</v>
      </c>
      <c r="E79" s="1">
        <f>IFERROR(__xludf.DUMMYFUNCTION("""COMPUTED_VALUE"""),0.04)</f>
        <v>0.04</v>
      </c>
      <c r="F79" s="1">
        <f>IFERROR(__xludf.DUMMYFUNCTION("""COMPUTED_VALUE"""),599753.0)</f>
        <v>599753</v>
      </c>
      <c r="G79" s="2" t="s">
        <v>2</v>
      </c>
    </row>
    <row r="80">
      <c r="A80" s="3">
        <f>IFERROR(__xludf.DUMMYFUNCTION("""COMPUTED_VALUE"""),44694.66666666667)</f>
        <v>44694.66667</v>
      </c>
      <c r="B80" s="1">
        <f>IFERROR(__xludf.DUMMYFUNCTION("""COMPUTED_VALUE"""),0.04)</f>
        <v>0.04</v>
      </c>
      <c r="C80" s="1">
        <f>IFERROR(__xludf.DUMMYFUNCTION("""COMPUTED_VALUE"""),0.05)</f>
        <v>0.05</v>
      </c>
      <c r="D80" s="1">
        <f>IFERROR(__xludf.DUMMYFUNCTION("""COMPUTED_VALUE"""),0.04)</f>
        <v>0.04</v>
      </c>
      <c r="E80" s="1">
        <f>IFERROR(__xludf.DUMMYFUNCTION("""COMPUTED_VALUE"""),0.05)</f>
        <v>0.05</v>
      </c>
      <c r="F80" s="1">
        <f>IFERROR(__xludf.DUMMYFUNCTION("""COMPUTED_VALUE"""),1944570.0)</f>
        <v>1944570</v>
      </c>
      <c r="G80" s="2" t="s">
        <v>2</v>
      </c>
    </row>
    <row r="81">
      <c r="A81" s="3">
        <f>IFERROR(__xludf.DUMMYFUNCTION("""COMPUTED_VALUE"""),44697.66666666667)</f>
        <v>44697.66667</v>
      </c>
      <c r="B81" s="1">
        <f>IFERROR(__xludf.DUMMYFUNCTION("""COMPUTED_VALUE"""),0.05)</f>
        <v>0.05</v>
      </c>
      <c r="C81" s="1">
        <f>IFERROR(__xludf.DUMMYFUNCTION("""COMPUTED_VALUE"""),0.05)</f>
        <v>0.05</v>
      </c>
      <c r="D81" s="1">
        <f>IFERROR(__xludf.DUMMYFUNCTION("""COMPUTED_VALUE"""),0.05)</f>
        <v>0.05</v>
      </c>
      <c r="E81" s="1">
        <f>IFERROR(__xludf.DUMMYFUNCTION("""COMPUTED_VALUE"""),0.05)</f>
        <v>0.05</v>
      </c>
      <c r="F81" s="1">
        <f>IFERROR(__xludf.DUMMYFUNCTION("""COMPUTED_VALUE"""),1389467.0)</f>
        <v>1389467</v>
      </c>
      <c r="G81" s="2" t="s">
        <v>2</v>
      </c>
    </row>
    <row r="82">
      <c r="A82" s="3">
        <f>IFERROR(__xludf.DUMMYFUNCTION("""COMPUTED_VALUE"""),44698.66666666667)</f>
        <v>44698.66667</v>
      </c>
      <c r="B82" s="1">
        <f>IFERROR(__xludf.DUMMYFUNCTION("""COMPUTED_VALUE"""),0.05)</f>
        <v>0.05</v>
      </c>
      <c r="C82" s="1">
        <f>IFERROR(__xludf.DUMMYFUNCTION("""COMPUTED_VALUE"""),0.05)</f>
        <v>0.05</v>
      </c>
      <c r="D82" s="1">
        <f>IFERROR(__xludf.DUMMYFUNCTION("""COMPUTED_VALUE"""),0.05)</f>
        <v>0.05</v>
      </c>
      <c r="E82" s="1">
        <f>IFERROR(__xludf.DUMMYFUNCTION("""COMPUTED_VALUE"""),0.05)</f>
        <v>0.05</v>
      </c>
      <c r="F82" s="1">
        <f>IFERROR(__xludf.DUMMYFUNCTION("""COMPUTED_VALUE"""),2065849.0)</f>
        <v>2065849</v>
      </c>
      <c r="G82" s="2" t="s">
        <v>2</v>
      </c>
    </row>
    <row r="83">
      <c r="A83" s="3">
        <f>IFERROR(__xludf.DUMMYFUNCTION("""COMPUTED_VALUE"""),44699.66666666667)</f>
        <v>44699.66667</v>
      </c>
      <c r="B83" s="1">
        <f>IFERROR(__xludf.DUMMYFUNCTION("""COMPUTED_VALUE"""),0.05)</f>
        <v>0.05</v>
      </c>
      <c r="C83" s="1">
        <f>IFERROR(__xludf.DUMMYFUNCTION("""COMPUTED_VALUE"""),0.05)</f>
        <v>0.05</v>
      </c>
      <c r="D83" s="1">
        <f>IFERROR(__xludf.DUMMYFUNCTION("""COMPUTED_VALUE"""),0.05)</f>
        <v>0.05</v>
      </c>
      <c r="E83" s="1">
        <f>IFERROR(__xludf.DUMMYFUNCTION("""COMPUTED_VALUE"""),0.05)</f>
        <v>0.05</v>
      </c>
      <c r="F83" s="1">
        <f>IFERROR(__xludf.DUMMYFUNCTION("""COMPUTED_VALUE"""),1930657.0)</f>
        <v>1930657</v>
      </c>
      <c r="G83" s="2" t="s">
        <v>2</v>
      </c>
    </row>
    <row r="84">
      <c r="A84" s="3">
        <f>IFERROR(__xludf.DUMMYFUNCTION("""COMPUTED_VALUE"""),44700.66666666667)</f>
        <v>44700.66667</v>
      </c>
      <c r="B84" s="1">
        <f>IFERROR(__xludf.DUMMYFUNCTION("""COMPUTED_VALUE"""),0.05)</f>
        <v>0.05</v>
      </c>
      <c r="C84" s="1">
        <f>IFERROR(__xludf.DUMMYFUNCTION("""COMPUTED_VALUE"""),0.05)</f>
        <v>0.05</v>
      </c>
      <c r="D84" s="1">
        <f>IFERROR(__xludf.DUMMYFUNCTION("""COMPUTED_VALUE"""),0.05)</f>
        <v>0.05</v>
      </c>
      <c r="E84" s="1">
        <f>IFERROR(__xludf.DUMMYFUNCTION("""COMPUTED_VALUE"""),0.05)</f>
        <v>0.05</v>
      </c>
      <c r="F84" s="1">
        <f>IFERROR(__xludf.DUMMYFUNCTION("""COMPUTED_VALUE"""),295347.0)</f>
        <v>295347</v>
      </c>
      <c r="G84" s="2" t="s">
        <v>2</v>
      </c>
    </row>
    <row r="85">
      <c r="A85" s="3">
        <f>IFERROR(__xludf.DUMMYFUNCTION("""COMPUTED_VALUE"""),44701.66666666667)</f>
        <v>44701.66667</v>
      </c>
      <c r="B85" s="1">
        <f>IFERROR(__xludf.DUMMYFUNCTION("""COMPUTED_VALUE"""),0.05)</f>
        <v>0.05</v>
      </c>
      <c r="C85" s="1">
        <f>IFERROR(__xludf.DUMMYFUNCTION("""COMPUTED_VALUE"""),0.05)</f>
        <v>0.05</v>
      </c>
      <c r="D85" s="1">
        <f>IFERROR(__xludf.DUMMYFUNCTION("""COMPUTED_VALUE"""),0.05)</f>
        <v>0.05</v>
      </c>
      <c r="E85" s="1">
        <f>IFERROR(__xludf.DUMMYFUNCTION("""COMPUTED_VALUE"""),0.05)</f>
        <v>0.05</v>
      </c>
      <c r="F85" s="1">
        <f>IFERROR(__xludf.DUMMYFUNCTION("""COMPUTED_VALUE"""),127156.0)</f>
        <v>127156</v>
      </c>
      <c r="G85" s="2" t="s">
        <v>2</v>
      </c>
    </row>
    <row r="86">
      <c r="A86" s="3">
        <f>IFERROR(__xludf.DUMMYFUNCTION("""COMPUTED_VALUE"""),44704.66666666667)</f>
        <v>44704.66667</v>
      </c>
      <c r="B86" s="1">
        <f>IFERROR(__xludf.DUMMYFUNCTION("""COMPUTED_VALUE"""),0.05)</f>
        <v>0.05</v>
      </c>
      <c r="C86" s="1">
        <f>IFERROR(__xludf.DUMMYFUNCTION("""COMPUTED_VALUE"""),0.05)</f>
        <v>0.05</v>
      </c>
      <c r="D86" s="1">
        <f>IFERROR(__xludf.DUMMYFUNCTION("""COMPUTED_VALUE"""),0.05)</f>
        <v>0.05</v>
      </c>
      <c r="E86" s="1">
        <f>IFERROR(__xludf.DUMMYFUNCTION("""COMPUTED_VALUE"""),0.05)</f>
        <v>0.05</v>
      </c>
      <c r="F86" s="1">
        <f>IFERROR(__xludf.DUMMYFUNCTION("""COMPUTED_VALUE"""),241907.0)</f>
        <v>241907</v>
      </c>
      <c r="G86" s="2" t="s">
        <v>2</v>
      </c>
    </row>
    <row r="87">
      <c r="A87" s="3">
        <f>IFERROR(__xludf.DUMMYFUNCTION("""COMPUTED_VALUE"""),44705.66666666667)</f>
        <v>44705.66667</v>
      </c>
      <c r="B87" s="1">
        <f>IFERROR(__xludf.DUMMYFUNCTION("""COMPUTED_VALUE"""),0.05)</f>
        <v>0.05</v>
      </c>
      <c r="C87" s="1">
        <f>IFERROR(__xludf.DUMMYFUNCTION("""COMPUTED_VALUE"""),0.05)</f>
        <v>0.05</v>
      </c>
      <c r="D87" s="1">
        <f>IFERROR(__xludf.DUMMYFUNCTION("""COMPUTED_VALUE"""),0.04)</f>
        <v>0.04</v>
      </c>
      <c r="E87" s="1">
        <f>IFERROR(__xludf.DUMMYFUNCTION("""COMPUTED_VALUE"""),0.04)</f>
        <v>0.04</v>
      </c>
      <c r="F87" s="1">
        <f>IFERROR(__xludf.DUMMYFUNCTION("""COMPUTED_VALUE"""),268157.0)</f>
        <v>268157</v>
      </c>
      <c r="G87" s="2" t="s">
        <v>2</v>
      </c>
    </row>
    <row r="88">
      <c r="A88" s="3">
        <f>IFERROR(__xludf.DUMMYFUNCTION("""COMPUTED_VALUE"""),44706.66666666667)</f>
        <v>44706.66667</v>
      </c>
      <c r="B88" s="1">
        <f>IFERROR(__xludf.DUMMYFUNCTION("""COMPUTED_VALUE"""),0.05)</f>
        <v>0.05</v>
      </c>
      <c r="C88" s="1">
        <f>IFERROR(__xludf.DUMMYFUNCTION("""COMPUTED_VALUE"""),0.05)</f>
        <v>0.05</v>
      </c>
      <c r="D88" s="1">
        <f>IFERROR(__xludf.DUMMYFUNCTION("""COMPUTED_VALUE"""),0.04)</f>
        <v>0.04</v>
      </c>
      <c r="E88" s="1">
        <f>IFERROR(__xludf.DUMMYFUNCTION("""COMPUTED_VALUE"""),0.04)</f>
        <v>0.04</v>
      </c>
      <c r="F88" s="1">
        <f>IFERROR(__xludf.DUMMYFUNCTION("""COMPUTED_VALUE"""),266033.0)</f>
        <v>266033</v>
      </c>
      <c r="G88" s="2" t="s">
        <v>2</v>
      </c>
    </row>
    <row r="89">
      <c r="A89" s="3">
        <f>IFERROR(__xludf.DUMMYFUNCTION("""COMPUTED_VALUE"""),44707.66666666667)</f>
        <v>44707.66667</v>
      </c>
      <c r="B89" s="1">
        <f>IFERROR(__xludf.DUMMYFUNCTION("""COMPUTED_VALUE"""),0.05)</f>
        <v>0.05</v>
      </c>
      <c r="C89" s="1">
        <f>IFERROR(__xludf.DUMMYFUNCTION("""COMPUTED_VALUE"""),0.05)</f>
        <v>0.05</v>
      </c>
      <c r="D89" s="1">
        <f>IFERROR(__xludf.DUMMYFUNCTION("""COMPUTED_VALUE"""),0.04)</f>
        <v>0.04</v>
      </c>
      <c r="E89" s="1">
        <f>IFERROR(__xludf.DUMMYFUNCTION("""COMPUTED_VALUE"""),0.04)</f>
        <v>0.04</v>
      </c>
      <c r="F89" s="1">
        <f>IFERROR(__xludf.DUMMYFUNCTION("""COMPUTED_VALUE"""),290522.0)</f>
        <v>290522</v>
      </c>
      <c r="G89" s="2" t="s">
        <v>2</v>
      </c>
    </row>
    <row r="90">
      <c r="A90" s="3">
        <f>IFERROR(__xludf.DUMMYFUNCTION("""COMPUTED_VALUE"""),44708.66666666667)</f>
        <v>44708.66667</v>
      </c>
      <c r="B90" s="1">
        <f>IFERROR(__xludf.DUMMYFUNCTION("""COMPUTED_VALUE"""),0.04)</f>
        <v>0.04</v>
      </c>
      <c r="C90" s="1">
        <f>IFERROR(__xludf.DUMMYFUNCTION("""COMPUTED_VALUE"""),0.05)</f>
        <v>0.05</v>
      </c>
      <c r="D90" s="1">
        <f>IFERROR(__xludf.DUMMYFUNCTION("""COMPUTED_VALUE"""),0.04)</f>
        <v>0.04</v>
      </c>
      <c r="E90" s="1">
        <f>IFERROR(__xludf.DUMMYFUNCTION("""COMPUTED_VALUE"""),0.04)</f>
        <v>0.04</v>
      </c>
      <c r="F90" s="1">
        <f>IFERROR(__xludf.DUMMYFUNCTION("""COMPUTED_VALUE"""),844237.0)</f>
        <v>844237</v>
      </c>
      <c r="G90" s="2" t="s">
        <v>2</v>
      </c>
    </row>
    <row r="91">
      <c r="A91" s="3">
        <f>IFERROR(__xludf.DUMMYFUNCTION("""COMPUTED_VALUE"""),44711.66666666667)</f>
        <v>44711.66667</v>
      </c>
      <c r="B91" s="1">
        <f>IFERROR(__xludf.DUMMYFUNCTION("""COMPUTED_VALUE"""),0.04)</f>
        <v>0.04</v>
      </c>
      <c r="C91" s="1">
        <f>IFERROR(__xludf.DUMMYFUNCTION("""COMPUTED_VALUE"""),0.04)</f>
        <v>0.04</v>
      </c>
      <c r="D91" s="1">
        <f>IFERROR(__xludf.DUMMYFUNCTION("""COMPUTED_VALUE"""),0.04)</f>
        <v>0.04</v>
      </c>
      <c r="E91" s="1">
        <f>IFERROR(__xludf.DUMMYFUNCTION("""COMPUTED_VALUE"""),0.04)</f>
        <v>0.04</v>
      </c>
      <c r="F91" s="1">
        <f>IFERROR(__xludf.DUMMYFUNCTION("""COMPUTED_VALUE"""),711907.0)</f>
        <v>711907</v>
      </c>
      <c r="G91" s="2" t="s">
        <v>2</v>
      </c>
    </row>
    <row r="92">
      <c r="A92" s="3">
        <f>IFERROR(__xludf.DUMMYFUNCTION("""COMPUTED_VALUE"""),44712.66666666667)</f>
        <v>44712.66667</v>
      </c>
      <c r="B92" s="1">
        <f>IFERROR(__xludf.DUMMYFUNCTION("""COMPUTED_VALUE"""),0.04)</f>
        <v>0.04</v>
      </c>
      <c r="C92" s="1">
        <f>IFERROR(__xludf.DUMMYFUNCTION("""COMPUTED_VALUE"""),0.04)</f>
        <v>0.04</v>
      </c>
      <c r="D92" s="1">
        <f>IFERROR(__xludf.DUMMYFUNCTION("""COMPUTED_VALUE"""),0.04)</f>
        <v>0.04</v>
      </c>
      <c r="E92" s="1">
        <f>IFERROR(__xludf.DUMMYFUNCTION("""COMPUTED_VALUE"""),0.04)</f>
        <v>0.04</v>
      </c>
      <c r="F92" s="1">
        <f>IFERROR(__xludf.DUMMYFUNCTION("""COMPUTED_VALUE"""),305718.0)</f>
        <v>305718</v>
      </c>
      <c r="G92" s="2" t="s">
        <v>2</v>
      </c>
    </row>
    <row r="93">
      <c r="A93" s="3">
        <f>IFERROR(__xludf.DUMMYFUNCTION("""COMPUTED_VALUE"""),44713.66666666667)</f>
        <v>44713.66667</v>
      </c>
      <c r="B93" s="1">
        <f>IFERROR(__xludf.DUMMYFUNCTION("""COMPUTED_VALUE"""),0.04)</f>
        <v>0.04</v>
      </c>
      <c r="C93" s="1">
        <f>IFERROR(__xludf.DUMMYFUNCTION("""COMPUTED_VALUE"""),0.04)</f>
        <v>0.04</v>
      </c>
      <c r="D93" s="1">
        <f>IFERROR(__xludf.DUMMYFUNCTION("""COMPUTED_VALUE"""),0.04)</f>
        <v>0.04</v>
      </c>
      <c r="E93" s="1">
        <f>IFERROR(__xludf.DUMMYFUNCTION("""COMPUTED_VALUE"""),0.04)</f>
        <v>0.04</v>
      </c>
      <c r="F93" s="1">
        <f>IFERROR(__xludf.DUMMYFUNCTION("""COMPUTED_VALUE"""),35376.0)</f>
        <v>35376</v>
      </c>
      <c r="G93" s="2" t="s">
        <v>2</v>
      </c>
    </row>
    <row r="94">
      <c r="A94" s="3">
        <f>IFERROR(__xludf.DUMMYFUNCTION("""COMPUTED_VALUE"""),44714.66666666667)</f>
        <v>44714.66667</v>
      </c>
      <c r="B94" s="1">
        <f>IFERROR(__xludf.DUMMYFUNCTION("""COMPUTED_VALUE"""),0.04)</f>
        <v>0.04</v>
      </c>
      <c r="C94" s="1">
        <f>IFERROR(__xludf.DUMMYFUNCTION("""COMPUTED_VALUE"""),0.04)</f>
        <v>0.04</v>
      </c>
      <c r="D94" s="1">
        <f>IFERROR(__xludf.DUMMYFUNCTION("""COMPUTED_VALUE"""),0.04)</f>
        <v>0.04</v>
      </c>
      <c r="E94" s="1">
        <f>IFERROR(__xludf.DUMMYFUNCTION("""COMPUTED_VALUE"""),0.04)</f>
        <v>0.04</v>
      </c>
      <c r="F94" s="1">
        <f>IFERROR(__xludf.DUMMYFUNCTION("""COMPUTED_VALUE"""),612405.0)</f>
        <v>612405</v>
      </c>
      <c r="G94" s="2" t="s">
        <v>2</v>
      </c>
    </row>
    <row r="95">
      <c r="A95" s="3">
        <f>IFERROR(__xludf.DUMMYFUNCTION("""COMPUTED_VALUE"""),44715.66666666667)</f>
        <v>44715.66667</v>
      </c>
      <c r="B95" s="1">
        <f>IFERROR(__xludf.DUMMYFUNCTION("""COMPUTED_VALUE"""),0.04)</f>
        <v>0.04</v>
      </c>
      <c r="C95" s="1">
        <f>IFERROR(__xludf.DUMMYFUNCTION("""COMPUTED_VALUE"""),0.04)</f>
        <v>0.04</v>
      </c>
      <c r="D95" s="1">
        <f>IFERROR(__xludf.DUMMYFUNCTION("""COMPUTED_VALUE"""),0.04)</f>
        <v>0.04</v>
      </c>
      <c r="E95" s="1">
        <f>IFERROR(__xludf.DUMMYFUNCTION("""COMPUTED_VALUE"""),0.04)</f>
        <v>0.04</v>
      </c>
      <c r="F95" s="1">
        <f>IFERROR(__xludf.DUMMYFUNCTION("""COMPUTED_VALUE"""),19993.0)</f>
        <v>19993</v>
      </c>
      <c r="G95" s="2" t="s">
        <v>2</v>
      </c>
    </row>
    <row r="96">
      <c r="A96" s="3">
        <f>IFERROR(__xludf.DUMMYFUNCTION("""COMPUTED_VALUE"""),44718.66666666667)</f>
        <v>44718.66667</v>
      </c>
      <c r="B96" s="1">
        <f>IFERROR(__xludf.DUMMYFUNCTION("""COMPUTED_VALUE"""),0.04)</f>
        <v>0.04</v>
      </c>
      <c r="C96" s="1">
        <f>IFERROR(__xludf.DUMMYFUNCTION("""COMPUTED_VALUE"""),0.04)</f>
        <v>0.04</v>
      </c>
      <c r="D96" s="1">
        <f>IFERROR(__xludf.DUMMYFUNCTION("""COMPUTED_VALUE"""),0.04)</f>
        <v>0.04</v>
      </c>
      <c r="E96" s="1">
        <f>IFERROR(__xludf.DUMMYFUNCTION("""COMPUTED_VALUE"""),0.04)</f>
        <v>0.04</v>
      </c>
      <c r="F96" s="1">
        <f>IFERROR(__xludf.DUMMYFUNCTION("""COMPUTED_VALUE"""),665013.0)</f>
        <v>665013</v>
      </c>
      <c r="G96" s="2" t="s">
        <v>2</v>
      </c>
    </row>
    <row r="97">
      <c r="A97" s="3">
        <f>IFERROR(__xludf.DUMMYFUNCTION("""COMPUTED_VALUE"""),44719.66666666667)</f>
        <v>44719.66667</v>
      </c>
      <c r="B97" s="1">
        <f>IFERROR(__xludf.DUMMYFUNCTION("""COMPUTED_VALUE"""),0.04)</f>
        <v>0.04</v>
      </c>
      <c r="C97" s="1">
        <f>IFERROR(__xludf.DUMMYFUNCTION("""COMPUTED_VALUE"""),0.04)</f>
        <v>0.04</v>
      </c>
      <c r="D97" s="1">
        <f>IFERROR(__xludf.DUMMYFUNCTION("""COMPUTED_VALUE"""),0.04)</f>
        <v>0.04</v>
      </c>
      <c r="E97" s="1">
        <f>IFERROR(__xludf.DUMMYFUNCTION("""COMPUTED_VALUE"""),0.04)</f>
        <v>0.04</v>
      </c>
      <c r="F97" s="1">
        <f>IFERROR(__xludf.DUMMYFUNCTION("""COMPUTED_VALUE"""),313653.0)</f>
        <v>313653</v>
      </c>
      <c r="G97" s="2" t="s">
        <v>2</v>
      </c>
    </row>
    <row r="98">
      <c r="A98" s="3">
        <f>IFERROR(__xludf.DUMMYFUNCTION("""COMPUTED_VALUE"""),44720.66666666667)</f>
        <v>44720.66667</v>
      </c>
      <c r="B98" s="1">
        <f>IFERROR(__xludf.DUMMYFUNCTION("""COMPUTED_VALUE"""),0.04)</f>
        <v>0.04</v>
      </c>
      <c r="C98" s="1">
        <f>IFERROR(__xludf.DUMMYFUNCTION("""COMPUTED_VALUE"""),0.04)</f>
        <v>0.04</v>
      </c>
      <c r="D98" s="1">
        <f>IFERROR(__xludf.DUMMYFUNCTION("""COMPUTED_VALUE"""),0.04)</f>
        <v>0.04</v>
      </c>
      <c r="E98" s="1">
        <f>IFERROR(__xludf.DUMMYFUNCTION("""COMPUTED_VALUE"""),0.04)</f>
        <v>0.04</v>
      </c>
      <c r="F98" s="1">
        <f>IFERROR(__xludf.DUMMYFUNCTION("""COMPUTED_VALUE"""),109046.0)</f>
        <v>109046</v>
      </c>
      <c r="G98" s="2" t="s">
        <v>2</v>
      </c>
    </row>
    <row r="99">
      <c r="A99" s="3">
        <f>IFERROR(__xludf.DUMMYFUNCTION("""COMPUTED_VALUE"""),44721.66666666667)</f>
        <v>44721.66667</v>
      </c>
      <c r="B99" s="1">
        <f>IFERROR(__xludf.DUMMYFUNCTION("""COMPUTED_VALUE"""),0.04)</f>
        <v>0.04</v>
      </c>
      <c r="C99" s="1">
        <f>IFERROR(__xludf.DUMMYFUNCTION("""COMPUTED_VALUE"""),0.04)</f>
        <v>0.04</v>
      </c>
      <c r="D99" s="1">
        <f>IFERROR(__xludf.DUMMYFUNCTION("""COMPUTED_VALUE"""),0.04)</f>
        <v>0.04</v>
      </c>
      <c r="E99" s="1">
        <f>IFERROR(__xludf.DUMMYFUNCTION("""COMPUTED_VALUE"""),0.04)</f>
        <v>0.04</v>
      </c>
      <c r="F99" s="1">
        <f>IFERROR(__xludf.DUMMYFUNCTION("""COMPUTED_VALUE"""),576074.0)</f>
        <v>576074</v>
      </c>
      <c r="G99" s="2" t="s">
        <v>2</v>
      </c>
    </row>
    <row r="100">
      <c r="A100" s="3">
        <f>IFERROR(__xludf.DUMMYFUNCTION("""COMPUTED_VALUE"""),44722.66666666667)</f>
        <v>44722.66667</v>
      </c>
      <c r="B100" s="1">
        <f>IFERROR(__xludf.DUMMYFUNCTION("""COMPUTED_VALUE"""),0.04)</f>
        <v>0.04</v>
      </c>
      <c r="C100" s="1">
        <f>IFERROR(__xludf.DUMMYFUNCTION("""COMPUTED_VALUE"""),0.04)</f>
        <v>0.04</v>
      </c>
      <c r="D100" s="1">
        <f>IFERROR(__xludf.DUMMYFUNCTION("""COMPUTED_VALUE"""),0.04)</f>
        <v>0.04</v>
      </c>
      <c r="E100" s="1">
        <f>IFERROR(__xludf.DUMMYFUNCTION("""COMPUTED_VALUE"""),0.04)</f>
        <v>0.04</v>
      </c>
      <c r="F100" s="1">
        <f>IFERROR(__xludf.DUMMYFUNCTION("""COMPUTED_VALUE"""),146012.0)</f>
        <v>146012</v>
      </c>
      <c r="G100" s="2" t="s">
        <v>2</v>
      </c>
    </row>
    <row r="101">
      <c r="A101" s="3">
        <f>IFERROR(__xludf.DUMMYFUNCTION("""COMPUTED_VALUE"""),44726.66666666667)</f>
        <v>44726.66667</v>
      </c>
      <c r="B101" s="1">
        <f>IFERROR(__xludf.DUMMYFUNCTION("""COMPUTED_VALUE"""),0.04)</f>
        <v>0.04</v>
      </c>
      <c r="C101" s="1">
        <f>IFERROR(__xludf.DUMMYFUNCTION("""COMPUTED_VALUE"""),0.04)</f>
        <v>0.04</v>
      </c>
      <c r="D101" s="1">
        <f>IFERROR(__xludf.DUMMYFUNCTION("""COMPUTED_VALUE"""),0.04)</f>
        <v>0.04</v>
      </c>
      <c r="E101" s="1">
        <f>IFERROR(__xludf.DUMMYFUNCTION("""COMPUTED_VALUE"""),0.04)</f>
        <v>0.04</v>
      </c>
      <c r="F101" s="1">
        <f>IFERROR(__xludf.DUMMYFUNCTION("""COMPUTED_VALUE"""),1075994.0)</f>
        <v>1075994</v>
      </c>
      <c r="G101" s="2" t="s">
        <v>2</v>
      </c>
    </row>
    <row r="102">
      <c r="A102" s="3">
        <f>IFERROR(__xludf.DUMMYFUNCTION("""COMPUTED_VALUE"""),44727.66666666667)</f>
        <v>44727.66667</v>
      </c>
      <c r="B102" s="1">
        <f>IFERROR(__xludf.DUMMYFUNCTION("""COMPUTED_VALUE"""),0.04)</f>
        <v>0.04</v>
      </c>
      <c r="C102" s="1">
        <f>IFERROR(__xludf.DUMMYFUNCTION("""COMPUTED_VALUE"""),0.04)</f>
        <v>0.04</v>
      </c>
      <c r="D102" s="1">
        <f>IFERROR(__xludf.DUMMYFUNCTION("""COMPUTED_VALUE"""),0.04)</f>
        <v>0.04</v>
      </c>
      <c r="E102" s="1">
        <f>IFERROR(__xludf.DUMMYFUNCTION("""COMPUTED_VALUE"""),0.04)</f>
        <v>0.04</v>
      </c>
      <c r="F102" s="1">
        <f>IFERROR(__xludf.DUMMYFUNCTION("""COMPUTED_VALUE"""),141052.0)</f>
        <v>141052</v>
      </c>
      <c r="G102" s="2" t="s">
        <v>2</v>
      </c>
    </row>
    <row r="103">
      <c r="A103" s="3">
        <f>IFERROR(__xludf.DUMMYFUNCTION("""COMPUTED_VALUE"""),44728.66666666667)</f>
        <v>44728.66667</v>
      </c>
      <c r="B103" s="1">
        <f>IFERROR(__xludf.DUMMYFUNCTION("""COMPUTED_VALUE"""),0.04)</f>
        <v>0.04</v>
      </c>
      <c r="C103" s="1">
        <f>IFERROR(__xludf.DUMMYFUNCTION("""COMPUTED_VALUE"""),0.04)</f>
        <v>0.04</v>
      </c>
      <c r="D103" s="1">
        <f>IFERROR(__xludf.DUMMYFUNCTION("""COMPUTED_VALUE"""),0.04)</f>
        <v>0.04</v>
      </c>
      <c r="E103" s="1">
        <f>IFERROR(__xludf.DUMMYFUNCTION("""COMPUTED_VALUE"""),0.04)</f>
        <v>0.04</v>
      </c>
      <c r="F103" s="1">
        <f>IFERROR(__xludf.DUMMYFUNCTION("""COMPUTED_VALUE"""),169345.0)</f>
        <v>169345</v>
      </c>
      <c r="G103" s="2" t="s">
        <v>2</v>
      </c>
    </row>
    <row r="104">
      <c r="A104" s="3">
        <f>IFERROR(__xludf.DUMMYFUNCTION("""COMPUTED_VALUE"""),44729.66666666667)</f>
        <v>44729.66667</v>
      </c>
      <c r="B104" s="1">
        <f>IFERROR(__xludf.DUMMYFUNCTION("""COMPUTED_VALUE"""),0.04)</f>
        <v>0.04</v>
      </c>
      <c r="C104" s="1">
        <f>IFERROR(__xludf.DUMMYFUNCTION("""COMPUTED_VALUE"""),0.04)</f>
        <v>0.04</v>
      </c>
      <c r="D104" s="1">
        <f>IFERROR(__xludf.DUMMYFUNCTION("""COMPUTED_VALUE"""),0.04)</f>
        <v>0.04</v>
      </c>
      <c r="E104" s="1">
        <f>IFERROR(__xludf.DUMMYFUNCTION("""COMPUTED_VALUE"""),0.04)</f>
        <v>0.04</v>
      </c>
      <c r="F104" s="1">
        <f>IFERROR(__xludf.DUMMYFUNCTION("""COMPUTED_VALUE"""),592527.0)</f>
        <v>592527</v>
      </c>
      <c r="G104" s="2" t="s">
        <v>2</v>
      </c>
    </row>
    <row r="105">
      <c r="A105" s="3">
        <f>IFERROR(__xludf.DUMMYFUNCTION("""COMPUTED_VALUE"""),44732.66666666667)</f>
        <v>44732.66667</v>
      </c>
      <c r="B105" s="1">
        <f>IFERROR(__xludf.DUMMYFUNCTION("""COMPUTED_VALUE"""),0.04)</f>
        <v>0.04</v>
      </c>
      <c r="C105" s="1">
        <f>IFERROR(__xludf.DUMMYFUNCTION("""COMPUTED_VALUE"""),0.04)</f>
        <v>0.04</v>
      </c>
      <c r="D105" s="1">
        <f>IFERROR(__xludf.DUMMYFUNCTION("""COMPUTED_VALUE"""),0.04)</f>
        <v>0.04</v>
      </c>
      <c r="E105" s="1">
        <f>IFERROR(__xludf.DUMMYFUNCTION("""COMPUTED_VALUE"""),0.04)</f>
        <v>0.04</v>
      </c>
      <c r="F105" s="1">
        <f>IFERROR(__xludf.DUMMYFUNCTION("""COMPUTED_VALUE"""),206318.0)</f>
        <v>206318</v>
      </c>
      <c r="G105" s="2" t="s">
        <v>2</v>
      </c>
    </row>
    <row r="106">
      <c r="A106" s="3">
        <f>IFERROR(__xludf.DUMMYFUNCTION("""COMPUTED_VALUE"""),44733.66666666667)</f>
        <v>44733.66667</v>
      </c>
      <c r="B106" s="1">
        <f>IFERROR(__xludf.DUMMYFUNCTION("""COMPUTED_VALUE"""),0.04)</f>
        <v>0.04</v>
      </c>
      <c r="C106" s="1">
        <f>IFERROR(__xludf.DUMMYFUNCTION("""COMPUTED_VALUE"""),0.04)</f>
        <v>0.04</v>
      </c>
      <c r="D106" s="1">
        <f>IFERROR(__xludf.DUMMYFUNCTION("""COMPUTED_VALUE"""),0.04)</f>
        <v>0.04</v>
      </c>
      <c r="E106" s="1">
        <f>IFERROR(__xludf.DUMMYFUNCTION("""COMPUTED_VALUE"""),0.04)</f>
        <v>0.04</v>
      </c>
      <c r="F106" s="1">
        <f>IFERROR(__xludf.DUMMYFUNCTION("""COMPUTED_VALUE"""),953423.0)</f>
        <v>953423</v>
      </c>
      <c r="G106" s="2" t="s">
        <v>2</v>
      </c>
    </row>
    <row r="107">
      <c r="A107" s="3">
        <f>IFERROR(__xludf.DUMMYFUNCTION("""COMPUTED_VALUE"""),44734.66666666667)</f>
        <v>44734.66667</v>
      </c>
      <c r="B107" s="1">
        <f>IFERROR(__xludf.DUMMYFUNCTION("""COMPUTED_VALUE"""),0.04)</f>
        <v>0.04</v>
      </c>
      <c r="C107" s="1">
        <f>IFERROR(__xludf.DUMMYFUNCTION("""COMPUTED_VALUE"""),0.05)</f>
        <v>0.05</v>
      </c>
      <c r="D107" s="1">
        <f>IFERROR(__xludf.DUMMYFUNCTION("""COMPUTED_VALUE"""),0.04)</f>
        <v>0.04</v>
      </c>
      <c r="E107" s="1">
        <f>IFERROR(__xludf.DUMMYFUNCTION("""COMPUTED_VALUE"""),0.04)</f>
        <v>0.04</v>
      </c>
      <c r="F107" s="1">
        <f>IFERROR(__xludf.DUMMYFUNCTION("""COMPUTED_VALUE"""),566443.0)</f>
        <v>566443</v>
      </c>
      <c r="G107" s="2" t="s">
        <v>2</v>
      </c>
    </row>
    <row r="108">
      <c r="A108" s="3">
        <f>IFERROR(__xludf.DUMMYFUNCTION("""COMPUTED_VALUE"""),44735.66666666667)</f>
        <v>44735.66667</v>
      </c>
      <c r="B108" s="1">
        <f>IFERROR(__xludf.DUMMYFUNCTION("""COMPUTED_VALUE"""),0.04)</f>
        <v>0.04</v>
      </c>
      <c r="C108" s="1">
        <f>IFERROR(__xludf.DUMMYFUNCTION("""COMPUTED_VALUE"""),0.04)</f>
        <v>0.04</v>
      </c>
      <c r="D108" s="1">
        <f>IFERROR(__xludf.DUMMYFUNCTION("""COMPUTED_VALUE"""),0.04)</f>
        <v>0.04</v>
      </c>
      <c r="E108" s="1">
        <f>IFERROR(__xludf.DUMMYFUNCTION("""COMPUTED_VALUE"""),0.04)</f>
        <v>0.04</v>
      </c>
      <c r="F108" s="1">
        <f>IFERROR(__xludf.DUMMYFUNCTION("""COMPUTED_VALUE"""),137977.0)</f>
        <v>137977</v>
      </c>
      <c r="G108" s="2" t="s">
        <v>2</v>
      </c>
    </row>
    <row r="109">
      <c r="A109" s="3">
        <f>IFERROR(__xludf.DUMMYFUNCTION("""COMPUTED_VALUE"""),44736.66666666667)</f>
        <v>44736.66667</v>
      </c>
      <c r="B109" s="1">
        <f>IFERROR(__xludf.DUMMYFUNCTION("""COMPUTED_VALUE"""),0.04)</f>
        <v>0.04</v>
      </c>
      <c r="C109" s="1">
        <f>IFERROR(__xludf.DUMMYFUNCTION("""COMPUTED_VALUE"""),0.04)</f>
        <v>0.04</v>
      </c>
      <c r="D109" s="1">
        <f>IFERROR(__xludf.DUMMYFUNCTION("""COMPUTED_VALUE"""),0.04)</f>
        <v>0.04</v>
      </c>
      <c r="E109" s="1">
        <f>IFERROR(__xludf.DUMMYFUNCTION("""COMPUTED_VALUE"""),0.04)</f>
        <v>0.04</v>
      </c>
      <c r="F109" s="1">
        <f>IFERROR(__xludf.DUMMYFUNCTION("""COMPUTED_VALUE"""),151300.0)</f>
        <v>151300</v>
      </c>
      <c r="G109" s="2" t="s">
        <v>2</v>
      </c>
    </row>
    <row r="110">
      <c r="A110" s="3">
        <f>IFERROR(__xludf.DUMMYFUNCTION("""COMPUTED_VALUE"""),44739.66666666667)</f>
        <v>44739.66667</v>
      </c>
      <c r="B110" s="1">
        <f>IFERROR(__xludf.DUMMYFUNCTION("""COMPUTED_VALUE"""),0.04)</f>
        <v>0.04</v>
      </c>
      <c r="C110" s="1">
        <f>IFERROR(__xludf.DUMMYFUNCTION("""COMPUTED_VALUE"""),0.04)</f>
        <v>0.04</v>
      </c>
      <c r="D110" s="1">
        <f>IFERROR(__xludf.DUMMYFUNCTION("""COMPUTED_VALUE"""),0.04)</f>
        <v>0.04</v>
      </c>
      <c r="E110" s="1">
        <f>IFERROR(__xludf.DUMMYFUNCTION("""COMPUTED_VALUE"""),0.04)</f>
        <v>0.04</v>
      </c>
      <c r="F110" s="1">
        <f>IFERROR(__xludf.DUMMYFUNCTION("""COMPUTED_VALUE"""),630616.0)</f>
        <v>630616</v>
      </c>
      <c r="G110" s="2" t="s">
        <v>2</v>
      </c>
    </row>
    <row r="111">
      <c r="A111" s="3">
        <f>IFERROR(__xludf.DUMMYFUNCTION("""COMPUTED_VALUE"""),44740.66666666667)</f>
        <v>44740.66667</v>
      </c>
      <c r="B111" s="1">
        <f>IFERROR(__xludf.DUMMYFUNCTION("""COMPUTED_VALUE"""),0.04)</f>
        <v>0.04</v>
      </c>
      <c r="C111" s="1">
        <f>IFERROR(__xludf.DUMMYFUNCTION("""COMPUTED_VALUE"""),0.04)</f>
        <v>0.04</v>
      </c>
      <c r="D111" s="1">
        <f>IFERROR(__xludf.DUMMYFUNCTION("""COMPUTED_VALUE"""),0.04)</f>
        <v>0.04</v>
      </c>
      <c r="E111" s="1">
        <f>IFERROR(__xludf.DUMMYFUNCTION("""COMPUTED_VALUE"""),0.04)</f>
        <v>0.04</v>
      </c>
      <c r="F111" s="1">
        <f>IFERROR(__xludf.DUMMYFUNCTION("""COMPUTED_VALUE"""),2215987.0)</f>
        <v>2215987</v>
      </c>
      <c r="G111" s="2" t="s">
        <v>2</v>
      </c>
    </row>
    <row r="112">
      <c r="A112" s="3">
        <f>IFERROR(__xludf.DUMMYFUNCTION("""COMPUTED_VALUE"""),44741.66666666667)</f>
        <v>44741.66667</v>
      </c>
      <c r="B112" s="1">
        <f>IFERROR(__xludf.DUMMYFUNCTION("""COMPUTED_VALUE"""),0.04)</f>
        <v>0.04</v>
      </c>
      <c r="C112" s="1">
        <f>IFERROR(__xludf.DUMMYFUNCTION("""COMPUTED_VALUE"""),0.04)</f>
        <v>0.04</v>
      </c>
      <c r="D112" s="1">
        <f>IFERROR(__xludf.DUMMYFUNCTION("""COMPUTED_VALUE"""),0.04)</f>
        <v>0.04</v>
      </c>
      <c r="E112" s="1">
        <f>IFERROR(__xludf.DUMMYFUNCTION("""COMPUTED_VALUE"""),0.04)</f>
        <v>0.04</v>
      </c>
      <c r="F112" s="1">
        <f>IFERROR(__xludf.DUMMYFUNCTION("""COMPUTED_VALUE"""),1598274.0)</f>
        <v>1598274</v>
      </c>
      <c r="G112" s="2" t="s">
        <v>2</v>
      </c>
    </row>
    <row r="113">
      <c r="A113" s="3">
        <f>IFERROR(__xludf.DUMMYFUNCTION("""COMPUTED_VALUE"""),44742.66666666667)</f>
        <v>44742.66667</v>
      </c>
      <c r="B113" s="1">
        <f>IFERROR(__xludf.DUMMYFUNCTION("""COMPUTED_VALUE"""),0.04)</f>
        <v>0.04</v>
      </c>
      <c r="C113" s="1">
        <f>IFERROR(__xludf.DUMMYFUNCTION("""COMPUTED_VALUE"""),0.04)</f>
        <v>0.04</v>
      </c>
      <c r="D113" s="1">
        <f>IFERROR(__xludf.DUMMYFUNCTION("""COMPUTED_VALUE"""),0.04)</f>
        <v>0.04</v>
      </c>
      <c r="E113" s="1">
        <f>IFERROR(__xludf.DUMMYFUNCTION("""COMPUTED_VALUE"""),0.04)</f>
        <v>0.04</v>
      </c>
      <c r="F113" s="1">
        <f>IFERROR(__xludf.DUMMYFUNCTION("""COMPUTED_VALUE"""),312347.0)</f>
        <v>312347</v>
      </c>
      <c r="G113" s="2" t="s">
        <v>2</v>
      </c>
    </row>
    <row r="114">
      <c r="A114" s="3">
        <f>IFERROR(__xludf.DUMMYFUNCTION("""COMPUTED_VALUE"""),44743.66666666667)</f>
        <v>44743.66667</v>
      </c>
      <c r="B114" s="1">
        <f>IFERROR(__xludf.DUMMYFUNCTION("""COMPUTED_VALUE"""),0.04)</f>
        <v>0.04</v>
      </c>
      <c r="C114" s="1">
        <f>IFERROR(__xludf.DUMMYFUNCTION("""COMPUTED_VALUE"""),0.04)</f>
        <v>0.04</v>
      </c>
      <c r="D114" s="1">
        <f>IFERROR(__xludf.DUMMYFUNCTION("""COMPUTED_VALUE"""),0.04)</f>
        <v>0.04</v>
      </c>
      <c r="E114" s="1">
        <f>IFERROR(__xludf.DUMMYFUNCTION("""COMPUTED_VALUE"""),0.04)</f>
        <v>0.04</v>
      </c>
      <c r="F114" s="1">
        <f>IFERROR(__xludf.DUMMYFUNCTION("""COMPUTED_VALUE"""),183589.0)</f>
        <v>183589</v>
      </c>
      <c r="G114" s="2" t="s">
        <v>2</v>
      </c>
    </row>
    <row r="115">
      <c r="A115" s="3">
        <f>IFERROR(__xludf.DUMMYFUNCTION("""COMPUTED_VALUE"""),44746.66666666667)</f>
        <v>44746.66667</v>
      </c>
      <c r="B115" s="1">
        <f>IFERROR(__xludf.DUMMYFUNCTION("""COMPUTED_VALUE"""),0.04)</f>
        <v>0.04</v>
      </c>
      <c r="C115" s="1">
        <f>IFERROR(__xludf.DUMMYFUNCTION("""COMPUTED_VALUE"""),0.04)</f>
        <v>0.04</v>
      </c>
      <c r="D115" s="1">
        <f>IFERROR(__xludf.DUMMYFUNCTION("""COMPUTED_VALUE"""),0.04)</f>
        <v>0.04</v>
      </c>
      <c r="E115" s="1">
        <f>IFERROR(__xludf.DUMMYFUNCTION("""COMPUTED_VALUE"""),0.04)</f>
        <v>0.04</v>
      </c>
      <c r="F115" s="1">
        <f>IFERROR(__xludf.DUMMYFUNCTION("""COMPUTED_VALUE"""),76393.0)</f>
        <v>76393</v>
      </c>
      <c r="G115" s="2" t="s">
        <v>2</v>
      </c>
    </row>
    <row r="116">
      <c r="A116" s="3">
        <f>IFERROR(__xludf.DUMMYFUNCTION("""COMPUTED_VALUE"""),44747.66666666667)</f>
        <v>44747.66667</v>
      </c>
      <c r="B116" s="1">
        <f>IFERROR(__xludf.DUMMYFUNCTION("""COMPUTED_VALUE"""),0.04)</f>
        <v>0.04</v>
      </c>
      <c r="C116" s="1">
        <f>IFERROR(__xludf.DUMMYFUNCTION("""COMPUTED_VALUE"""),0.04)</f>
        <v>0.04</v>
      </c>
      <c r="D116" s="1">
        <f>IFERROR(__xludf.DUMMYFUNCTION("""COMPUTED_VALUE"""),0.04)</f>
        <v>0.04</v>
      </c>
      <c r="E116" s="1">
        <f>IFERROR(__xludf.DUMMYFUNCTION("""COMPUTED_VALUE"""),0.04)</f>
        <v>0.04</v>
      </c>
      <c r="F116" s="1">
        <f>IFERROR(__xludf.DUMMYFUNCTION("""COMPUTED_VALUE"""),1062308.0)</f>
        <v>1062308</v>
      </c>
      <c r="G116" s="2" t="s">
        <v>2</v>
      </c>
    </row>
    <row r="117">
      <c r="A117" s="3">
        <f>IFERROR(__xludf.DUMMYFUNCTION("""COMPUTED_VALUE"""),44749.66666666667)</f>
        <v>44749.66667</v>
      </c>
      <c r="B117" s="1">
        <f>IFERROR(__xludf.DUMMYFUNCTION("""COMPUTED_VALUE"""),0.05)</f>
        <v>0.05</v>
      </c>
      <c r="C117" s="1">
        <f>IFERROR(__xludf.DUMMYFUNCTION("""COMPUTED_VALUE"""),0.05)</f>
        <v>0.05</v>
      </c>
      <c r="D117" s="1">
        <f>IFERROR(__xludf.DUMMYFUNCTION("""COMPUTED_VALUE"""),0.04)</f>
        <v>0.04</v>
      </c>
      <c r="E117" s="1">
        <f>IFERROR(__xludf.DUMMYFUNCTION("""COMPUTED_VALUE"""),0.04)</f>
        <v>0.04</v>
      </c>
      <c r="F117" s="1">
        <f>IFERROR(__xludf.DUMMYFUNCTION("""COMPUTED_VALUE"""),1089608.0)</f>
        <v>1089608</v>
      </c>
      <c r="G117" s="2" t="s">
        <v>2</v>
      </c>
    </row>
    <row r="118">
      <c r="A118" s="3">
        <f>IFERROR(__xludf.DUMMYFUNCTION("""COMPUTED_VALUE"""),44750.66666666667)</f>
        <v>44750.66667</v>
      </c>
      <c r="B118" s="1">
        <f>IFERROR(__xludf.DUMMYFUNCTION("""COMPUTED_VALUE"""),0.04)</f>
        <v>0.04</v>
      </c>
      <c r="C118" s="1">
        <f>IFERROR(__xludf.DUMMYFUNCTION("""COMPUTED_VALUE"""),0.05)</f>
        <v>0.05</v>
      </c>
      <c r="D118" s="1">
        <f>IFERROR(__xludf.DUMMYFUNCTION("""COMPUTED_VALUE"""),0.04)</f>
        <v>0.04</v>
      </c>
      <c r="E118" s="1">
        <f>IFERROR(__xludf.DUMMYFUNCTION("""COMPUTED_VALUE"""),0.04)</f>
        <v>0.04</v>
      </c>
      <c r="F118" s="1">
        <f>IFERROR(__xludf.DUMMYFUNCTION("""COMPUTED_VALUE"""),233102.0)</f>
        <v>233102</v>
      </c>
      <c r="G118" s="2" t="s">
        <v>2</v>
      </c>
    </row>
    <row r="119">
      <c r="A119" s="3">
        <f>IFERROR(__xludf.DUMMYFUNCTION("""COMPUTED_VALUE"""),44753.66666666667)</f>
        <v>44753.66667</v>
      </c>
      <c r="B119" s="1">
        <f>IFERROR(__xludf.DUMMYFUNCTION("""COMPUTED_VALUE"""),0.04)</f>
        <v>0.04</v>
      </c>
      <c r="C119" s="1">
        <f>IFERROR(__xludf.DUMMYFUNCTION("""COMPUTED_VALUE"""),0.04)</f>
        <v>0.04</v>
      </c>
      <c r="D119" s="1">
        <f>IFERROR(__xludf.DUMMYFUNCTION("""COMPUTED_VALUE"""),0.04)</f>
        <v>0.04</v>
      </c>
      <c r="E119" s="1">
        <f>IFERROR(__xludf.DUMMYFUNCTION("""COMPUTED_VALUE"""),0.04)</f>
        <v>0.04</v>
      </c>
      <c r="F119" s="1">
        <f>IFERROR(__xludf.DUMMYFUNCTION("""COMPUTED_VALUE"""),50213.0)</f>
        <v>50213</v>
      </c>
      <c r="G119" s="2" t="s">
        <v>2</v>
      </c>
    </row>
    <row r="120">
      <c r="A120" s="3">
        <f>IFERROR(__xludf.DUMMYFUNCTION("""COMPUTED_VALUE"""),44754.66666666667)</f>
        <v>44754.66667</v>
      </c>
      <c r="B120" s="1">
        <f>IFERROR(__xludf.DUMMYFUNCTION("""COMPUTED_VALUE"""),0.04)</f>
        <v>0.04</v>
      </c>
      <c r="C120" s="1">
        <f>IFERROR(__xludf.DUMMYFUNCTION("""COMPUTED_VALUE"""),0.04)</f>
        <v>0.04</v>
      </c>
      <c r="D120" s="1">
        <f>IFERROR(__xludf.DUMMYFUNCTION("""COMPUTED_VALUE"""),0.04)</f>
        <v>0.04</v>
      </c>
      <c r="E120" s="1">
        <f>IFERROR(__xludf.DUMMYFUNCTION("""COMPUTED_VALUE"""),0.04)</f>
        <v>0.04</v>
      </c>
      <c r="F120" s="1">
        <f>IFERROR(__xludf.DUMMYFUNCTION("""COMPUTED_VALUE"""),329387.0)</f>
        <v>329387</v>
      </c>
      <c r="G120" s="2" t="s">
        <v>2</v>
      </c>
    </row>
    <row r="121">
      <c r="A121" s="3">
        <f>IFERROR(__xludf.DUMMYFUNCTION("""COMPUTED_VALUE"""),44755.66666666667)</f>
        <v>44755.66667</v>
      </c>
      <c r="B121" s="1">
        <f>IFERROR(__xludf.DUMMYFUNCTION("""COMPUTED_VALUE"""),0.04)</f>
        <v>0.04</v>
      </c>
      <c r="C121" s="1">
        <f>IFERROR(__xludf.DUMMYFUNCTION("""COMPUTED_VALUE"""),0.04)</f>
        <v>0.04</v>
      </c>
      <c r="D121" s="1">
        <f>IFERROR(__xludf.DUMMYFUNCTION("""COMPUTED_VALUE"""),0.04)</f>
        <v>0.04</v>
      </c>
      <c r="E121" s="1">
        <f>IFERROR(__xludf.DUMMYFUNCTION("""COMPUTED_VALUE"""),0.04)</f>
        <v>0.04</v>
      </c>
      <c r="F121" s="1">
        <f>IFERROR(__xludf.DUMMYFUNCTION("""COMPUTED_VALUE"""),330048.0)</f>
        <v>330048</v>
      </c>
      <c r="G121" s="2" t="s">
        <v>2</v>
      </c>
    </row>
    <row r="122">
      <c r="A122" s="3">
        <f>IFERROR(__xludf.DUMMYFUNCTION("""COMPUTED_VALUE"""),44757.66666666667)</f>
        <v>44757.66667</v>
      </c>
      <c r="B122" s="1">
        <f>IFERROR(__xludf.DUMMYFUNCTION("""COMPUTED_VALUE"""),0.04)</f>
        <v>0.04</v>
      </c>
      <c r="C122" s="1">
        <f>IFERROR(__xludf.DUMMYFUNCTION("""COMPUTED_VALUE"""),0.04)</f>
        <v>0.04</v>
      </c>
      <c r="D122" s="1">
        <f>IFERROR(__xludf.DUMMYFUNCTION("""COMPUTED_VALUE"""),0.04)</f>
        <v>0.04</v>
      </c>
      <c r="E122" s="1">
        <f>IFERROR(__xludf.DUMMYFUNCTION("""COMPUTED_VALUE"""),0.04)</f>
        <v>0.04</v>
      </c>
      <c r="F122" s="1">
        <f>IFERROR(__xludf.DUMMYFUNCTION("""COMPUTED_VALUE"""),886676.0)</f>
        <v>886676</v>
      </c>
      <c r="G122" s="2" t="s">
        <v>2</v>
      </c>
    </row>
    <row r="123">
      <c r="A123" s="3">
        <f>IFERROR(__xludf.DUMMYFUNCTION("""COMPUTED_VALUE"""),44760.66666666667)</f>
        <v>44760.66667</v>
      </c>
      <c r="B123" s="1">
        <f>IFERROR(__xludf.DUMMYFUNCTION("""COMPUTED_VALUE"""),0.04)</f>
        <v>0.04</v>
      </c>
      <c r="C123" s="1">
        <f>IFERROR(__xludf.DUMMYFUNCTION("""COMPUTED_VALUE"""),0.04)</f>
        <v>0.04</v>
      </c>
      <c r="D123" s="1">
        <f>IFERROR(__xludf.DUMMYFUNCTION("""COMPUTED_VALUE"""),0.04)</f>
        <v>0.04</v>
      </c>
      <c r="E123" s="1">
        <f>IFERROR(__xludf.DUMMYFUNCTION("""COMPUTED_VALUE"""),0.04)</f>
        <v>0.04</v>
      </c>
      <c r="F123" s="1">
        <f>IFERROR(__xludf.DUMMYFUNCTION("""COMPUTED_VALUE"""),76787.0)</f>
        <v>76787</v>
      </c>
      <c r="G123" s="2" t="s">
        <v>2</v>
      </c>
    </row>
    <row r="124">
      <c r="A124" s="3">
        <f>IFERROR(__xludf.DUMMYFUNCTION("""COMPUTED_VALUE"""),44761.66666666667)</f>
        <v>44761.66667</v>
      </c>
      <c r="B124" s="1">
        <f>IFERROR(__xludf.DUMMYFUNCTION("""COMPUTED_VALUE"""),0.04)</f>
        <v>0.04</v>
      </c>
      <c r="C124" s="1">
        <f>IFERROR(__xludf.DUMMYFUNCTION("""COMPUTED_VALUE"""),0.04)</f>
        <v>0.04</v>
      </c>
      <c r="D124" s="1">
        <f>IFERROR(__xludf.DUMMYFUNCTION("""COMPUTED_VALUE"""),0.04)</f>
        <v>0.04</v>
      </c>
      <c r="E124" s="1">
        <f>IFERROR(__xludf.DUMMYFUNCTION("""COMPUTED_VALUE"""),0.04)</f>
        <v>0.04</v>
      </c>
      <c r="F124" s="1">
        <f>IFERROR(__xludf.DUMMYFUNCTION("""COMPUTED_VALUE"""),179965.0)</f>
        <v>179965</v>
      </c>
      <c r="G124" s="2" t="s">
        <v>2</v>
      </c>
    </row>
    <row r="125">
      <c r="A125" s="3">
        <f>IFERROR(__xludf.DUMMYFUNCTION("""COMPUTED_VALUE"""),44762.66666666667)</f>
        <v>44762.66667</v>
      </c>
      <c r="B125" s="1">
        <f>IFERROR(__xludf.DUMMYFUNCTION("""COMPUTED_VALUE"""),0.04)</f>
        <v>0.04</v>
      </c>
      <c r="C125" s="1">
        <f>IFERROR(__xludf.DUMMYFUNCTION("""COMPUTED_VALUE"""),0.04)</f>
        <v>0.04</v>
      </c>
      <c r="D125" s="1">
        <f>IFERROR(__xludf.DUMMYFUNCTION("""COMPUTED_VALUE"""),0.04)</f>
        <v>0.04</v>
      </c>
      <c r="E125" s="1">
        <f>IFERROR(__xludf.DUMMYFUNCTION("""COMPUTED_VALUE"""),0.04)</f>
        <v>0.04</v>
      </c>
      <c r="F125" s="1">
        <f>IFERROR(__xludf.DUMMYFUNCTION("""COMPUTED_VALUE"""),236370.0)</f>
        <v>236370</v>
      </c>
      <c r="G125" s="2" t="s">
        <v>2</v>
      </c>
    </row>
    <row r="126">
      <c r="A126" s="3">
        <f>IFERROR(__xludf.DUMMYFUNCTION("""COMPUTED_VALUE"""),44763.66666666667)</f>
        <v>44763.66667</v>
      </c>
      <c r="B126" s="1">
        <f>IFERROR(__xludf.DUMMYFUNCTION("""COMPUTED_VALUE"""),0.04)</f>
        <v>0.04</v>
      </c>
      <c r="C126" s="1">
        <f>IFERROR(__xludf.DUMMYFUNCTION("""COMPUTED_VALUE"""),0.04)</f>
        <v>0.04</v>
      </c>
      <c r="D126" s="1">
        <f>IFERROR(__xludf.DUMMYFUNCTION("""COMPUTED_VALUE"""),0.04)</f>
        <v>0.04</v>
      </c>
      <c r="E126" s="1">
        <f>IFERROR(__xludf.DUMMYFUNCTION("""COMPUTED_VALUE"""),0.04)</f>
        <v>0.04</v>
      </c>
      <c r="F126" s="1">
        <f>IFERROR(__xludf.DUMMYFUNCTION("""COMPUTED_VALUE"""),281591.0)</f>
        <v>281591</v>
      </c>
      <c r="G126" s="2" t="s">
        <v>2</v>
      </c>
    </row>
    <row r="127">
      <c r="A127" s="3">
        <f>IFERROR(__xludf.DUMMYFUNCTION("""COMPUTED_VALUE"""),44764.66666666667)</f>
        <v>44764.66667</v>
      </c>
      <c r="B127" s="1">
        <f>IFERROR(__xludf.DUMMYFUNCTION("""COMPUTED_VALUE"""),0.04)</f>
        <v>0.04</v>
      </c>
      <c r="C127" s="1">
        <f>IFERROR(__xludf.DUMMYFUNCTION("""COMPUTED_VALUE"""),0.04)</f>
        <v>0.04</v>
      </c>
      <c r="D127" s="1">
        <f>IFERROR(__xludf.DUMMYFUNCTION("""COMPUTED_VALUE"""),0.04)</f>
        <v>0.04</v>
      </c>
      <c r="E127" s="1">
        <f>IFERROR(__xludf.DUMMYFUNCTION("""COMPUTED_VALUE"""),0.04)</f>
        <v>0.04</v>
      </c>
      <c r="F127" s="1">
        <f>IFERROR(__xludf.DUMMYFUNCTION("""COMPUTED_VALUE"""),2876121.0)</f>
        <v>2876121</v>
      </c>
      <c r="G127" s="2" t="s">
        <v>2</v>
      </c>
    </row>
    <row r="128">
      <c r="A128" s="3">
        <f>IFERROR(__xludf.DUMMYFUNCTION("""COMPUTED_VALUE"""),44767.66666666667)</f>
        <v>44767.66667</v>
      </c>
      <c r="B128" s="1">
        <f>IFERROR(__xludf.DUMMYFUNCTION("""COMPUTED_VALUE"""),0.04)</f>
        <v>0.04</v>
      </c>
      <c r="C128" s="1">
        <f>IFERROR(__xludf.DUMMYFUNCTION("""COMPUTED_VALUE"""),0.04)</f>
        <v>0.04</v>
      </c>
      <c r="D128" s="1">
        <f>IFERROR(__xludf.DUMMYFUNCTION("""COMPUTED_VALUE"""),0.04)</f>
        <v>0.04</v>
      </c>
      <c r="E128" s="1">
        <f>IFERROR(__xludf.DUMMYFUNCTION("""COMPUTED_VALUE"""),0.04)</f>
        <v>0.04</v>
      </c>
      <c r="F128" s="1">
        <f>IFERROR(__xludf.DUMMYFUNCTION("""COMPUTED_VALUE"""),266841.0)</f>
        <v>266841</v>
      </c>
      <c r="G128" s="2" t="s">
        <v>2</v>
      </c>
    </row>
    <row r="129">
      <c r="A129" s="3">
        <f>IFERROR(__xludf.DUMMYFUNCTION("""COMPUTED_VALUE"""),44768.66666666667)</f>
        <v>44768.66667</v>
      </c>
      <c r="B129" s="1">
        <f>IFERROR(__xludf.DUMMYFUNCTION("""COMPUTED_VALUE"""),0.04)</f>
        <v>0.04</v>
      </c>
      <c r="C129" s="1">
        <f>IFERROR(__xludf.DUMMYFUNCTION("""COMPUTED_VALUE"""),0.04)</f>
        <v>0.04</v>
      </c>
      <c r="D129" s="1">
        <f>IFERROR(__xludf.DUMMYFUNCTION("""COMPUTED_VALUE"""),0.04)</f>
        <v>0.04</v>
      </c>
      <c r="E129" s="1">
        <f>IFERROR(__xludf.DUMMYFUNCTION("""COMPUTED_VALUE"""),0.04)</f>
        <v>0.04</v>
      </c>
      <c r="F129" s="1">
        <f>IFERROR(__xludf.DUMMYFUNCTION("""COMPUTED_VALUE"""),696981.0)</f>
        <v>696981</v>
      </c>
      <c r="G129" s="2" t="s">
        <v>2</v>
      </c>
    </row>
    <row r="130">
      <c r="A130" s="3">
        <f>IFERROR(__xludf.DUMMYFUNCTION("""COMPUTED_VALUE"""),44769.66666666667)</f>
        <v>44769.66667</v>
      </c>
      <c r="B130" s="1">
        <f>IFERROR(__xludf.DUMMYFUNCTION("""COMPUTED_VALUE"""),0.04)</f>
        <v>0.04</v>
      </c>
      <c r="C130" s="1">
        <f>IFERROR(__xludf.DUMMYFUNCTION("""COMPUTED_VALUE"""),0.04)</f>
        <v>0.04</v>
      </c>
      <c r="D130" s="1">
        <f>IFERROR(__xludf.DUMMYFUNCTION("""COMPUTED_VALUE"""),0.04)</f>
        <v>0.04</v>
      </c>
      <c r="E130" s="1">
        <f>IFERROR(__xludf.DUMMYFUNCTION("""COMPUTED_VALUE"""),0.04)</f>
        <v>0.04</v>
      </c>
      <c r="F130" s="1">
        <f>IFERROR(__xludf.DUMMYFUNCTION("""COMPUTED_VALUE"""),171006.0)</f>
        <v>171006</v>
      </c>
      <c r="G130" s="2" t="s">
        <v>2</v>
      </c>
    </row>
    <row r="131">
      <c r="A131" s="3">
        <f>IFERROR(__xludf.DUMMYFUNCTION("""COMPUTED_VALUE"""),44770.66666666667)</f>
        <v>44770.66667</v>
      </c>
      <c r="B131" s="1">
        <f>IFERROR(__xludf.DUMMYFUNCTION("""COMPUTED_VALUE"""),0.04)</f>
        <v>0.04</v>
      </c>
      <c r="C131" s="1">
        <f>IFERROR(__xludf.DUMMYFUNCTION("""COMPUTED_VALUE"""),0.04)</f>
        <v>0.04</v>
      </c>
      <c r="D131" s="1">
        <f>IFERROR(__xludf.DUMMYFUNCTION("""COMPUTED_VALUE"""),0.04)</f>
        <v>0.04</v>
      </c>
      <c r="E131" s="1">
        <f>IFERROR(__xludf.DUMMYFUNCTION("""COMPUTED_VALUE"""),0.04)</f>
        <v>0.04</v>
      </c>
      <c r="F131" s="1">
        <f>IFERROR(__xludf.DUMMYFUNCTION("""COMPUTED_VALUE"""),1015555.0)</f>
        <v>1015555</v>
      </c>
      <c r="G131" s="2" t="s">
        <v>2</v>
      </c>
    </row>
    <row r="132">
      <c r="A132" s="3">
        <f>IFERROR(__xludf.DUMMYFUNCTION("""COMPUTED_VALUE"""),44771.66666666667)</f>
        <v>44771.66667</v>
      </c>
      <c r="B132" s="1">
        <f>IFERROR(__xludf.DUMMYFUNCTION("""COMPUTED_VALUE"""),0.04)</f>
        <v>0.04</v>
      </c>
      <c r="C132" s="1">
        <f>IFERROR(__xludf.DUMMYFUNCTION("""COMPUTED_VALUE"""),0.04)</f>
        <v>0.04</v>
      </c>
      <c r="D132" s="1">
        <f>IFERROR(__xludf.DUMMYFUNCTION("""COMPUTED_VALUE"""),0.04)</f>
        <v>0.04</v>
      </c>
      <c r="E132" s="1">
        <f>IFERROR(__xludf.DUMMYFUNCTION("""COMPUTED_VALUE"""),0.04)</f>
        <v>0.04</v>
      </c>
      <c r="F132" s="1">
        <f>IFERROR(__xludf.DUMMYFUNCTION("""COMPUTED_VALUE"""),974005.0)</f>
        <v>974005</v>
      </c>
      <c r="G132" s="2" t="s">
        <v>2</v>
      </c>
    </row>
    <row r="133">
      <c r="A133" s="3">
        <f>IFERROR(__xludf.DUMMYFUNCTION("""COMPUTED_VALUE"""),44774.66666666667)</f>
        <v>44774.66667</v>
      </c>
      <c r="B133" s="1">
        <f>IFERROR(__xludf.DUMMYFUNCTION("""COMPUTED_VALUE"""),0.04)</f>
        <v>0.04</v>
      </c>
      <c r="C133" s="1">
        <f>IFERROR(__xludf.DUMMYFUNCTION("""COMPUTED_VALUE"""),0.04)</f>
        <v>0.04</v>
      </c>
      <c r="D133" s="1">
        <f>IFERROR(__xludf.DUMMYFUNCTION("""COMPUTED_VALUE"""),0.04)</f>
        <v>0.04</v>
      </c>
      <c r="E133" s="1">
        <f>IFERROR(__xludf.DUMMYFUNCTION("""COMPUTED_VALUE"""),0.04)</f>
        <v>0.04</v>
      </c>
      <c r="F133" s="1">
        <f>IFERROR(__xludf.DUMMYFUNCTION("""COMPUTED_VALUE"""),531448.0)</f>
        <v>531448</v>
      </c>
      <c r="G133" s="2" t="s">
        <v>2</v>
      </c>
    </row>
    <row r="134">
      <c r="A134" s="3">
        <f>IFERROR(__xludf.DUMMYFUNCTION("""COMPUTED_VALUE"""),44775.66666666667)</f>
        <v>44775.66667</v>
      </c>
      <c r="B134" s="1">
        <f>IFERROR(__xludf.DUMMYFUNCTION("""COMPUTED_VALUE"""),0.04)</f>
        <v>0.04</v>
      </c>
      <c r="C134" s="1">
        <f>IFERROR(__xludf.DUMMYFUNCTION("""COMPUTED_VALUE"""),0.04)</f>
        <v>0.04</v>
      </c>
      <c r="D134" s="1">
        <f>IFERROR(__xludf.DUMMYFUNCTION("""COMPUTED_VALUE"""),0.04)</f>
        <v>0.04</v>
      </c>
      <c r="E134" s="1">
        <f>IFERROR(__xludf.DUMMYFUNCTION("""COMPUTED_VALUE"""),0.04)</f>
        <v>0.04</v>
      </c>
      <c r="F134" s="1">
        <f>IFERROR(__xludf.DUMMYFUNCTION("""COMPUTED_VALUE"""),570039.0)</f>
        <v>570039</v>
      </c>
      <c r="G134" s="2" t="s">
        <v>2</v>
      </c>
    </row>
    <row r="135">
      <c r="A135" s="3">
        <f>IFERROR(__xludf.DUMMYFUNCTION("""COMPUTED_VALUE"""),44776.66666666667)</f>
        <v>44776.66667</v>
      </c>
      <c r="B135" s="1">
        <f>IFERROR(__xludf.DUMMYFUNCTION("""COMPUTED_VALUE"""),0.04)</f>
        <v>0.04</v>
      </c>
      <c r="C135" s="1">
        <f>IFERROR(__xludf.DUMMYFUNCTION("""COMPUTED_VALUE"""),0.04)</f>
        <v>0.04</v>
      </c>
      <c r="D135" s="1">
        <f>IFERROR(__xludf.DUMMYFUNCTION("""COMPUTED_VALUE"""),0.04)</f>
        <v>0.04</v>
      </c>
      <c r="E135" s="1">
        <f>IFERROR(__xludf.DUMMYFUNCTION("""COMPUTED_VALUE"""),0.04)</f>
        <v>0.04</v>
      </c>
      <c r="F135" s="1">
        <f>IFERROR(__xludf.DUMMYFUNCTION("""COMPUTED_VALUE"""),254524.0)</f>
        <v>254524</v>
      </c>
      <c r="G135" s="2" t="s">
        <v>2</v>
      </c>
    </row>
    <row r="136">
      <c r="A136" s="3">
        <f>IFERROR(__xludf.DUMMYFUNCTION("""COMPUTED_VALUE"""),44777.66666666667)</f>
        <v>44777.66667</v>
      </c>
      <c r="B136" s="1">
        <f>IFERROR(__xludf.DUMMYFUNCTION("""COMPUTED_VALUE"""),0.04)</f>
        <v>0.04</v>
      </c>
      <c r="C136" s="1">
        <f>IFERROR(__xludf.DUMMYFUNCTION("""COMPUTED_VALUE"""),0.04)</f>
        <v>0.04</v>
      </c>
      <c r="D136" s="1">
        <f>IFERROR(__xludf.DUMMYFUNCTION("""COMPUTED_VALUE"""),0.04)</f>
        <v>0.04</v>
      </c>
      <c r="E136" s="1">
        <f>IFERROR(__xludf.DUMMYFUNCTION("""COMPUTED_VALUE"""),0.04)</f>
        <v>0.04</v>
      </c>
      <c r="F136" s="1">
        <f>IFERROR(__xludf.DUMMYFUNCTION("""COMPUTED_VALUE"""),158241.0)</f>
        <v>158241</v>
      </c>
      <c r="G136" s="2" t="s">
        <v>2</v>
      </c>
    </row>
    <row r="137">
      <c r="A137" s="3">
        <f>IFERROR(__xludf.DUMMYFUNCTION("""COMPUTED_VALUE"""),44778.66666666667)</f>
        <v>44778.66667</v>
      </c>
      <c r="B137" s="1">
        <f>IFERROR(__xludf.DUMMYFUNCTION("""COMPUTED_VALUE"""),0.04)</f>
        <v>0.04</v>
      </c>
      <c r="C137" s="1">
        <f>IFERROR(__xludf.DUMMYFUNCTION("""COMPUTED_VALUE"""),0.04)</f>
        <v>0.04</v>
      </c>
      <c r="D137" s="1">
        <f>IFERROR(__xludf.DUMMYFUNCTION("""COMPUTED_VALUE"""),0.04)</f>
        <v>0.04</v>
      </c>
      <c r="E137" s="1">
        <f>IFERROR(__xludf.DUMMYFUNCTION("""COMPUTED_VALUE"""),0.04)</f>
        <v>0.04</v>
      </c>
      <c r="F137" s="1">
        <f>IFERROR(__xludf.DUMMYFUNCTION("""COMPUTED_VALUE"""),425.0)</f>
        <v>425</v>
      </c>
      <c r="G137" s="2" t="s">
        <v>2</v>
      </c>
    </row>
    <row r="138">
      <c r="A138" s="3">
        <f>IFERROR(__xludf.DUMMYFUNCTION("""COMPUTED_VALUE"""),44781.66666666667)</f>
        <v>44781.66667</v>
      </c>
      <c r="B138" s="1">
        <f>IFERROR(__xludf.DUMMYFUNCTION("""COMPUTED_VALUE"""),0.04)</f>
        <v>0.04</v>
      </c>
      <c r="C138" s="1">
        <f>IFERROR(__xludf.DUMMYFUNCTION("""COMPUTED_VALUE"""),0.04)</f>
        <v>0.04</v>
      </c>
      <c r="D138" s="1">
        <f>IFERROR(__xludf.DUMMYFUNCTION("""COMPUTED_VALUE"""),0.04)</f>
        <v>0.04</v>
      </c>
      <c r="E138" s="1">
        <f>IFERROR(__xludf.DUMMYFUNCTION("""COMPUTED_VALUE"""),0.04)</f>
        <v>0.04</v>
      </c>
      <c r="F138" s="1">
        <f>IFERROR(__xludf.DUMMYFUNCTION("""COMPUTED_VALUE"""),9620.0)</f>
        <v>9620</v>
      </c>
      <c r="G138" s="2" t="s">
        <v>2</v>
      </c>
    </row>
    <row r="139">
      <c r="A139" s="3">
        <f>IFERROR(__xludf.DUMMYFUNCTION("""COMPUTED_VALUE"""),44782.66666666667)</f>
        <v>44782.66667</v>
      </c>
      <c r="B139" s="1">
        <f>IFERROR(__xludf.DUMMYFUNCTION("""COMPUTED_VALUE"""),0.04)</f>
        <v>0.04</v>
      </c>
      <c r="C139" s="1">
        <f>IFERROR(__xludf.DUMMYFUNCTION("""COMPUTED_VALUE"""),0.04)</f>
        <v>0.04</v>
      </c>
      <c r="D139" s="1">
        <f>IFERROR(__xludf.DUMMYFUNCTION("""COMPUTED_VALUE"""),0.04)</f>
        <v>0.04</v>
      </c>
      <c r="E139" s="1">
        <f>IFERROR(__xludf.DUMMYFUNCTION("""COMPUTED_VALUE"""),0.04)</f>
        <v>0.04</v>
      </c>
      <c r="F139" s="1">
        <f>IFERROR(__xludf.DUMMYFUNCTION("""COMPUTED_VALUE"""),44847.0)</f>
        <v>44847</v>
      </c>
      <c r="G139" s="2" t="s">
        <v>2</v>
      </c>
    </row>
    <row r="140">
      <c r="A140" s="3">
        <f>IFERROR(__xludf.DUMMYFUNCTION("""COMPUTED_VALUE"""),44783.66666666667)</f>
        <v>44783.66667</v>
      </c>
      <c r="B140" s="1">
        <f>IFERROR(__xludf.DUMMYFUNCTION("""COMPUTED_VALUE"""),0.04)</f>
        <v>0.04</v>
      </c>
      <c r="C140" s="1">
        <f>IFERROR(__xludf.DUMMYFUNCTION("""COMPUTED_VALUE"""),0.04)</f>
        <v>0.04</v>
      </c>
      <c r="D140" s="1">
        <f>IFERROR(__xludf.DUMMYFUNCTION("""COMPUTED_VALUE"""),0.04)</f>
        <v>0.04</v>
      </c>
      <c r="E140" s="1">
        <f>IFERROR(__xludf.DUMMYFUNCTION("""COMPUTED_VALUE"""),0.04)</f>
        <v>0.04</v>
      </c>
      <c r="F140" s="1">
        <f>IFERROR(__xludf.DUMMYFUNCTION("""COMPUTED_VALUE"""),194301.0)</f>
        <v>194301</v>
      </c>
      <c r="G140" s="2" t="s">
        <v>2</v>
      </c>
    </row>
    <row r="141">
      <c r="A141" s="3">
        <f>IFERROR(__xludf.DUMMYFUNCTION("""COMPUTED_VALUE"""),44784.66666666667)</f>
        <v>44784.66667</v>
      </c>
      <c r="B141" s="1">
        <f>IFERROR(__xludf.DUMMYFUNCTION("""COMPUTED_VALUE"""),0.04)</f>
        <v>0.04</v>
      </c>
      <c r="C141" s="1">
        <f>IFERROR(__xludf.DUMMYFUNCTION("""COMPUTED_VALUE"""),0.04)</f>
        <v>0.04</v>
      </c>
      <c r="D141" s="1">
        <f>IFERROR(__xludf.DUMMYFUNCTION("""COMPUTED_VALUE"""),0.04)</f>
        <v>0.04</v>
      </c>
      <c r="E141" s="1">
        <f>IFERROR(__xludf.DUMMYFUNCTION("""COMPUTED_VALUE"""),0.04)</f>
        <v>0.04</v>
      </c>
      <c r="F141" s="1">
        <f>IFERROR(__xludf.DUMMYFUNCTION("""COMPUTED_VALUE"""),135384.0)</f>
        <v>135384</v>
      </c>
      <c r="G141" s="2" t="s">
        <v>2</v>
      </c>
    </row>
    <row r="142">
      <c r="A142" s="3">
        <f>IFERROR(__xludf.DUMMYFUNCTION("""COMPUTED_VALUE"""),44785.66666666667)</f>
        <v>44785.66667</v>
      </c>
      <c r="B142" s="1">
        <f>IFERROR(__xludf.DUMMYFUNCTION("""COMPUTED_VALUE"""),0.04)</f>
        <v>0.04</v>
      </c>
      <c r="C142" s="1">
        <f>IFERROR(__xludf.DUMMYFUNCTION("""COMPUTED_VALUE"""),0.04)</f>
        <v>0.04</v>
      </c>
      <c r="D142" s="1">
        <f>IFERROR(__xludf.DUMMYFUNCTION("""COMPUTED_VALUE"""),0.04)</f>
        <v>0.04</v>
      </c>
      <c r="E142" s="1">
        <f>IFERROR(__xludf.DUMMYFUNCTION("""COMPUTED_VALUE"""),0.04)</f>
        <v>0.04</v>
      </c>
      <c r="F142" s="1">
        <f>IFERROR(__xludf.DUMMYFUNCTION("""COMPUTED_VALUE"""),867934.0)</f>
        <v>867934</v>
      </c>
      <c r="G142" s="2" t="s">
        <v>2</v>
      </c>
    </row>
    <row r="143">
      <c r="A143" s="3">
        <f>IFERROR(__xludf.DUMMYFUNCTION("""COMPUTED_VALUE"""),44788.66666666667)</f>
        <v>44788.66667</v>
      </c>
      <c r="B143" s="1">
        <f>IFERROR(__xludf.DUMMYFUNCTION("""COMPUTED_VALUE"""),0.04)</f>
        <v>0.04</v>
      </c>
      <c r="C143" s="1">
        <f>IFERROR(__xludf.DUMMYFUNCTION("""COMPUTED_VALUE"""),0.04)</f>
        <v>0.04</v>
      </c>
      <c r="D143" s="1">
        <f>IFERROR(__xludf.DUMMYFUNCTION("""COMPUTED_VALUE"""),0.04)</f>
        <v>0.04</v>
      </c>
      <c r="E143" s="1">
        <f>IFERROR(__xludf.DUMMYFUNCTION("""COMPUTED_VALUE"""),0.04)</f>
        <v>0.04</v>
      </c>
      <c r="F143" s="1">
        <f>IFERROR(__xludf.DUMMYFUNCTION("""COMPUTED_VALUE"""),1747503.0)</f>
        <v>1747503</v>
      </c>
      <c r="G143" s="2" t="s">
        <v>2</v>
      </c>
    </row>
    <row r="144">
      <c r="A144" s="3">
        <f>IFERROR(__xludf.DUMMYFUNCTION("""COMPUTED_VALUE"""),44789.66666666667)</f>
        <v>44789.66667</v>
      </c>
      <c r="B144" s="1">
        <f>IFERROR(__xludf.DUMMYFUNCTION("""COMPUTED_VALUE"""),0.04)</f>
        <v>0.04</v>
      </c>
      <c r="C144" s="1">
        <f>IFERROR(__xludf.DUMMYFUNCTION("""COMPUTED_VALUE"""),0.04)</f>
        <v>0.04</v>
      </c>
      <c r="D144" s="1">
        <f>IFERROR(__xludf.DUMMYFUNCTION("""COMPUTED_VALUE"""),0.04)</f>
        <v>0.04</v>
      </c>
      <c r="E144" s="1">
        <f>IFERROR(__xludf.DUMMYFUNCTION("""COMPUTED_VALUE"""),0.04)</f>
        <v>0.04</v>
      </c>
      <c r="F144" s="1">
        <f>IFERROR(__xludf.DUMMYFUNCTION("""COMPUTED_VALUE"""),14982.0)</f>
        <v>14982</v>
      </c>
      <c r="G144" s="2" t="s">
        <v>2</v>
      </c>
    </row>
    <row r="145">
      <c r="A145" s="3">
        <f>IFERROR(__xludf.DUMMYFUNCTION("""COMPUTED_VALUE"""),44790.66666666667)</f>
        <v>44790.66667</v>
      </c>
      <c r="B145" s="1">
        <f>IFERROR(__xludf.DUMMYFUNCTION("""COMPUTED_VALUE"""),0.04)</f>
        <v>0.04</v>
      </c>
      <c r="C145" s="1">
        <f>IFERROR(__xludf.DUMMYFUNCTION("""COMPUTED_VALUE"""),0.04)</f>
        <v>0.04</v>
      </c>
      <c r="D145" s="1">
        <f>IFERROR(__xludf.DUMMYFUNCTION("""COMPUTED_VALUE"""),0.04)</f>
        <v>0.04</v>
      </c>
      <c r="E145" s="1">
        <f>IFERROR(__xludf.DUMMYFUNCTION("""COMPUTED_VALUE"""),0.04)</f>
        <v>0.04</v>
      </c>
      <c r="F145" s="1">
        <f>IFERROR(__xludf.DUMMYFUNCTION("""COMPUTED_VALUE"""),163677.0)</f>
        <v>163677</v>
      </c>
      <c r="G145" s="2" t="s">
        <v>2</v>
      </c>
    </row>
    <row r="146">
      <c r="A146" s="3">
        <f>IFERROR(__xludf.DUMMYFUNCTION("""COMPUTED_VALUE"""),44791.66666666667)</f>
        <v>44791.66667</v>
      </c>
      <c r="B146" s="1">
        <f>IFERROR(__xludf.DUMMYFUNCTION("""COMPUTED_VALUE"""),0.04)</f>
        <v>0.04</v>
      </c>
      <c r="C146" s="1">
        <f>IFERROR(__xludf.DUMMYFUNCTION("""COMPUTED_VALUE"""),0.04)</f>
        <v>0.04</v>
      </c>
      <c r="D146" s="1">
        <f>IFERROR(__xludf.DUMMYFUNCTION("""COMPUTED_VALUE"""),0.04)</f>
        <v>0.04</v>
      </c>
      <c r="E146" s="1">
        <f>IFERROR(__xludf.DUMMYFUNCTION("""COMPUTED_VALUE"""),0.04)</f>
        <v>0.04</v>
      </c>
      <c r="F146" s="1">
        <f>IFERROR(__xludf.DUMMYFUNCTION("""COMPUTED_VALUE"""),50000.0)</f>
        <v>50000</v>
      </c>
      <c r="G146" s="2" t="s">
        <v>2</v>
      </c>
    </row>
    <row r="147">
      <c r="A147" s="3">
        <f>IFERROR(__xludf.DUMMYFUNCTION("""COMPUTED_VALUE"""),44792.66666666667)</f>
        <v>44792.66667</v>
      </c>
      <c r="B147" s="1">
        <f>IFERROR(__xludf.DUMMYFUNCTION("""COMPUTED_VALUE"""),0.04)</f>
        <v>0.04</v>
      </c>
      <c r="C147" s="1">
        <f>IFERROR(__xludf.DUMMYFUNCTION("""COMPUTED_VALUE"""),0.04)</f>
        <v>0.04</v>
      </c>
      <c r="D147" s="1">
        <f>IFERROR(__xludf.DUMMYFUNCTION("""COMPUTED_VALUE"""),0.04)</f>
        <v>0.04</v>
      </c>
      <c r="E147" s="1">
        <f>IFERROR(__xludf.DUMMYFUNCTION("""COMPUTED_VALUE"""),0.04)</f>
        <v>0.04</v>
      </c>
      <c r="F147" s="1">
        <f>IFERROR(__xludf.DUMMYFUNCTION("""COMPUTED_VALUE"""),151786.0)</f>
        <v>151786</v>
      </c>
      <c r="G147" s="2" t="s">
        <v>2</v>
      </c>
    </row>
    <row r="148">
      <c r="A148" s="3">
        <f>IFERROR(__xludf.DUMMYFUNCTION("""COMPUTED_VALUE"""),44795.66666666667)</f>
        <v>44795.66667</v>
      </c>
      <c r="B148" s="1">
        <f>IFERROR(__xludf.DUMMYFUNCTION("""COMPUTED_VALUE"""),0.04)</f>
        <v>0.04</v>
      </c>
      <c r="C148" s="1">
        <f>IFERROR(__xludf.DUMMYFUNCTION("""COMPUTED_VALUE"""),0.04)</f>
        <v>0.04</v>
      </c>
      <c r="D148" s="1">
        <f>IFERROR(__xludf.DUMMYFUNCTION("""COMPUTED_VALUE"""),0.04)</f>
        <v>0.04</v>
      </c>
      <c r="E148" s="1">
        <f>IFERROR(__xludf.DUMMYFUNCTION("""COMPUTED_VALUE"""),0.04)</f>
        <v>0.04</v>
      </c>
      <c r="F148" s="1">
        <f>IFERROR(__xludf.DUMMYFUNCTION("""COMPUTED_VALUE"""),318906.0)</f>
        <v>318906</v>
      </c>
      <c r="G148" s="2" t="s">
        <v>2</v>
      </c>
    </row>
    <row r="149">
      <c r="A149" s="3">
        <f>IFERROR(__xludf.DUMMYFUNCTION("""COMPUTED_VALUE"""),44796.66666666667)</f>
        <v>44796.66667</v>
      </c>
      <c r="B149" s="1">
        <f>IFERROR(__xludf.DUMMYFUNCTION("""COMPUTED_VALUE"""),0.04)</f>
        <v>0.04</v>
      </c>
      <c r="C149" s="1">
        <f>IFERROR(__xludf.DUMMYFUNCTION("""COMPUTED_VALUE"""),0.04)</f>
        <v>0.04</v>
      </c>
      <c r="D149" s="1">
        <f>IFERROR(__xludf.DUMMYFUNCTION("""COMPUTED_VALUE"""),0.04)</f>
        <v>0.04</v>
      </c>
      <c r="E149" s="1">
        <f>IFERROR(__xludf.DUMMYFUNCTION("""COMPUTED_VALUE"""),0.04)</f>
        <v>0.04</v>
      </c>
      <c r="F149" s="1">
        <f>IFERROR(__xludf.DUMMYFUNCTION("""COMPUTED_VALUE"""),1897655.0)</f>
        <v>1897655</v>
      </c>
      <c r="G149" s="2" t="s">
        <v>2</v>
      </c>
    </row>
    <row r="150">
      <c r="A150" s="3">
        <f>IFERROR(__xludf.DUMMYFUNCTION("""COMPUTED_VALUE"""),44797.66666666667)</f>
        <v>44797.66667</v>
      </c>
      <c r="B150" s="1">
        <f>IFERROR(__xludf.DUMMYFUNCTION("""COMPUTED_VALUE"""),0.04)</f>
        <v>0.04</v>
      </c>
      <c r="C150" s="1">
        <f>IFERROR(__xludf.DUMMYFUNCTION("""COMPUTED_VALUE"""),0.05)</f>
        <v>0.05</v>
      </c>
      <c r="D150" s="1">
        <f>IFERROR(__xludf.DUMMYFUNCTION("""COMPUTED_VALUE"""),0.04)</f>
        <v>0.04</v>
      </c>
      <c r="E150" s="1">
        <f>IFERROR(__xludf.DUMMYFUNCTION("""COMPUTED_VALUE"""),0.04)</f>
        <v>0.04</v>
      </c>
      <c r="F150" s="1">
        <f>IFERROR(__xludf.DUMMYFUNCTION("""COMPUTED_VALUE"""),2960937.0)</f>
        <v>2960937</v>
      </c>
      <c r="G150" s="2" t="s">
        <v>2</v>
      </c>
    </row>
    <row r="151">
      <c r="A151" s="3">
        <f>IFERROR(__xludf.DUMMYFUNCTION("""COMPUTED_VALUE"""),44798.66666666667)</f>
        <v>44798.66667</v>
      </c>
      <c r="B151" s="1">
        <f>IFERROR(__xludf.DUMMYFUNCTION("""COMPUTED_VALUE"""),0.04)</f>
        <v>0.04</v>
      </c>
      <c r="C151" s="1">
        <f>IFERROR(__xludf.DUMMYFUNCTION("""COMPUTED_VALUE"""),0.05)</f>
        <v>0.05</v>
      </c>
      <c r="D151" s="1">
        <f>IFERROR(__xludf.DUMMYFUNCTION("""COMPUTED_VALUE"""),0.04)</f>
        <v>0.04</v>
      </c>
      <c r="E151" s="1">
        <f>IFERROR(__xludf.DUMMYFUNCTION("""COMPUTED_VALUE"""),0.04)</f>
        <v>0.04</v>
      </c>
      <c r="F151" s="1">
        <f>IFERROR(__xludf.DUMMYFUNCTION("""COMPUTED_VALUE"""),1122564.0)</f>
        <v>1122564</v>
      </c>
      <c r="G151" s="2" t="s">
        <v>2</v>
      </c>
    </row>
    <row r="152">
      <c r="A152" s="3">
        <f>IFERROR(__xludf.DUMMYFUNCTION("""COMPUTED_VALUE"""),44799.66666666667)</f>
        <v>44799.66667</v>
      </c>
      <c r="B152" s="1">
        <f>IFERROR(__xludf.DUMMYFUNCTION("""COMPUTED_VALUE"""),0.04)</f>
        <v>0.04</v>
      </c>
      <c r="C152" s="1">
        <f>IFERROR(__xludf.DUMMYFUNCTION("""COMPUTED_VALUE"""),0.04)</f>
        <v>0.04</v>
      </c>
      <c r="D152" s="1">
        <f>IFERROR(__xludf.DUMMYFUNCTION("""COMPUTED_VALUE"""),0.04)</f>
        <v>0.04</v>
      </c>
      <c r="E152" s="1">
        <f>IFERROR(__xludf.DUMMYFUNCTION("""COMPUTED_VALUE"""),0.04)</f>
        <v>0.04</v>
      </c>
      <c r="F152" s="1">
        <f>IFERROR(__xludf.DUMMYFUNCTION("""COMPUTED_VALUE"""),796567.0)</f>
        <v>796567</v>
      </c>
      <c r="G152" s="2" t="s">
        <v>2</v>
      </c>
    </row>
    <row r="153">
      <c r="A153" s="3">
        <f>IFERROR(__xludf.DUMMYFUNCTION("""COMPUTED_VALUE"""),44802.66666666667)</f>
        <v>44802.66667</v>
      </c>
      <c r="B153" s="1">
        <f>IFERROR(__xludf.DUMMYFUNCTION("""COMPUTED_VALUE"""),0.04)</f>
        <v>0.04</v>
      </c>
      <c r="C153" s="1">
        <f>IFERROR(__xludf.DUMMYFUNCTION("""COMPUTED_VALUE"""),0.04)</f>
        <v>0.04</v>
      </c>
      <c r="D153" s="1">
        <f>IFERROR(__xludf.DUMMYFUNCTION("""COMPUTED_VALUE"""),0.04)</f>
        <v>0.04</v>
      </c>
      <c r="E153" s="1">
        <f>IFERROR(__xludf.DUMMYFUNCTION("""COMPUTED_VALUE"""),0.04)</f>
        <v>0.04</v>
      </c>
      <c r="F153" s="1">
        <f>IFERROR(__xludf.DUMMYFUNCTION("""COMPUTED_VALUE"""),274780.0)</f>
        <v>274780</v>
      </c>
      <c r="G153" s="2" t="s">
        <v>2</v>
      </c>
    </row>
    <row r="154">
      <c r="A154" s="3">
        <f>IFERROR(__xludf.DUMMYFUNCTION("""COMPUTED_VALUE"""),44803.66666666667)</f>
        <v>44803.66667</v>
      </c>
      <c r="B154" s="1">
        <f>IFERROR(__xludf.DUMMYFUNCTION("""COMPUTED_VALUE"""),0.04)</f>
        <v>0.04</v>
      </c>
      <c r="C154" s="1">
        <f>IFERROR(__xludf.DUMMYFUNCTION("""COMPUTED_VALUE"""),0.04)</f>
        <v>0.04</v>
      </c>
      <c r="D154" s="1">
        <f>IFERROR(__xludf.DUMMYFUNCTION("""COMPUTED_VALUE"""),0.04)</f>
        <v>0.04</v>
      </c>
      <c r="E154" s="1">
        <f>IFERROR(__xludf.DUMMYFUNCTION("""COMPUTED_VALUE"""),0.04)</f>
        <v>0.04</v>
      </c>
      <c r="F154" s="1">
        <f>IFERROR(__xludf.DUMMYFUNCTION("""COMPUTED_VALUE"""),224965.0)</f>
        <v>224965</v>
      </c>
      <c r="G154" s="2" t="s">
        <v>2</v>
      </c>
    </row>
    <row r="155">
      <c r="A155" s="3">
        <f>IFERROR(__xludf.DUMMYFUNCTION("""COMPUTED_VALUE"""),44804.66666666667)</f>
        <v>44804.66667</v>
      </c>
      <c r="B155" s="1">
        <f>IFERROR(__xludf.DUMMYFUNCTION("""COMPUTED_VALUE"""),0.04)</f>
        <v>0.04</v>
      </c>
      <c r="C155" s="1">
        <f>IFERROR(__xludf.DUMMYFUNCTION("""COMPUTED_VALUE"""),0.04)</f>
        <v>0.04</v>
      </c>
      <c r="D155" s="1">
        <f>IFERROR(__xludf.DUMMYFUNCTION("""COMPUTED_VALUE"""),0.04)</f>
        <v>0.04</v>
      </c>
      <c r="E155" s="1">
        <f>IFERROR(__xludf.DUMMYFUNCTION("""COMPUTED_VALUE"""),0.04)</f>
        <v>0.04</v>
      </c>
      <c r="F155" s="1">
        <f>IFERROR(__xludf.DUMMYFUNCTION("""COMPUTED_VALUE"""),516048.0)</f>
        <v>516048</v>
      </c>
      <c r="G155" s="2" t="s">
        <v>2</v>
      </c>
    </row>
    <row r="156">
      <c r="A156" s="3">
        <f>IFERROR(__xludf.DUMMYFUNCTION("""COMPUTED_VALUE"""),44805.66666666667)</f>
        <v>44805.66667</v>
      </c>
      <c r="B156" s="1">
        <f>IFERROR(__xludf.DUMMYFUNCTION("""COMPUTED_VALUE"""),0.04)</f>
        <v>0.04</v>
      </c>
      <c r="C156" s="1">
        <f>IFERROR(__xludf.DUMMYFUNCTION("""COMPUTED_VALUE"""),0.04)</f>
        <v>0.04</v>
      </c>
      <c r="D156" s="1">
        <f>IFERROR(__xludf.DUMMYFUNCTION("""COMPUTED_VALUE"""),0.04)</f>
        <v>0.04</v>
      </c>
      <c r="E156" s="1">
        <f>IFERROR(__xludf.DUMMYFUNCTION("""COMPUTED_VALUE"""),0.04)</f>
        <v>0.04</v>
      </c>
      <c r="F156" s="1">
        <f>IFERROR(__xludf.DUMMYFUNCTION("""COMPUTED_VALUE"""),392923.0)</f>
        <v>392923</v>
      </c>
      <c r="G156" s="2" t="s">
        <v>2</v>
      </c>
    </row>
    <row r="157">
      <c r="A157" s="3">
        <f>IFERROR(__xludf.DUMMYFUNCTION("""COMPUTED_VALUE"""),44806.66666666667)</f>
        <v>44806.66667</v>
      </c>
      <c r="B157" s="1">
        <f>IFERROR(__xludf.DUMMYFUNCTION("""COMPUTED_VALUE"""),0.04)</f>
        <v>0.04</v>
      </c>
      <c r="C157" s="1">
        <f>IFERROR(__xludf.DUMMYFUNCTION("""COMPUTED_VALUE"""),0.04)</f>
        <v>0.04</v>
      </c>
      <c r="D157" s="1">
        <f>IFERROR(__xludf.DUMMYFUNCTION("""COMPUTED_VALUE"""),0.04)</f>
        <v>0.04</v>
      </c>
      <c r="E157" s="1">
        <f>IFERROR(__xludf.DUMMYFUNCTION("""COMPUTED_VALUE"""),0.04)</f>
        <v>0.04</v>
      </c>
      <c r="F157" s="1">
        <f>IFERROR(__xludf.DUMMYFUNCTION("""COMPUTED_VALUE"""),1012032.0)</f>
        <v>1012032</v>
      </c>
      <c r="G157" s="2" t="s">
        <v>2</v>
      </c>
    </row>
    <row r="158">
      <c r="A158" s="3">
        <f>IFERROR(__xludf.DUMMYFUNCTION("""COMPUTED_VALUE"""),44809.66666666667)</f>
        <v>44809.66667</v>
      </c>
      <c r="B158" s="1">
        <f>IFERROR(__xludf.DUMMYFUNCTION("""COMPUTED_VALUE"""),0.04)</f>
        <v>0.04</v>
      </c>
      <c r="C158" s="1">
        <f>IFERROR(__xludf.DUMMYFUNCTION("""COMPUTED_VALUE"""),0.05)</f>
        <v>0.05</v>
      </c>
      <c r="D158" s="1">
        <f>IFERROR(__xludf.DUMMYFUNCTION("""COMPUTED_VALUE"""),0.04)</f>
        <v>0.04</v>
      </c>
      <c r="E158" s="1">
        <f>IFERROR(__xludf.DUMMYFUNCTION("""COMPUTED_VALUE"""),0.05)</f>
        <v>0.05</v>
      </c>
      <c r="F158" s="1">
        <f>IFERROR(__xludf.DUMMYFUNCTION("""COMPUTED_VALUE"""),5740773.0)</f>
        <v>5740773</v>
      </c>
      <c r="G158" s="2" t="s">
        <v>2</v>
      </c>
    </row>
    <row r="159">
      <c r="A159" s="3">
        <f>IFERROR(__xludf.DUMMYFUNCTION("""COMPUTED_VALUE"""),44810.66666666667)</f>
        <v>44810.66667</v>
      </c>
      <c r="B159" s="1">
        <f>IFERROR(__xludf.DUMMYFUNCTION("""COMPUTED_VALUE"""),0.05)</f>
        <v>0.05</v>
      </c>
      <c r="C159" s="1">
        <f>IFERROR(__xludf.DUMMYFUNCTION("""COMPUTED_VALUE"""),0.06)</f>
        <v>0.06</v>
      </c>
      <c r="D159" s="1">
        <f>IFERROR(__xludf.DUMMYFUNCTION("""COMPUTED_VALUE"""),0.05)</f>
        <v>0.05</v>
      </c>
      <c r="E159" s="1">
        <f>IFERROR(__xludf.DUMMYFUNCTION("""COMPUTED_VALUE"""),0.05)</f>
        <v>0.05</v>
      </c>
      <c r="F159" s="1">
        <f>IFERROR(__xludf.DUMMYFUNCTION("""COMPUTED_VALUE"""),2243320.0)</f>
        <v>2243320</v>
      </c>
      <c r="G159" s="2" t="s">
        <v>2</v>
      </c>
    </row>
    <row r="160">
      <c r="A160" s="3">
        <f>IFERROR(__xludf.DUMMYFUNCTION("""COMPUTED_VALUE"""),44811.66666666667)</f>
        <v>44811.66667</v>
      </c>
      <c r="B160" s="1">
        <f>IFERROR(__xludf.DUMMYFUNCTION("""COMPUTED_VALUE"""),0.05)</f>
        <v>0.05</v>
      </c>
      <c r="C160" s="1">
        <f>IFERROR(__xludf.DUMMYFUNCTION("""COMPUTED_VALUE"""),0.05)</f>
        <v>0.05</v>
      </c>
      <c r="D160" s="1">
        <f>IFERROR(__xludf.DUMMYFUNCTION("""COMPUTED_VALUE"""),0.05)</f>
        <v>0.05</v>
      </c>
      <c r="E160" s="1">
        <f>IFERROR(__xludf.DUMMYFUNCTION("""COMPUTED_VALUE"""),0.05)</f>
        <v>0.05</v>
      </c>
      <c r="F160" s="1">
        <f>IFERROR(__xludf.DUMMYFUNCTION("""COMPUTED_VALUE"""),702405.0)</f>
        <v>702405</v>
      </c>
      <c r="G160" s="2" t="s">
        <v>2</v>
      </c>
    </row>
    <row r="161">
      <c r="A161" s="3">
        <f>IFERROR(__xludf.DUMMYFUNCTION("""COMPUTED_VALUE"""),44812.66666666667)</f>
        <v>44812.66667</v>
      </c>
      <c r="B161" s="1">
        <f>IFERROR(__xludf.DUMMYFUNCTION("""COMPUTED_VALUE"""),0.05)</f>
        <v>0.05</v>
      </c>
      <c r="C161" s="1">
        <f>IFERROR(__xludf.DUMMYFUNCTION("""COMPUTED_VALUE"""),0.05)</f>
        <v>0.05</v>
      </c>
      <c r="D161" s="1">
        <f>IFERROR(__xludf.DUMMYFUNCTION("""COMPUTED_VALUE"""),0.04)</f>
        <v>0.04</v>
      </c>
      <c r="E161" s="1">
        <f>IFERROR(__xludf.DUMMYFUNCTION("""COMPUTED_VALUE"""),0.04)</f>
        <v>0.04</v>
      </c>
      <c r="F161" s="1">
        <f>IFERROR(__xludf.DUMMYFUNCTION("""COMPUTED_VALUE"""),2074024.0)</f>
        <v>2074024</v>
      </c>
      <c r="G161" s="2" t="s">
        <v>2</v>
      </c>
    </row>
    <row r="162">
      <c r="A162" s="3">
        <f>IFERROR(__xludf.DUMMYFUNCTION("""COMPUTED_VALUE"""),44813.66666666667)</f>
        <v>44813.66667</v>
      </c>
      <c r="B162" s="1">
        <f>IFERROR(__xludf.DUMMYFUNCTION("""COMPUTED_VALUE"""),0.04)</f>
        <v>0.04</v>
      </c>
      <c r="C162" s="1">
        <f>IFERROR(__xludf.DUMMYFUNCTION("""COMPUTED_VALUE"""),0.04)</f>
        <v>0.04</v>
      </c>
      <c r="D162" s="1">
        <f>IFERROR(__xludf.DUMMYFUNCTION("""COMPUTED_VALUE"""),0.04)</f>
        <v>0.04</v>
      </c>
      <c r="E162" s="1">
        <f>IFERROR(__xludf.DUMMYFUNCTION("""COMPUTED_VALUE"""),0.04)</f>
        <v>0.04</v>
      </c>
      <c r="F162" s="1">
        <f>IFERROR(__xludf.DUMMYFUNCTION("""COMPUTED_VALUE"""),586883.0)</f>
        <v>586883</v>
      </c>
      <c r="G162" s="2" t="s">
        <v>2</v>
      </c>
    </row>
    <row r="163">
      <c r="A163" s="3">
        <f>IFERROR(__xludf.DUMMYFUNCTION("""COMPUTED_VALUE"""),44816.66666666667)</f>
        <v>44816.66667</v>
      </c>
      <c r="B163" s="1">
        <f>IFERROR(__xludf.DUMMYFUNCTION("""COMPUTED_VALUE"""),0.04)</f>
        <v>0.04</v>
      </c>
      <c r="C163" s="1">
        <f>IFERROR(__xludf.DUMMYFUNCTION("""COMPUTED_VALUE"""),0.05)</f>
        <v>0.05</v>
      </c>
      <c r="D163" s="1">
        <f>IFERROR(__xludf.DUMMYFUNCTION("""COMPUTED_VALUE"""),0.04)</f>
        <v>0.04</v>
      </c>
      <c r="E163" s="1">
        <f>IFERROR(__xludf.DUMMYFUNCTION("""COMPUTED_VALUE"""),0.04)</f>
        <v>0.04</v>
      </c>
      <c r="F163" s="1">
        <f>IFERROR(__xludf.DUMMYFUNCTION("""COMPUTED_VALUE"""),406210.0)</f>
        <v>406210</v>
      </c>
      <c r="G163" s="2" t="s">
        <v>2</v>
      </c>
    </row>
    <row r="164">
      <c r="A164" s="3">
        <f>IFERROR(__xludf.DUMMYFUNCTION("""COMPUTED_VALUE"""),44817.66666666667)</f>
        <v>44817.66667</v>
      </c>
      <c r="B164" s="1">
        <f>IFERROR(__xludf.DUMMYFUNCTION("""COMPUTED_VALUE"""),0.04)</f>
        <v>0.04</v>
      </c>
      <c r="C164" s="1">
        <f>IFERROR(__xludf.DUMMYFUNCTION("""COMPUTED_VALUE"""),0.04)</f>
        <v>0.04</v>
      </c>
      <c r="D164" s="1">
        <f>IFERROR(__xludf.DUMMYFUNCTION("""COMPUTED_VALUE"""),0.04)</f>
        <v>0.04</v>
      </c>
      <c r="E164" s="1">
        <f>IFERROR(__xludf.DUMMYFUNCTION("""COMPUTED_VALUE"""),0.04)</f>
        <v>0.04</v>
      </c>
      <c r="F164" s="1">
        <f>IFERROR(__xludf.DUMMYFUNCTION("""COMPUTED_VALUE"""),4415779.0)</f>
        <v>4415779</v>
      </c>
      <c r="G164" s="2" t="s">
        <v>2</v>
      </c>
    </row>
    <row r="165">
      <c r="A165" s="3">
        <f>IFERROR(__xludf.DUMMYFUNCTION("""COMPUTED_VALUE"""),44818.66666666667)</f>
        <v>44818.66667</v>
      </c>
      <c r="B165" s="1">
        <f>IFERROR(__xludf.DUMMYFUNCTION("""COMPUTED_VALUE"""),0.04)</f>
        <v>0.04</v>
      </c>
      <c r="C165" s="1">
        <f>IFERROR(__xludf.DUMMYFUNCTION("""COMPUTED_VALUE"""),0.04)</f>
        <v>0.04</v>
      </c>
      <c r="D165" s="1">
        <f>IFERROR(__xludf.DUMMYFUNCTION("""COMPUTED_VALUE"""),0.04)</f>
        <v>0.04</v>
      </c>
      <c r="E165" s="1">
        <f>IFERROR(__xludf.DUMMYFUNCTION("""COMPUTED_VALUE"""),0.04)</f>
        <v>0.04</v>
      </c>
      <c r="F165" s="1">
        <f>IFERROR(__xludf.DUMMYFUNCTION("""COMPUTED_VALUE"""),3301226.0)</f>
        <v>3301226</v>
      </c>
      <c r="G165" s="2" t="s">
        <v>2</v>
      </c>
    </row>
    <row r="166">
      <c r="A166" s="3">
        <f>IFERROR(__xludf.DUMMYFUNCTION("""COMPUTED_VALUE"""),44819.66666666667)</f>
        <v>44819.66667</v>
      </c>
      <c r="B166" s="1">
        <f>IFERROR(__xludf.DUMMYFUNCTION("""COMPUTED_VALUE"""),0.04)</f>
        <v>0.04</v>
      </c>
      <c r="C166" s="1">
        <f>IFERROR(__xludf.DUMMYFUNCTION("""COMPUTED_VALUE"""),0.04)</f>
        <v>0.04</v>
      </c>
      <c r="D166" s="1">
        <f>IFERROR(__xludf.DUMMYFUNCTION("""COMPUTED_VALUE"""),0.04)</f>
        <v>0.04</v>
      </c>
      <c r="E166" s="1">
        <f>IFERROR(__xludf.DUMMYFUNCTION("""COMPUTED_VALUE"""),0.04)</f>
        <v>0.04</v>
      </c>
      <c r="F166" s="1">
        <f>IFERROR(__xludf.DUMMYFUNCTION("""COMPUTED_VALUE"""),734214.0)</f>
        <v>734214</v>
      </c>
      <c r="G166" s="2" t="s">
        <v>2</v>
      </c>
    </row>
    <row r="167">
      <c r="A167" s="3">
        <f>IFERROR(__xludf.DUMMYFUNCTION("""COMPUTED_VALUE"""),44820.66666666667)</f>
        <v>44820.66667</v>
      </c>
      <c r="B167" s="1">
        <f>IFERROR(__xludf.DUMMYFUNCTION("""COMPUTED_VALUE"""),0.04)</f>
        <v>0.04</v>
      </c>
      <c r="C167" s="1">
        <f>IFERROR(__xludf.DUMMYFUNCTION("""COMPUTED_VALUE"""),0.04)</f>
        <v>0.04</v>
      </c>
      <c r="D167" s="1">
        <f>IFERROR(__xludf.DUMMYFUNCTION("""COMPUTED_VALUE"""),0.04)</f>
        <v>0.04</v>
      </c>
      <c r="E167" s="1">
        <f>IFERROR(__xludf.DUMMYFUNCTION("""COMPUTED_VALUE"""),0.04)</f>
        <v>0.04</v>
      </c>
      <c r="F167" s="1">
        <f>IFERROR(__xludf.DUMMYFUNCTION("""COMPUTED_VALUE"""),210639.0)</f>
        <v>210639</v>
      </c>
      <c r="G167" s="2" t="s">
        <v>2</v>
      </c>
    </row>
    <row r="168">
      <c r="A168" s="3">
        <f>IFERROR(__xludf.DUMMYFUNCTION("""COMPUTED_VALUE"""),44823.66666666667)</f>
        <v>44823.66667</v>
      </c>
      <c r="B168" s="1">
        <f>IFERROR(__xludf.DUMMYFUNCTION("""COMPUTED_VALUE"""),0.04)</f>
        <v>0.04</v>
      </c>
      <c r="C168" s="1">
        <f>IFERROR(__xludf.DUMMYFUNCTION("""COMPUTED_VALUE"""),0.04)</f>
        <v>0.04</v>
      </c>
      <c r="D168" s="1">
        <f>IFERROR(__xludf.DUMMYFUNCTION("""COMPUTED_VALUE"""),0.04)</f>
        <v>0.04</v>
      </c>
      <c r="E168" s="1">
        <f>IFERROR(__xludf.DUMMYFUNCTION("""COMPUTED_VALUE"""),0.04)</f>
        <v>0.04</v>
      </c>
      <c r="F168" s="1">
        <f>IFERROR(__xludf.DUMMYFUNCTION("""COMPUTED_VALUE"""),1434746.0)</f>
        <v>1434746</v>
      </c>
      <c r="G168" s="2" t="s">
        <v>2</v>
      </c>
    </row>
    <row r="169">
      <c r="A169" s="3">
        <f>IFERROR(__xludf.DUMMYFUNCTION("""COMPUTED_VALUE"""),44824.66666666667)</f>
        <v>44824.66667</v>
      </c>
      <c r="B169" s="1">
        <f>IFERROR(__xludf.DUMMYFUNCTION("""COMPUTED_VALUE"""),0.04)</f>
        <v>0.04</v>
      </c>
      <c r="C169" s="1">
        <f>IFERROR(__xludf.DUMMYFUNCTION("""COMPUTED_VALUE"""),0.04)</f>
        <v>0.04</v>
      </c>
      <c r="D169" s="1">
        <f>IFERROR(__xludf.DUMMYFUNCTION("""COMPUTED_VALUE"""),0.04)</f>
        <v>0.04</v>
      </c>
      <c r="E169" s="1">
        <f>IFERROR(__xludf.DUMMYFUNCTION("""COMPUTED_VALUE"""),0.04)</f>
        <v>0.04</v>
      </c>
      <c r="F169" s="1">
        <f>IFERROR(__xludf.DUMMYFUNCTION("""COMPUTED_VALUE"""),387439.0)</f>
        <v>387439</v>
      </c>
      <c r="G169" s="2" t="s">
        <v>2</v>
      </c>
    </row>
    <row r="170">
      <c r="A170" s="3">
        <f>IFERROR(__xludf.DUMMYFUNCTION("""COMPUTED_VALUE"""),44825.66666666667)</f>
        <v>44825.66667</v>
      </c>
      <c r="B170" s="1">
        <f>IFERROR(__xludf.DUMMYFUNCTION("""COMPUTED_VALUE"""),0.04)</f>
        <v>0.04</v>
      </c>
      <c r="C170" s="1">
        <f>IFERROR(__xludf.DUMMYFUNCTION("""COMPUTED_VALUE"""),0.04)</f>
        <v>0.04</v>
      </c>
      <c r="D170" s="1">
        <f>IFERROR(__xludf.DUMMYFUNCTION("""COMPUTED_VALUE"""),0.04)</f>
        <v>0.04</v>
      </c>
      <c r="E170" s="1">
        <f>IFERROR(__xludf.DUMMYFUNCTION("""COMPUTED_VALUE"""),0.04)</f>
        <v>0.04</v>
      </c>
      <c r="F170" s="1">
        <f>IFERROR(__xludf.DUMMYFUNCTION("""COMPUTED_VALUE"""),498412.0)</f>
        <v>498412</v>
      </c>
      <c r="G170" s="2" t="s">
        <v>2</v>
      </c>
    </row>
    <row r="171">
      <c r="A171" s="3">
        <f>IFERROR(__xludf.DUMMYFUNCTION("""COMPUTED_VALUE"""),44827.66666666667)</f>
        <v>44827.66667</v>
      </c>
      <c r="B171" s="1">
        <f>IFERROR(__xludf.DUMMYFUNCTION("""COMPUTED_VALUE"""),0.04)</f>
        <v>0.04</v>
      </c>
      <c r="C171" s="1">
        <f>IFERROR(__xludf.DUMMYFUNCTION("""COMPUTED_VALUE"""),0.04)</f>
        <v>0.04</v>
      </c>
      <c r="D171" s="1">
        <f>IFERROR(__xludf.DUMMYFUNCTION("""COMPUTED_VALUE"""),0.04)</f>
        <v>0.04</v>
      </c>
      <c r="E171" s="1">
        <f>IFERROR(__xludf.DUMMYFUNCTION("""COMPUTED_VALUE"""),0.04)</f>
        <v>0.04</v>
      </c>
      <c r="F171" s="1">
        <f>IFERROR(__xludf.DUMMYFUNCTION("""COMPUTED_VALUE"""),562623.0)</f>
        <v>562623</v>
      </c>
      <c r="G171" s="2" t="s">
        <v>2</v>
      </c>
    </row>
    <row r="172">
      <c r="A172" s="3">
        <f>IFERROR(__xludf.DUMMYFUNCTION("""COMPUTED_VALUE"""),44830.66666666667)</f>
        <v>44830.66667</v>
      </c>
      <c r="B172" s="1">
        <f>IFERROR(__xludf.DUMMYFUNCTION("""COMPUTED_VALUE"""),0.04)</f>
        <v>0.04</v>
      </c>
      <c r="C172" s="1">
        <f>IFERROR(__xludf.DUMMYFUNCTION("""COMPUTED_VALUE"""),0.04)</f>
        <v>0.04</v>
      </c>
      <c r="D172" s="1">
        <f>IFERROR(__xludf.DUMMYFUNCTION("""COMPUTED_VALUE"""),0.04)</f>
        <v>0.04</v>
      </c>
      <c r="E172" s="1">
        <f>IFERROR(__xludf.DUMMYFUNCTION("""COMPUTED_VALUE"""),0.04)</f>
        <v>0.04</v>
      </c>
      <c r="F172" s="1">
        <f>IFERROR(__xludf.DUMMYFUNCTION("""COMPUTED_VALUE"""),1166042.0)</f>
        <v>1166042</v>
      </c>
      <c r="G172" s="2" t="s">
        <v>2</v>
      </c>
    </row>
    <row r="173">
      <c r="A173" s="3">
        <f>IFERROR(__xludf.DUMMYFUNCTION("""COMPUTED_VALUE"""),44831.66666666667)</f>
        <v>44831.66667</v>
      </c>
      <c r="B173" s="1">
        <f>IFERROR(__xludf.DUMMYFUNCTION("""COMPUTED_VALUE"""),0.04)</f>
        <v>0.04</v>
      </c>
      <c r="C173" s="1">
        <f>IFERROR(__xludf.DUMMYFUNCTION("""COMPUTED_VALUE"""),0.04)</f>
        <v>0.04</v>
      </c>
      <c r="D173" s="1">
        <f>IFERROR(__xludf.DUMMYFUNCTION("""COMPUTED_VALUE"""),0.03)</f>
        <v>0.03</v>
      </c>
      <c r="E173" s="1">
        <f>IFERROR(__xludf.DUMMYFUNCTION("""COMPUTED_VALUE"""),0.04)</f>
        <v>0.04</v>
      </c>
      <c r="F173" s="1">
        <f>IFERROR(__xludf.DUMMYFUNCTION("""COMPUTED_VALUE"""),562585.0)</f>
        <v>562585</v>
      </c>
      <c r="G173" s="2" t="s">
        <v>2</v>
      </c>
    </row>
    <row r="174">
      <c r="A174" s="3">
        <f>IFERROR(__xludf.DUMMYFUNCTION("""COMPUTED_VALUE"""),44832.66666666667)</f>
        <v>44832.66667</v>
      </c>
      <c r="B174" s="1">
        <f>IFERROR(__xludf.DUMMYFUNCTION("""COMPUTED_VALUE"""),0.04)</f>
        <v>0.04</v>
      </c>
      <c r="C174" s="1">
        <f>IFERROR(__xludf.DUMMYFUNCTION("""COMPUTED_VALUE"""),0.04)</f>
        <v>0.04</v>
      </c>
      <c r="D174" s="1">
        <f>IFERROR(__xludf.DUMMYFUNCTION("""COMPUTED_VALUE"""),0.03)</f>
        <v>0.03</v>
      </c>
      <c r="E174" s="1">
        <f>IFERROR(__xludf.DUMMYFUNCTION("""COMPUTED_VALUE"""),0.03)</f>
        <v>0.03</v>
      </c>
      <c r="F174" s="1">
        <f>IFERROR(__xludf.DUMMYFUNCTION("""COMPUTED_VALUE"""),926644.0)</f>
        <v>926644</v>
      </c>
      <c r="G174" s="2" t="s">
        <v>2</v>
      </c>
    </row>
    <row r="175">
      <c r="A175" s="3">
        <f>IFERROR(__xludf.DUMMYFUNCTION("""COMPUTED_VALUE"""),44833.66666666667)</f>
        <v>44833.66667</v>
      </c>
      <c r="B175" s="1">
        <f>IFERROR(__xludf.DUMMYFUNCTION("""COMPUTED_VALUE"""),0.03)</f>
        <v>0.03</v>
      </c>
      <c r="C175" s="1">
        <f>IFERROR(__xludf.DUMMYFUNCTION("""COMPUTED_VALUE"""),0.04)</f>
        <v>0.04</v>
      </c>
      <c r="D175" s="1">
        <f>IFERROR(__xludf.DUMMYFUNCTION("""COMPUTED_VALUE"""),0.03)</f>
        <v>0.03</v>
      </c>
      <c r="E175" s="1">
        <f>IFERROR(__xludf.DUMMYFUNCTION("""COMPUTED_VALUE"""),0.03)</f>
        <v>0.03</v>
      </c>
      <c r="F175" s="1">
        <f>IFERROR(__xludf.DUMMYFUNCTION("""COMPUTED_VALUE"""),893296.0)</f>
        <v>893296</v>
      </c>
      <c r="G175" s="2" t="s">
        <v>2</v>
      </c>
    </row>
    <row r="176">
      <c r="A176" s="3">
        <f>IFERROR(__xludf.DUMMYFUNCTION("""COMPUTED_VALUE"""),44834.66666666667)</f>
        <v>44834.66667</v>
      </c>
      <c r="B176" s="1">
        <f>IFERROR(__xludf.DUMMYFUNCTION("""COMPUTED_VALUE"""),0.03)</f>
        <v>0.03</v>
      </c>
      <c r="C176" s="1">
        <f>IFERROR(__xludf.DUMMYFUNCTION("""COMPUTED_VALUE"""),0.03)</f>
        <v>0.03</v>
      </c>
      <c r="D176" s="1">
        <f>IFERROR(__xludf.DUMMYFUNCTION("""COMPUTED_VALUE"""),0.03)</f>
        <v>0.03</v>
      </c>
      <c r="E176" s="1">
        <f>IFERROR(__xludf.DUMMYFUNCTION("""COMPUTED_VALUE"""),0.03)</f>
        <v>0.03</v>
      </c>
      <c r="F176" s="1">
        <f>IFERROR(__xludf.DUMMYFUNCTION("""COMPUTED_VALUE"""),341150.0)</f>
        <v>341150</v>
      </c>
      <c r="G176" s="2" t="s">
        <v>2</v>
      </c>
    </row>
    <row r="177">
      <c r="A177" s="3">
        <f>IFERROR(__xludf.DUMMYFUNCTION("""COMPUTED_VALUE"""),44837.66666666667)</f>
        <v>44837.66667</v>
      </c>
      <c r="B177" s="1">
        <f>IFERROR(__xludf.DUMMYFUNCTION("""COMPUTED_VALUE"""),0.03)</f>
        <v>0.03</v>
      </c>
      <c r="C177" s="1">
        <f>IFERROR(__xludf.DUMMYFUNCTION("""COMPUTED_VALUE"""),0.03)</f>
        <v>0.03</v>
      </c>
      <c r="D177" s="1">
        <f>IFERROR(__xludf.DUMMYFUNCTION("""COMPUTED_VALUE"""),0.03)</f>
        <v>0.03</v>
      </c>
      <c r="E177" s="1">
        <f>IFERROR(__xludf.DUMMYFUNCTION("""COMPUTED_VALUE"""),0.03)</f>
        <v>0.03</v>
      </c>
      <c r="F177" s="1">
        <f>IFERROR(__xludf.DUMMYFUNCTION("""COMPUTED_VALUE"""),425987.0)</f>
        <v>425987</v>
      </c>
      <c r="G177" s="2" t="s">
        <v>2</v>
      </c>
    </row>
    <row r="178">
      <c r="A178" s="3">
        <f>IFERROR(__xludf.DUMMYFUNCTION("""COMPUTED_VALUE"""),44838.66666666667)</f>
        <v>44838.66667</v>
      </c>
      <c r="B178" s="1">
        <f>IFERROR(__xludf.DUMMYFUNCTION("""COMPUTED_VALUE"""),0.03)</f>
        <v>0.03</v>
      </c>
      <c r="C178" s="1">
        <f>IFERROR(__xludf.DUMMYFUNCTION("""COMPUTED_VALUE"""),0.04)</f>
        <v>0.04</v>
      </c>
      <c r="D178" s="1">
        <f>IFERROR(__xludf.DUMMYFUNCTION("""COMPUTED_VALUE"""),0.03)</f>
        <v>0.03</v>
      </c>
      <c r="E178" s="1">
        <f>IFERROR(__xludf.DUMMYFUNCTION("""COMPUTED_VALUE"""),0.04)</f>
        <v>0.04</v>
      </c>
      <c r="F178" s="1">
        <f>IFERROR(__xludf.DUMMYFUNCTION("""COMPUTED_VALUE"""),196732.0)</f>
        <v>196732</v>
      </c>
      <c r="G178" s="2" t="s">
        <v>2</v>
      </c>
    </row>
    <row r="179">
      <c r="A179" s="3">
        <f>IFERROR(__xludf.DUMMYFUNCTION("""COMPUTED_VALUE"""),44839.66666666667)</f>
        <v>44839.66667</v>
      </c>
      <c r="B179" s="1">
        <f>IFERROR(__xludf.DUMMYFUNCTION("""COMPUTED_VALUE"""),0.03)</f>
        <v>0.03</v>
      </c>
      <c r="C179" s="1">
        <f>IFERROR(__xludf.DUMMYFUNCTION("""COMPUTED_VALUE"""),0.04)</f>
        <v>0.04</v>
      </c>
      <c r="D179" s="1">
        <f>IFERROR(__xludf.DUMMYFUNCTION("""COMPUTED_VALUE"""),0.03)</f>
        <v>0.03</v>
      </c>
      <c r="E179" s="1">
        <f>IFERROR(__xludf.DUMMYFUNCTION("""COMPUTED_VALUE"""),0.04)</f>
        <v>0.04</v>
      </c>
      <c r="F179" s="1">
        <f>IFERROR(__xludf.DUMMYFUNCTION("""COMPUTED_VALUE"""),312850.0)</f>
        <v>312850</v>
      </c>
      <c r="G179" s="2" t="s">
        <v>2</v>
      </c>
    </row>
    <row r="180">
      <c r="A180" s="3">
        <f>IFERROR(__xludf.DUMMYFUNCTION("""COMPUTED_VALUE"""),44840.66666666667)</f>
        <v>44840.66667</v>
      </c>
      <c r="B180" s="1">
        <f>IFERROR(__xludf.DUMMYFUNCTION("""COMPUTED_VALUE"""),0.04)</f>
        <v>0.04</v>
      </c>
      <c r="C180" s="1">
        <f>IFERROR(__xludf.DUMMYFUNCTION("""COMPUTED_VALUE"""),0.04)</f>
        <v>0.04</v>
      </c>
      <c r="D180" s="1">
        <f>IFERROR(__xludf.DUMMYFUNCTION("""COMPUTED_VALUE"""),0.04)</f>
        <v>0.04</v>
      </c>
      <c r="E180" s="1">
        <f>IFERROR(__xludf.DUMMYFUNCTION("""COMPUTED_VALUE"""),0.04)</f>
        <v>0.04</v>
      </c>
      <c r="F180" s="1">
        <f>IFERROR(__xludf.DUMMYFUNCTION("""COMPUTED_VALUE"""),925222.0)</f>
        <v>925222</v>
      </c>
      <c r="G180" s="2" t="s">
        <v>2</v>
      </c>
    </row>
    <row r="181">
      <c r="A181" s="3">
        <f>IFERROR(__xludf.DUMMYFUNCTION("""COMPUTED_VALUE"""),44841.66666666667)</f>
        <v>44841.66667</v>
      </c>
      <c r="B181" s="1">
        <f>IFERROR(__xludf.DUMMYFUNCTION("""COMPUTED_VALUE"""),0.04)</f>
        <v>0.04</v>
      </c>
      <c r="C181" s="1">
        <f>IFERROR(__xludf.DUMMYFUNCTION("""COMPUTED_VALUE"""),0.04)</f>
        <v>0.04</v>
      </c>
      <c r="D181" s="1">
        <f>IFERROR(__xludf.DUMMYFUNCTION("""COMPUTED_VALUE"""),0.04)</f>
        <v>0.04</v>
      </c>
      <c r="E181" s="1">
        <f>IFERROR(__xludf.DUMMYFUNCTION("""COMPUTED_VALUE"""),0.04)</f>
        <v>0.04</v>
      </c>
      <c r="F181" s="1">
        <f>IFERROR(__xludf.DUMMYFUNCTION("""COMPUTED_VALUE"""),756021.0)</f>
        <v>756021</v>
      </c>
      <c r="G181" s="2" t="s">
        <v>2</v>
      </c>
    </row>
    <row r="182">
      <c r="A182" s="3">
        <f>IFERROR(__xludf.DUMMYFUNCTION("""COMPUTED_VALUE"""),44844.66666666667)</f>
        <v>44844.66667</v>
      </c>
      <c r="B182" s="1">
        <f>IFERROR(__xludf.DUMMYFUNCTION("""COMPUTED_VALUE"""),0.04)</f>
        <v>0.04</v>
      </c>
      <c r="C182" s="1">
        <f>IFERROR(__xludf.DUMMYFUNCTION("""COMPUTED_VALUE"""),0.04)</f>
        <v>0.04</v>
      </c>
      <c r="D182" s="1">
        <f>IFERROR(__xludf.DUMMYFUNCTION("""COMPUTED_VALUE"""),0.04)</f>
        <v>0.04</v>
      </c>
      <c r="E182" s="1">
        <f>IFERROR(__xludf.DUMMYFUNCTION("""COMPUTED_VALUE"""),0.04)</f>
        <v>0.04</v>
      </c>
      <c r="F182" s="1">
        <f>IFERROR(__xludf.DUMMYFUNCTION("""COMPUTED_VALUE"""),380359.0)</f>
        <v>380359</v>
      </c>
      <c r="G182" s="2" t="s">
        <v>2</v>
      </c>
    </row>
    <row r="183">
      <c r="A183" s="3">
        <f>IFERROR(__xludf.DUMMYFUNCTION("""COMPUTED_VALUE"""),44845.66666666667)</f>
        <v>44845.66667</v>
      </c>
      <c r="B183" s="1">
        <f>IFERROR(__xludf.DUMMYFUNCTION("""COMPUTED_VALUE"""),0.04)</f>
        <v>0.04</v>
      </c>
      <c r="C183" s="1">
        <f>IFERROR(__xludf.DUMMYFUNCTION("""COMPUTED_VALUE"""),0.04)</f>
        <v>0.04</v>
      </c>
      <c r="D183" s="1">
        <f>IFERROR(__xludf.DUMMYFUNCTION("""COMPUTED_VALUE"""),0.04)</f>
        <v>0.04</v>
      </c>
      <c r="E183" s="1">
        <f>IFERROR(__xludf.DUMMYFUNCTION("""COMPUTED_VALUE"""),0.04)</f>
        <v>0.04</v>
      </c>
      <c r="F183" s="1">
        <f>IFERROR(__xludf.DUMMYFUNCTION("""COMPUTED_VALUE"""),1104439.0)</f>
        <v>1104439</v>
      </c>
      <c r="G183" s="2" t="s">
        <v>2</v>
      </c>
    </row>
    <row r="184">
      <c r="A184" s="3">
        <f>IFERROR(__xludf.DUMMYFUNCTION("""COMPUTED_VALUE"""),44846.66666666667)</f>
        <v>44846.66667</v>
      </c>
      <c r="B184" s="1">
        <f>IFERROR(__xludf.DUMMYFUNCTION("""COMPUTED_VALUE"""),0.04)</f>
        <v>0.04</v>
      </c>
      <c r="C184" s="1">
        <f>IFERROR(__xludf.DUMMYFUNCTION("""COMPUTED_VALUE"""),0.04)</f>
        <v>0.04</v>
      </c>
      <c r="D184" s="1">
        <f>IFERROR(__xludf.DUMMYFUNCTION("""COMPUTED_VALUE"""),0.04)</f>
        <v>0.04</v>
      </c>
      <c r="E184" s="1">
        <f>IFERROR(__xludf.DUMMYFUNCTION("""COMPUTED_VALUE"""),0.04)</f>
        <v>0.04</v>
      </c>
      <c r="F184" s="1">
        <f>IFERROR(__xludf.DUMMYFUNCTION("""COMPUTED_VALUE"""),150000.0)</f>
        <v>150000</v>
      </c>
      <c r="G184" s="2" t="s">
        <v>2</v>
      </c>
    </row>
    <row r="185">
      <c r="A185" s="3">
        <f>IFERROR(__xludf.DUMMYFUNCTION("""COMPUTED_VALUE"""),44847.66666666667)</f>
        <v>44847.66667</v>
      </c>
      <c r="B185" s="1">
        <f>IFERROR(__xludf.DUMMYFUNCTION("""COMPUTED_VALUE"""),0.04)</f>
        <v>0.04</v>
      </c>
      <c r="C185" s="1">
        <f>IFERROR(__xludf.DUMMYFUNCTION("""COMPUTED_VALUE"""),0.04)</f>
        <v>0.04</v>
      </c>
      <c r="D185" s="1">
        <f>IFERROR(__xludf.DUMMYFUNCTION("""COMPUTED_VALUE"""),0.04)</f>
        <v>0.04</v>
      </c>
      <c r="E185" s="1">
        <f>IFERROR(__xludf.DUMMYFUNCTION("""COMPUTED_VALUE"""),0.04)</f>
        <v>0.04</v>
      </c>
      <c r="F185" s="1">
        <f>IFERROR(__xludf.DUMMYFUNCTION("""COMPUTED_VALUE"""),276086.0)</f>
        <v>276086</v>
      </c>
      <c r="G185" s="2" t="s">
        <v>2</v>
      </c>
    </row>
    <row r="186">
      <c r="A186" s="3">
        <f>IFERROR(__xludf.DUMMYFUNCTION("""COMPUTED_VALUE"""),44848.66666666667)</f>
        <v>44848.66667</v>
      </c>
      <c r="B186" s="1">
        <f>IFERROR(__xludf.DUMMYFUNCTION("""COMPUTED_VALUE"""),0.04)</f>
        <v>0.04</v>
      </c>
      <c r="C186" s="1">
        <f>IFERROR(__xludf.DUMMYFUNCTION("""COMPUTED_VALUE"""),0.04)</f>
        <v>0.04</v>
      </c>
      <c r="D186" s="1">
        <f>IFERROR(__xludf.DUMMYFUNCTION("""COMPUTED_VALUE"""),0.04)</f>
        <v>0.04</v>
      </c>
      <c r="E186" s="1">
        <f>IFERROR(__xludf.DUMMYFUNCTION("""COMPUTED_VALUE"""),0.04)</f>
        <v>0.04</v>
      </c>
      <c r="F186" s="1">
        <f>IFERROR(__xludf.DUMMYFUNCTION("""COMPUTED_VALUE"""),38033.0)</f>
        <v>38033</v>
      </c>
      <c r="G186" s="2" t="s">
        <v>2</v>
      </c>
    </row>
    <row r="187">
      <c r="A187" s="3">
        <f>IFERROR(__xludf.DUMMYFUNCTION("""COMPUTED_VALUE"""),44851.66666666667)</f>
        <v>44851.66667</v>
      </c>
      <c r="B187" s="1">
        <f>IFERROR(__xludf.DUMMYFUNCTION("""COMPUTED_VALUE"""),0.04)</f>
        <v>0.04</v>
      </c>
      <c r="C187" s="1">
        <f>IFERROR(__xludf.DUMMYFUNCTION("""COMPUTED_VALUE"""),0.04)</f>
        <v>0.04</v>
      </c>
      <c r="D187" s="1">
        <f>IFERROR(__xludf.DUMMYFUNCTION("""COMPUTED_VALUE"""),0.04)</f>
        <v>0.04</v>
      </c>
      <c r="E187" s="1">
        <f>IFERROR(__xludf.DUMMYFUNCTION("""COMPUTED_VALUE"""),0.04)</f>
        <v>0.04</v>
      </c>
      <c r="F187" s="1">
        <f>IFERROR(__xludf.DUMMYFUNCTION("""COMPUTED_VALUE"""),493348.0)</f>
        <v>493348</v>
      </c>
      <c r="G187" s="2" t="s">
        <v>2</v>
      </c>
    </row>
    <row r="188">
      <c r="A188" s="3">
        <f>IFERROR(__xludf.DUMMYFUNCTION("""COMPUTED_VALUE"""),44852.66666666667)</f>
        <v>44852.66667</v>
      </c>
      <c r="B188" s="1">
        <f>IFERROR(__xludf.DUMMYFUNCTION("""COMPUTED_VALUE"""),0.04)</f>
        <v>0.04</v>
      </c>
      <c r="C188" s="1">
        <f>IFERROR(__xludf.DUMMYFUNCTION("""COMPUTED_VALUE"""),0.04)</f>
        <v>0.04</v>
      </c>
      <c r="D188" s="1">
        <f>IFERROR(__xludf.DUMMYFUNCTION("""COMPUTED_VALUE"""),0.04)</f>
        <v>0.04</v>
      </c>
      <c r="E188" s="1">
        <f>IFERROR(__xludf.DUMMYFUNCTION("""COMPUTED_VALUE"""),0.04)</f>
        <v>0.04</v>
      </c>
      <c r="F188" s="1">
        <f>IFERROR(__xludf.DUMMYFUNCTION("""COMPUTED_VALUE"""),500861.0)</f>
        <v>500861</v>
      </c>
      <c r="G188" s="2" t="s">
        <v>2</v>
      </c>
    </row>
    <row r="189">
      <c r="A189" s="3">
        <f>IFERROR(__xludf.DUMMYFUNCTION("""COMPUTED_VALUE"""),44853.66666666667)</f>
        <v>44853.66667</v>
      </c>
      <c r="B189" s="1">
        <f>IFERROR(__xludf.DUMMYFUNCTION("""COMPUTED_VALUE"""),0.04)</f>
        <v>0.04</v>
      </c>
      <c r="C189" s="1">
        <f>IFERROR(__xludf.DUMMYFUNCTION("""COMPUTED_VALUE"""),0.04)</f>
        <v>0.04</v>
      </c>
      <c r="D189" s="1">
        <f>IFERROR(__xludf.DUMMYFUNCTION("""COMPUTED_VALUE"""),0.04)</f>
        <v>0.04</v>
      </c>
      <c r="E189" s="1">
        <f>IFERROR(__xludf.DUMMYFUNCTION("""COMPUTED_VALUE"""),0.04)</f>
        <v>0.04</v>
      </c>
      <c r="F189" s="1">
        <f>IFERROR(__xludf.DUMMYFUNCTION("""COMPUTED_VALUE"""),20333.0)</f>
        <v>20333</v>
      </c>
      <c r="G189" s="2" t="s">
        <v>2</v>
      </c>
    </row>
    <row r="190">
      <c r="A190" s="3">
        <f>IFERROR(__xludf.DUMMYFUNCTION("""COMPUTED_VALUE"""),44854.66666666667)</f>
        <v>44854.66667</v>
      </c>
      <c r="B190" s="1">
        <f>IFERROR(__xludf.DUMMYFUNCTION("""COMPUTED_VALUE"""),0.04)</f>
        <v>0.04</v>
      </c>
      <c r="C190" s="1">
        <f>IFERROR(__xludf.DUMMYFUNCTION("""COMPUTED_VALUE"""),0.04)</f>
        <v>0.04</v>
      </c>
      <c r="D190" s="1">
        <f>IFERROR(__xludf.DUMMYFUNCTION("""COMPUTED_VALUE"""),0.04)</f>
        <v>0.04</v>
      </c>
      <c r="E190" s="1">
        <f>IFERROR(__xludf.DUMMYFUNCTION("""COMPUTED_VALUE"""),0.04)</f>
        <v>0.04</v>
      </c>
      <c r="F190" s="1">
        <f>IFERROR(__xludf.DUMMYFUNCTION("""COMPUTED_VALUE"""),20565.0)</f>
        <v>20565</v>
      </c>
      <c r="G190" s="2" t="s">
        <v>2</v>
      </c>
    </row>
    <row r="191">
      <c r="A191" s="3">
        <f>IFERROR(__xludf.DUMMYFUNCTION("""COMPUTED_VALUE"""),44855.66666666667)</f>
        <v>44855.66667</v>
      </c>
      <c r="B191" s="1">
        <f>IFERROR(__xludf.DUMMYFUNCTION("""COMPUTED_VALUE"""),0.04)</f>
        <v>0.04</v>
      </c>
      <c r="C191" s="1">
        <f>IFERROR(__xludf.DUMMYFUNCTION("""COMPUTED_VALUE"""),0.04)</f>
        <v>0.04</v>
      </c>
      <c r="D191" s="1">
        <f>IFERROR(__xludf.DUMMYFUNCTION("""COMPUTED_VALUE"""),0.04)</f>
        <v>0.04</v>
      </c>
      <c r="E191" s="1">
        <f>IFERROR(__xludf.DUMMYFUNCTION("""COMPUTED_VALUE"""),0.04)</f>
        <v>0.04</v>
      </c>
      <c r="F191" s="1">
        <f>IFERROR(__xludf.DUMMYFUNCTION("""COMPUTED_VALUE"""),8969.0)</f>
        <v>8969</v>
      </c>
      <c r="G191" s="2" t="s">
        <v>2</v>
      </c>
    </row>
    <row r="192">
      <c r="A192" s="3">
        <f>IFERROR(__xludf.DUMMYFUNCTION("""COMPUTED_VALUE"""),44858.66666666667)</f>
        <v>44858.66667</v>
      </c>
      <c r="B192" s="1">
        <f>IFERROR(__xludf.DUMMYFUNCTION("""COMPUTED_VALUE"""),0.04)</f>
        <v>0.04</v>
      </c>
      <c r="C192" s="1">
        <f>IFERROR(__xludf.DUMMYFUNCTION("""COMPUTED_VALUE"""),0.04)</f>
        <v>0.04</v>
      </c>
      <c r="D192" s="1">
        <f>IFERROR(__xludf.DUMMYFUNCTION("""COMPUTED_VALUE"""),0.04)</f>
        <v>0.04</v>
      </c>
      <c r="E192" s="1">
        <f>IFERROR(__xludf.DUMMYFUNCTION("""COMPUTED_VALUE"""),0.04)</f>
        <v>0.04</v>
      </c>
      <c r="F192" s="1">
        <f>IFERROR(__xludf.DUMMYFUNCTION("""COMPUTED_VALUE"""),748280.0)</f>
        <v>748280</v>
      </c>
      <c r="G192" s="2" t="s">
        <v>2</v>
      </c>
    </row>
    <row r="193">
      <c r="A193" s="3">
        <f>IFERROR(__xludf.DUMMYFUNCTION("""COMPUTED_VALUE"""),44859.66666666667)</f>
        <v>44859.66667</v>
      </c>
      <c r="B193" s="1">
        <f>IFERROR(__xludf.DUMMYFUNCTION("""COMPUTED_VALUE"""),0.04)</f>
        <v>0.04</v>
      </c>
      <c r="C193" s="1">
        <f>IFERROR(__xludf.DUMMYFUNCTION("""COMPUTED_VALUE"""),0.04)</f>
        <v>0.04</v>
      </c>
      <c r="D193" s="1">
        <f>IFERROR(__xludf.DUMMYFUNCTION("""COMPUTED_VALUE"""),0.04)</f>
        <v>0.04</v>
      </c>
      <c r="E193" s="1">
        <f>IFERROR(__xludf.DUMMYFUNCTION("""COMPUTED_VALUE"""),0.04)</f>
        <v>0.04</v>
      </c>
      <c r="F193" s="1">
        <f>IFERROR(__xludf.DUMMYFUNCTION("""COMPUTED_VALUE"""),28920.0)</f>
        <v>28920</v>
      </c>
      <c r="G193" s="2" t="s">
        <v>2</v>
      </c>
    </row>
    <row r="194">
      <c r="A194" s="3">
        <f>IFERROR(__xludf.DUMMYFUNCTION("""COMPUTED_VALUE"""),44860.66666666667)</f>
        <v>44860.66667</v>
      </c>
      <c r="B194" s="1">
        <f>IFERROR(__xludf.DUMMYFUNCTION("""COMPUTED_VALUE"""),0.04)</f>
        <v>0.04</v>
      </c>
      <c r="C194" s="1">
        <f>IFERROR(__xludf.DUMMYFUNCTION("""COMPUTED_VALUE"""),0.04)</f>
        <v>0.04</v>
      </c>
      <c r="D194" s="1">
        <f>IFERROR(__xludf.DUMMYFUNCTION("""COMPUTED_VALUE"""),0.04)</f>
        <v>0.04</v>
      </c>
      <c r="E194" s="1">
        <f>IFERROR(__xludf.DUMMYFUNCTION("""COMPUTED_VALUE"""),0.04)</f>
        <v>0.04</v>
      </c>
      <c r="F194" s="1">
        <f>IFERROR(__xludf.DUMMYFUNCTION("""COMPUTED_VALUE"""),2276683.0)</f>
        <v>2276683</v>
      </c>
      <c r="G194" s="2" t="s">
        <v>2</v>
      </c>
    </row>
    <row r="195">
      <c r="A195" s="3">
        <f>IFERROR(__xludf.DUMMYFUNCTION("""COMPUTED_VALUE"""),44861.66666666667)</f>
        <v>44861.66667</v>
      </c>
      <c r="B195" s="1">
        <f>IFERROR(__xludf.DUMMYFUNCTION("""COMPUTED_VALUE"""),0.04)</f>
        <v>0.04</v>
      </c>
      <c r="C195" s="1">
        <f>IFERROR(__xludf.DUMMYFUNCTION("""COMPUTED_VALUE"""),0.04)</f>
        <v>0.04</v>
      </c>
      <c r="D195" s="1">
        <f>IFERROR(__xludf.DUMMYFUNCTION("""COMPUTED_VALUE"""),0.04)</f>
        <v>0.04</v>
      </c>
      <c r="E195" s="1">
        <f>IFERROR(__xludf.DUMMYFUNCTION("""COMPUTED_VALUE"""),0.04)</f>
        <v>0.04</v>
      </c>
      <c r="F195" s="1">
        <f>IFERROR(__xludf.DUMMYFUNCTION("""COMPUTED_VALUE"""),398446.0)</f>
        <v>398446</v>
      </c>
      <c r="G195" s="2" t="s">
        <v>2</v>
      </c>
    </row>
    <row r="196">
      <c r="A196" s="3">
        <f>IFERROR(__xludf.DUMMYFUNCTION("""COMPUTED_VALUE"""),44862.66666666667)</f>
        <v>44862.66667</v>
      </c>
      <c r="B196" s="1">
        <f>IFERROR(__xludf.DUMMYFUNCTION("""COMPUTED_VALUE"""),0.04)</f>
        <v>0.04</v>
      </c>
      <c r="C196" s="1">
        <f>IFERROR(__xludf.DUMMYFUNCTION("""COMPUTED_VALUE"""),0.04)</f>
        <v>0.04</v>
      </c>
      <c r="D196" s="1">
        <f>IFERROR(__xludf.DUMMYFUNCTION("""COMPUTED_VALUE"""),0.04)</f>
        <v>0.04</v>
      </c>
      <c r="E196" s="1">
        <f>IFERROR(__xludf.DUMMYFUNCTION("""COMPUTED_VALUE"""),0.04)</f>
        <v>0.04</v>
      </c>
      <c r="F196" s="1">
        <f>IFERROR(__xludf.DUMMYFUNCTION("""COMPUTED_VALUE"""),275274.0)</f>
        <v>275274</v>
      </c>
      <c r="G196" s="2" t="s">
        <v>2</v>
      </c>
    </row>
    <row r="197">
      <c r="A197" s="3">
        <f>IFERROR(__xludf.DUMMYFUNCTION("""COMPUTED_VALUE"""),44865.66666666667)</f>
        <v>44865.66667</v>
      </c>
      <c r="B197" s="1">
        <f>IFERROR(__xludf.DUMMYFUNCTION("""COMPUTED_VALUE"""),0.04)</f>
        <v>0.04</v>
      </c>
      <c r="C197" s="1">
        <f>IFERROR(__xludf.DUMMYFUNCTION("""COMPUTED_VALUE"""),0.04)</f>
        <v>0.04</v>
      </c>
      <c r="D197" s="1">
        <f>IFERROR(__xludf.DUMMYFUNCTION("""COMPUTED_VALUE"""),0.04)</f>
        <v>0.04</v>
      </c>
      <c r="E197" s="1">
        <f>IFERROR(__xludf.DUMMYFUNCTION("""COMPUTED_VALUE"""),0.04)</f>
        <v>0.04</v>
      </c>
      <c r="F197" s="1">
        <f>IFERROR(__xludf.DUMMYFUNCTION("""COMPUTED_VALUE"""),966707.0)</f>
        <v>966707</v>
      </c>
      <c r="G197" s="2" t="s">
        <v>2</v>
      </c>
    </row>
    <row r="198">
      <c r="A198" s="3">
        <f>IFERROR(__xludf.DUMMYFUNCTION("""COMPUTED_VALUE"""),44866.66666666667)</f>
        <v>44866.66667</v>
      </c>
      <c r="B198" s="1">
        <f>IFERROR(__xludf.DUMMYFUNCTION("""COMPUTED_VALUE"""),0.03)</f>
        <v>0.03</v>
      </c>
      <c r="C198" s="1">
        <f>IFERROR(__xludf.DUMMYFUNCTION("""COMPUTED_VALUE"""),0.04)</f>
        <v>0.04</v>
      </c>
      <c r="D198" s="1">
        <f>IFERROR(__xludf.DUMMYFUNCTION("""COMPUTED_VALUE"""),0.03)</f>
        <v>0.03</v>
      </c>
      <c r="E198" s="1">
        <f>IFERROR(__xludf.DUMMYFUNCTION("""COMPUTED_VALUE"""),0.03)</f>
        <v>0.03</v>
      </c>
      <c r="F198" s="1">
        <f>IFERROR(__xludf.DUMMYFUNCTION("""COMPUTED_VALUE"""),883239.0)</f>
        <v>883239</v>
      </c>
      <c r="G198" s="2" t="s">
        <v>2</v>
      </c>
    </row>
    <row r="199">
      <c r="A199" s="3">
        <f>IFERROR(__xludf.DUMMYFUNCTION("""COMPUTED_VALUE"""),44867.66666666667)</f>
        <v>44867.66667</v>
      </c>
      <c r="B199" s="1">
        <f>IFERROR(__xludf.DUMMYFUNCTION("""COMPUTED_VALUE"""),0.04)</f>
        <v>0.04</v>
      </c>
      <c r="C199" s="1">
        <f>IFERROR(__xludf.DUMMYFUNCTION("""COMPUTED_VALUE"""),0.04)</f>
        <v>0.04</v>
      </c>
      <c r="D199" s="1">
        <f>IFERROR(__xludf.DUMMYFUNCTION("""COMPUTED_VALUE"""),0.04)</f>
        <v>0.04</v>
      </c>
      <c r="E199" s="1">
        <f>IFERROR(__xludf.DUMMYFUNCTION("""COMPUTED_VALUE"""),0.04)</f>
        <v>0.04</v>
      </c>
      <c r="F199" s="1">
        <f>IFERROR(__xludf.DUMMYFUNCTION("""COMPUTED_VALUE"""),11333.0)</f>
        <v>11333</v>
      </c>
      <c r="G199" s="2" t="s">
        <v>2</v>
      </c>
    </row>
    <row r="200">
      <c r="A200" s="3">
        <f>IFERROR(__xludf.DUMMYFUNCTION("""COMPUTED_VALUE"""),44868.66666666667)</f>
        <v>44868.66667</v>
      </c>
      <c r="B200" s="1">
        <f>IFERROR(__xludf.DUMMYFUNCTION("""COMPUTED_VALUE"""),0.04)</f>
        <v>0.04</v>
      </c>
      <c r="C200" s="1">
        <f>IFERROR(__xludf.DUMMYFUNCTION("""COMPUTED_VALUE"""),0.04)</f>
        <v>0.04</v>
      </c>
      <c r="D200" s="1">
        <f>IFERROR(__xludf.DUMMYFUNCTION("""COMPUTED_VALUE"""),0.03)</f>
        <v>0.03</v>
      </c>
      <c r="E200" s="1">
        <f>IFERROR(__xludf.DUMMYFUNCTION("""COMPUTED_VALUE"""),0.04)</f>
        <v>0.04</v>
      </c>
      <c r="F200" s="1">
        <f>IFERROR(__xludf.DUMMYFUNCTION("""COMPUTED_VALUE"""),270991.0)</f>
        <v>270991</v>
      </c>
      <c r="G200" s="2" t="s">
        <v>2</v>
      </c>
    </row>
    <row r="201">
      <c r="A201" s="3">
        <f>IFERROR(__xludf.DUMMYFUNCTION("""COMPUTED_VALUE"""),44869.66666666667)</f>
        <v>44869.66667</v>
      </c>
      <c r="B201" s="1">
        <f>IFERROR(__xludf.DUMMYFUNCTION("""COMPUTED_VALUE"""),0.04)</f>
        <v>0.04</v>
      </c>
      <c r="C201" s="1">
        <f>IFERROR(__xludf.DUMMYFUNCTION("""COMPUTED_VALUE"""),0.04)</f>
        <v>0.04</v>
      </c>
      <c r="D201" s="1">
        <f>IFERROR(__xludf.DUMMYFUNCTION("""COMPUTED_VALUE"""),0.03)</f>
        <v>0.03</v>
      </c>
      <c r="E201" s="1">
        <f>IFERROR(__xludf.DUMMYFUNCTION("""COMPUTED_VALUE"""),0.04)</f>
        <v>0.04</v>
      </c>
      <c r="F201" s="1">
        <f>IFERROR(__xludf.DUMMYFUNCTION("""COMPUTED_VALUE"""),278922.0)</f>
        <v>278922</v>
      </c>
      <c r="G201" s="2" t="s">
        <v>2</v>
      </c>
    </row>
    <row r="202">
      <c r="A202" s="3">
        <f>IFERROR(__xludf.DUMMYFUNCTION("""COMPUTED_VALUE"""),44872.66666666667)</f>
        <v>44872.66667</v>
      </c>
      <c r="B202" s="1">
        <f>IFERROR(__xludf.DUMMYFUNCTION("""COMPUTED_VALUE"""),0.04)</f>
        <v>0.04</v>
      </c>
      <c r="C202" s="1">
        <f>IFERROR(__xludf.DUMMYFUNCTION("""COMPUTED_VALUE"""),0.04)</f>
        <v>0.04</v>
      </c>
      <c r="D202" s="1">
        <f>IFERROR(__xludf.DUMMYFUNCTION("""COMPUTED_VALUE"""),0.04)</f>
        <v>0.04</v>
      </c>
      <c r="E202" s="1">
        <f>IFERROR(__xludf.DUMMYFUNCTION("""COMPUTED_VALUE"""),0.04)</f>
        <v>0.04</v>
      </c>
      <c r="F202" s="1">
        <f>IFERROR(__xludf.DUMMYFUNCTION("""COMPUTED_VALUE"""),88315.0)</f>
        <v>88315</v>
      </c>
      <c r="G202" s="2" t="s">
        <v>2</v>
      </c>
    </row>
    <row r="203">
      <c r="A203" s="3">
        <f>IFERROR(__xludf.DUMMYFUNCTION("""COMPUTED_VALUE"""),44873.66666666667)</f>
        <v>44873.66667</v>
      </c>
      <c r="B203" s="1">
        <f>IFERROR(__xludf.DUMMYFUNCTION("""COMPUTED_VALUE"""),0.04)</f>
        <v>0.04</v>
      </c>
      <c r="C203" s="1">
        <f>IFERROR(__xludf.DUMMYFUNCTION("""COMPUTED_VALUE"""),0.04)</f>
        <v>0.04</v>
      </c>
      <c r="D203" s="1">
        <f>IFERROR(__xludf.DUMMYFUNCTION("""COMPUTED_VALUE"""),0.04)</f>
        <v>0.04</v>
      </c>
      <c r="E203" s="1">
        <f>IFERROR(__xludf.DUMMYFUNCTION("""COMPUTED_VALUE"""),0.04)</f>
        <v>0.04</v>
      </c>
      <c r="F203" s="1">
        <f>IFERROR(__xludf.DUMMYFUNCTION("""COMPUTED_VALUE"""),215404.0)</f>
        <v>215404</v>
      </c>
      <c r="G203" s="2" t="s">
        <v>2</v>
      </c>
    </row>
    <row r="204">
      <c r="A204" s="3">
        <f>IFERROR(__xludf.DUMMYFUNCTION("""COMPUTED_VALUE"""),44874.66666666667)</f>
        <v>44874.66667</v>
      </c>
      <c r="B204" s="1">
        <f>IFERROR(__xludf.DUMMYFUNCTION("""COMPUTED_VALUE"""),0.04)</f>
        <v>0.04</v>
      </c>
      <c r="C204" s="1">
        <f>IFERROR(__xludf.DUMMYFUNCTION("""COMPUTED_VALUE"""),0.04)</f>
        <v>0.04</v>
      </c>
      <c r="D204" s="1">
        <f>IFERROR(__xludf.DUMMYFUNCTION("""COMPUTED_VALUE"""),0.04)</f>
        <v>0.04</v>
      </c>
      <c r="E204" s="1">
        <f>IFERROR(__xludf.DUMMYFUNCTION("""COMPUTED_VALUE"""),0.04)</f>
        <v>0.04</v>
      </c>
      <c r="F204" s="1">
        <f>IFERROR(__xludf.DUMMYFUNCTION("""COMPUTED_VALUE"""),273987.0)</f>
        <v>273987</v>
      </c>
      <c r="G204" s="2" t="s">
        <v>2</v>
      </c>
    </row>
    <row r="205">
      <c r="A205" s="3">
        <f>IFERROR(__xludf.DUMMYFUNCTION("""COMPUTED_VALUE"""),44875.66666666667)</f>
        <v>44875.66667</v>
      </c>
      <c r="B205" s="1">
        <f>IFERROR(__xludf.DUMMYFUNCTION("""COMPUTED_VALUE"""),0.04)</f>
        <v>0.04</v>
      </c>
      <c r="C205" s="1">
        <f>IFERROR(__xludf.DUMMYFUNCTION("""COMPUTED_VALUE"""),0.04)</f>
        <v>0.04</v>
      </c>
      <c r="D205" s="1">
        <f>IFERROR(__xludf.DUMMYFUNCTION("""COMPUTED_VALUE"""),0.04)</f>
        <v>0.04</v>
      </c>
      <c r="E205" s="1">
        <f>IFERROR(__xludf.DUMMYFUNCTION("""COMPUTED_VALUE"""),0.04)</f>
        <v>0.04</v>
      </c>
      <c r="F205" s="1">
        <f>IFERROR(__xludf.DUMMYFUNCTION("""COMPUTED_VALUE"""),126255.0)</f>
        <v>126255</v>
      </c>
      <c r="G205" s="2" t="s">
        <v>2</v>
      </c>
    </row>
    <row r="206">
      <c r="A206" s="3">
        <f>IFERROR(__xludf.DUMMYFUNCTION("""COMPUTED_VALUE"""),44876.66666666667)</f>
        <v>44876.66667</v>
      </c>
      <c r="B206" s="1">
        <f>IFERROR(__xludf.DUMMYFUNCTION("""COMPUTED_VALUE"""),0.04)</f>
        <v>0.04</v>
      </c>
      <c r="C206" s="1">
        <f>IFERROR(__xludf.DUMMYFUNCTION("""COMPUTED_VALUE"""),0.04)</f>
        <v>0.04</v>
      </c>
      <c r="D206" s="1">
        <f>IFERROR(__xludf.DUMMYFUNCTION("""COMPUTED_VALUE"""),0.03)</f>
        <v>0.03</v>
      </c>
      <c r="E206" s="1">
        <f>IFERROR(__xludf.DUMMYFUNCTION("""COMPUTED_VALUE"""),0.04)</f>
        <v>0.04</v>
      </c>
      <c r="F206" s="1">
        <f>IFERROR(__xludf.DUMMYFUNCTION("""COMPUTED_VALUE"""),560773.0)</f>
        <v>560773</v>
      </c>
      <c r="G206" s="2" t="s">
        <v>2</v>
      </c>
    </row>
    <row r="207">
      <c r="A207" s="3">
        <f>IFERROR(__xludf.DUMMYFUNCTION("""COMPUTED_VALUE"""),44879.66666666667)</f>
        <v>44879.66667</v>
      </c>
      <c r="B207" s="1">
        <f>IFERROR(__xludf.DUMMYFUNCTION("""COMPUTED_VALUE"""),0.04)</f>
        <v>0.04</v>
      </c>
      <c r="C207" s="1">
        <f>IFERROR(__xludf.DUMMYFUNCTION("""COMPUTED_VALUE"""),0.04)</f>
        <v>0.04</v>
      </c>
      <c r="D207" s="1">
        <f>IFERROR(__xludf.DUMMYFUNCTION("""COMPUTED_VALUE"""),0.04)</f>
        <v>0.04</v>
      </c>
      <c r="E207" s="1">
        <f>IFERROR(__xludf.DUMMYFUNCTION("""COMPUTED_VALUE"""),0.04)</f>
        <v>0.04</v>
      </c>
      <c r="F207" s="1">
        <f>IFERROR(__xludf.DUMMYFUNCTION("""COMPUTED_VALUE"""),924978.0)</f>
        <v>924978</v>
      </c>
      <c r="G207" s="2" t="s">
        <v>2</v>
      </c>
    </row>
    <row r="208">
      <c r="A208" s="3">
        <f>IFERROR(__xludf.DUMMYFUNCTION("""COMPUTED_VALUE"""),44880.66666666667)</f>
        <v>44880.66667</v>
      </c>
      <c r="B208" s="1">
        <f>IFERROR(__xludf.DUMMYFUNCTION("""COMPUTED_VALUE"""),0.04)</f>
        <v>0.04</v>
      </c>
      <c r="C208" s="1">
        <f>IFERROR(__xludf.DUMMYFUNCTION("""COMPUTED_VALUE"""),0.04)</f>
        <v>0.04</v>
      </c>
      <c r="D208" s="1">
        <f>IFERROR(__xludf.DUMMYFUNCTION("""COMPUTED_VALUE"""),0.04)</f>
        <v>0.04</v>
      </c>
      <c r="E208" s="1">
        <f>IFERROR(__xludf.DUMMYFUNCTION("""COMPUTED_VALUE"""),0.04)</f>
        <v>0.04</v>
      </c>
      <c r="F208" s="1">
        <f>IFERROR(__xludf.DUMMYFUNCTION("""COMPUTED_VALUE"""),519658.0)</f>
        <v>519658</v>
      </c>
      <c r="G208" s="2" t="s">
        <v>2</v>
      </c>
    </row>
    <row r="209">
      <c r="A209" s="3">
        <f>IFERROR(__xludf.DUMMYFUNCTION("""COMPUTED_VALUE"""),44881.66666666667)</f>
        <v>44881.66667</v>
      </c>
      <c r="B209" s="1">
        <f>IFERROR(__xludf.DUMMYFUNCTION("""COMPUTED_VALUE"""),0.04)</f>
        <v>0.04</v>
      </c>
      <c r="C209" s="1">
        <f>IFERROR(__xludf.DUMMYFUNCTION("""COMPUTED_VALUE"""),0.1)</f>
        <v>0.1</v>
      </c>
      <c r="D209" s="1">
        <f>IFERROR(__xludf.DUMMYFUNCTION("""COMPUTED_VALUE"""),0.04)</f>
        <v>0.04</v>
      </c>
      <c r="E209" s="1">
        <f>IFERROR(__xludf.DUMMYFUNCTION("""COMPUTED_VALUE"""),0.06)</f>
        <v>0.06</v>
      </c>
      <c r="F209" s="1">
        <f>IFERROR(__xludf.DUMMYFUNCTION("""COMPUTED_VALUE"""),2.19653784E8)</f>
        <v>219653784</v>
      </c>
      <c r="G209" s="2" t="s">
        <v>2</v>
      </c>
    </row>
    <row r="210">
      <c r="A210" s="3">
        <f>IFERROR(__xludf.DUMMYFUNCTION("""COMPUTED_VALUE"""),44882.66666666667)</f>
        <v>44882.66667</v>
      </c>
      <c r="B210" s="1">
        <f>IFERROR(__xludf.DUMMYFUNCTION("""COMPUTED_VALUE"""),0.07)</f>
        <v>0.07</v>
      </c>
      <c r="C210" s="1">
        <f>IFERROR(__xludf.DUMMYFUNCTION("""COMPUTED_VALUE"""),0.08)</f>
        <v>0.08</v>
      </c>
      <c r="D210" s="1">
        <f>IFERROR(__xludf.DUMMYFUNCTION("""COMPUTED_VALUE"""),0.06)</f>
        <v>0.06</v>
      </c>
      <c r="E210" s="1">
        <f>IFERROR(__xludf.DUMMYFUNCTION("""COMPUTED_VALUE"""),0.07)</f>
        <v>0.07</v>
      </c>
      <c r="F210" s="1">
        <f>IFERROR(__xludf.DUMMYFUNCTION("""COMPUTED_VALUE"""),8.6846205E7)</f>
        <v>86846205</v>
      </c>
      <c r="G210" s="2" t="s">
        <v>2</v>
      </c>
    </row>
    <row r="211">
      <c r="A211" s="3">
        <f>IFERROR(__xludf.DUMMYFUNCTION("""COMPUTED_VALUE"""),44883.66666666667)</f>
        <v>44883.66667</v>
      </c>
      <c r="B211" s="1">
        <f>IFERROR(__xludf.DUMMYFUNCTION("""COMPUTED_VALUE"""),0.07)</f>
        <v>0.07</v>
      </c>
      <c r="C211" s="1">
        <f>IFERROR(__xludf.DUMMYFUNCTION("""COMPUTED_VALUE"""),0.07)</f>
        <v>0.07</v>
      </c>
      <c r="D211" s="1">
        <f>IFERROR(__xludf.DUMMYFUNCTION("""COMPUTED_VALUE"""),0.06)</f>
        <v>0.06</v>
      </c>
      <c r="E211" s="1">
        <f>IFERROR(__xludf.DUMMYFUNCTION("""COMPUTED_VALUE"""),0.06)</f>
        <v>0.06</v>
      </c>
      <c r="F211" s="1">
        <f>IFERROR(__xludf.DUMMYFUNCTION("""COMPUTED_VALUE"""),1.7278154E7)</f>
        <v>17278154</v>
      </c>
      <c r="G211" s="2" t="s">
        <v>2</v>
      </c>
    </row>
    <row r="212">
      <c r="A212" s="3">
        <f>IFERROR(__xludf.DUMMYFUNCTION("""COMPUTED_VALUE"""),44886.66666666667)</f>
        <v>44886.66667</v>
      </c>
      <c r="B212" s="1">
        <f>IFERROR(__xludf.DUMMYFUNCTION("""COMPUTED_VALUE"""),0.06)</f>
        <v>0.06</v>
      </c>
      <c r="C212" s="1">
        <f>IFERROR(__xludf.DUMMYFUNCTION("""COMPUTED_VALUE"""),0.07)</f>
        <v>0.07</v>
      </c>
      <c r="D212" s="1">
        <f>IFERROR(__xludf.DUMMYFUNCTION("""COMPUTED_VALUE"""),0.06)</f>
        <v>0.06</v>
      </c>
      <c r="E212" s="1">
        <f>IFERROR(__xludf.DUMMYFUNCTION("""COMPUTED_VALUE"""),0.07)</f>
        <v>0.07</v>
      </c>
      <c r="F212" s="1">
        <f>IFERROR(__xludf.DUMMYFUNCTION("""COMPUTED_VALUE"""),1.3146951E7)</f>
        <v>13146951</v>
      </c>
      <c r="G212" s="2" t="s">
        <v>2</v>
      </c>
    </row>
    <row r="213">
      <c r="A213" s="3">
        <f>IFERROR(__xludf.DUMMYFUNCTION("""COMPUTED_VALUE"""),44887.66666666667)</f>
        <v>44887.66667</v>
      </c>
      <c r="B213" s="1">
        <f>IFERROR(__xludf.DUMMYFUNCTION("""COMPUTED_VALUE"""),0.06)</f>
        <v>0.06</v>
      </c>
      <c r="C213" s="1">
        <f>IFERROR(__xludf.DUMMYFUNCTION("""COMPUTED_VALUE"""),0.07)</f>
        <v>0.07</v>
      </c>
      <c r="D213" s="1">
        <f>IFERROR(__xludf.DUMMYFUNCTION("""COMPUTED_VALUE"""),0.06)</f>
        <v>0.06</v>
      </c>
      <c r="E213" s="1">
        <f>IFERROR(__xludf.DUMMYFUNCTION("""COMPUTED_VALUE"""),0.06)</f>
        <v>0.06</v>
      </c>
      <c r="F213" s="1">
        <f>IFERROR(__xludf.DUMMYFUNCTION("""COMPUTED_VALUE"""),1.2355792E7)</f>
        <v>12355792</v>
      </c>
      <c r="G213" s="2" t="s">
        <v>2</v>
      </c>
    </row>
    <row r="214">
      <c r="A214" s="3">
        <f>IFERROR(__xludf.DUMMYFUNCTION("""COMPUTED_VALUE"""),44888.66666666667)</f>
        <v>44888.66667</v>
      </c>
      <c r="B214" s="1">
        <f>IFERROR(__xludf.DUMMYFUNCTION("""COMPUTED_VALUE"""),0.06)</f>
        <v>0.06</v>
      </c>
      <c r="C214" s="1">
        <f>IFERROR(__xludf.DUMMYFUNCTION("""COMPUTED_VALUE"""),0.06)</f>
        <v>0.06</v>
      </c>
      <c r="D214" s="1">
        <f>IFERROR(__xludf.DUMMYFUNCTION("""COMPUTED_VALUE"""),0.05)</f>
        <v>0.05</v>
      </c>
      <c r="E214" s="1">
        <f>IFERROR(__xludf.DUMMYFUNCTION("""COMPUTED_VALUE"""),0.05)</f>
        <v>0.05</v>
      </c>
      <c r="F214" s="1">
        <f>IFERROR(__xludf.DUMMYFUNCTION("""COMPUTED_VALUE"""),7943711.0)</f>
        <v>7943711</v>
      </c>
      <c r="G214" s="2" t="s">
        <v>2</v>
      </c>
    </row>
    <row r="215">
      <c r="A215" s="3">
        <f>IFERROR(__xludf.DUMMYFUNCTION("""COMPUTED_VALUE"""),44889.66666666667)</f>
        <v>44889.66667</v>
      </c>
      <c r="B215" s="1">
        <f>IFERROR(__xludf.DUMMYFUNCTION("""COMPUTED_VALUE"""),0.05)</f>
        <v>0.05</v>
      </c>
      <c r="C215" s="1">
        <f>IFERROR(__xludf.DUMMYFUNCTION("""COMPUTED_VALUE"""),0.06)</f>
        <v>0.06</v>
      </c>
      <c r="D215" s="1">
        <f>IFERROR(__xludf.DUMMYFUNCTION("""COMPUTED_VALUE"""),0.05)</f>
        <v>0.05</v>
      </c>
      <c r="E215" s="1">
        <f>IFERROR(__xludf.DUMMYFUNCTION("""COMPUTED_VALUE"""),0.06)</f>
        <v>0.06</v>
      </c>
      <c r="F215" s="1">
        <f>IFERROR(__xludf.DUMMYFUNCTION("""COMPUTED_VALUE"""),3220002.0)</f>
        <v>3220002</v>
      </c>
      <c r="G215" s="2" t="s">
        <v>2</v>
      </c>
    </row>
    <row r="216">
      <c r="A216" s="3">
        <f>IFERROR(__xludf.DUMMYFUNCTION("""COMPUTED_VALUE"""),44890.66666666667)</f>
        <v>44890.66667</v>
      </c>
      <c r="B216" s="1">
        <f>IFERROR(__xludf.DUMMYFUNCTION("""COMPUTED_VALUE"""),0.05)</f>
        <v>0.05</v>
      </c>
      <c r="C216" s="1">
        <f>IFERROR(__xludf.DUMMYFUNCTION("""COMPUTED_VALUE"""),0.06)</f>
        <v>0.06</v>
      </c>
      <c r="D216" s="1">
        <f>IFERROR(__xludf.DUMMYFUNCTION("""COMPUTED_VALUE"""),0.05)</f>
        <v>0.05</v>
      </c>
      <c r="E216" s="1">
        <f>IFERROR(__xludf.DUMMYFUNCTION("""COMPUTED_VALUE"""),0.06)</f>
        <v>0.06</v>
      </c>
      <c r="F216" s="1">
        <f>IFERROR(__xludf.DUMMYFUNCTION("""COMPUTED_VALUE"""),3501912.0)</f>
        <v>3501912</v>
      </c>
      <c r="G216" s="2" t="s">
        <v>2</v>
      </c>
    </row>
    <row r="217">
      <c r="A217" s="3">
        <f>IFERROR(__xludf.DUMMYFUNCTION("""COMPUTED_VALUE"""),44893.66666666667)</f>
        <v>44893.66667</v>
      </c>
      <c r="B217" s="1">
        <f>IFERROR(__xludf.DUMMYFUNCTION("""COMPUTED_VALUE"""),0.05)</f>
        <v>0.05</v>
      </c>
      <c r="C217" s="1">
        <f>IFERROR(__xludf.DUMMYFUNCTION("""COMPUTED_VALUE"""),0.06)</f>
        <v>0.06</v>
      </c>
      <c r="D217" s="1">
        <f>IFERROR(__xludf.DUMMYFUNCTION("""COMPUTED_VALUE"""),0.05)</f>
        <v>0.05</v>
      </c>
      <c r="E217" s="1">
        <f>IFERROR(__xludf.DUMMYFUNCTION("""COMPUTED_VALUE"""),0.06)</f>
        <v>0.06</v>
      </c>
      <c r="F217" s="1">
        <f>IFERROR(__xludf.DUMMYFUNCTION("""COMPUTED_VALUE"""),725782.0)</f>
        <v>725782</v>
      </c>
      <c r="G217" s="2" t="s">
        <v>2</v>
      </c>
    </row>
    <row r="218">
      <c r="A218" s="3">
        <f>IFERROR(__xludf.DUMMYFUNCTION("""COMPUTED_VALUE"""),44894.66666666667)</f>
        <v>44894.66667</v>
      </c>
      <c r="B218" s="1">
        <f>IFERROR(__xludf.DUMMYFUNCTION("""COMPUTED_VALUE"""),0.06)</f>
        <v>0.06</v>
      </c>
      <c r="C218" s="1">
        <f>IFERROR(__xludf.DUMMYFUNCTION("""COMPUTED_VALUE"""),0.06)</f>
        <v>0.06</v>
      </c>
      <c r="D218" s="1">
        <f>IFERROR(__xludf.DUMMYFUNCTION("""COMPUTED_VALUE"""),0.05)</f>
        <v>0.05</v>
      </c>
      <c r="E218" s="1">
        <f>IFERROR(__xludf.DUMMYFUNCTION("""COMPUTED_VALUE"""),0.05)</f>
        <v>0.05</v>
      </c>
      <c r="F218" s="1">
        <f>IFERROR(__xludf.DUMMYFUNCTION("""COMPUTED_VALUE"""),2004713.0)</f>
        <v>2004713</v>
      </c>
      <c r="G218" s="2" t="s">
        <v>2</v>
      </c>
    </row>
    <row r="219">
      <c r="A219" s="3">
        <f>IFERROR(__xludf.DUMMYFUNCTION("""COMPUTED_VALUE"""),44895.66666666667)</f>
        <v>44895.66667</v>
      </c>
      <c r="B219" s="1">
        <f>IFERROR(__xludf.DUMMYFUNCTION("""COMPUTED_VALUE"""),0.05)</f>
        <v>0.05</v>
      </c>
      <c r="C219" s="1">
        <f>IFERROR(__xludf.DUMMYFUNCTION("""COMPUTED_VALUE"""),0.06)</f>
        <v>0.06</v>
      </c>
      <c r="D219" s="1">
        <f>IFERROR(__xludf.DUMMYFUNCTION("""COMPUTED_VALUE"""),0.05)</f>
        <v>0.05</v>
      </c>
      <c r="E219" s="1">
        <f>IFERROR(__xludf.DUMMYFUNCTION("""COMPUTED_VALUE"""),0.06)</f>
        <v>0.06</v>
      </c>
      <c r="F219" s="1">
        <f>IFERROR(__xludf.DUMMYFUNCTION("""COMPUTED_VALUE"""),5665912.0)</f>
        <v>5665912</v>
      </c>
      <c r="G219" s="2" t="s">
        <v>2</v>
      </c>
    </row>
    <row r="220">
      <c r="A220" s="3">
        <f>IFERROR(__xludf.DUMMYFUNCTION("""COMPUTED_VALUE"""),44896.66666666667)</f>
        <v>44896.66667</v>
      </c>
      <c r="B220" s="1">
        <f>IFERROR(__xludf.DUMMYFUNCTION("""COMPUTED_VALUE"""),0.07)</f>
        <v>0.07</v>
      </c>
      <c r="C220" s="1">
        <f>IFERROR(__xludf.DUMMYFUNCTION("""COMPUTED_VALUE"""),0.07)</f>
        <v>0.07</v>
      </c>
      <c r="D220" s="1">
        <f>IFERROR(__xludf.DUMMYFUNCTION("""COMPUTED_VALUE"""),0.06)</f>
        <v>0.06</v>
      </c>
      <c r="E220" s="1">
        <f>IFERROR(__xludf.DUMMYFUNCTION("""COMPUTED_VALUE"""),0.06)</f>
        <v>0.06</v>
      </c>
      <c r="F220" s="1">
        <f>IFERROR(__xludf.DUMMYFUNCTION("""COMPUTED_VALUE"""),1.0870846E7)</f>
        <v>10870846</v>
      </c>
      <c r="G220" s="2" t="s">
        <v>2</v>
      </c>
    </row>
    <row r="221">
      <c r="A221" s="3">
        <f>IFERROR(__xludf.DUMMYFUNCTION("""COMPUTED_VALUE"""),44897.66666666667)</f>
        <v>44897.66667</v>
      </c>
      <c r="B221" s="1">
        <f>IFERROR(__xludf.DUMMYFUNCTION("""COMPUTED_VALUE"""),0.06)</f>
        <v>0.06</v>
      </c>
      <c r="C221" s="1">
        <f>IFERROR(__xludf.DUMMYFUNCTION("""COMPUTED_VALUE"""),0.06)</f>
        <v>0.06</v>
      </c>
      <c r="D221" s="1">
        <f>IFERROR(__xludf.DUMMYFUNCTION("""COMPUTED_VALUE"""),0.06)</f>
        <v>0.06</v>
      </c>
      <c r="E221" s="1">
        <f>IFERROR(__xludf.DUMMYFUNCTION("""COMPUTED_VALUE"""),0.06)</f>
        <v>0.06</v>
      </c>
      <c r="F221" s="1">
        <f>IFERROR(__xludf.DUMMYFUNCTION("""COMPUTED_VALUE"""),4083503.0)</f>
        <v>4083503</v>
      </c>
      <c r="G221" s="2" t="s">
        <v>2</v>
      </c>
    </row>
    <row r="222">
      <c r="A222" s="3">
        <f>IFERROR(__xludf.DUMMYFUNCTION("""COMPUTED_VALUE"""),44900.66666666667)</f>
        <v>44900.66667</v>
      </c>
      <c r="B222" s="1">
        <f>IFERROR(__xludf.DUMMYFUNCTION("""COMPUTED_VALUE"""),0.06)</f>
        <v>0.06</v>
      </c>
      <c r="C222" s="1">
        <f>IFERROR(__xludf.DUMMYFUNCTION("""COMPUTED_VALUE"""),0.06)</f>
        <v>0.06</v>
      </c>
      <c r="D222" s="1">
        <f>IFERROR(__xludf.DUMMYFUNCTION("""COMPUTED_VALUE"""),0.06)</f>
        <v>0.06</v>
      </c>
      <c r="E222" s="1">
        <f>IFERROR(__xludf.DUMMYFUNCTION("""COMPUTED_VALUE"""),0.06)</f>
        <v>0.06</v>
      </c>
      <c r="F222" s="1">
        <f>IFERROR(__xludf.DUMMYFUNCTION("""COMPUTED_VALUE"""),3525798.0)</f>
        <v>3525798</v>
      </c>
      <c r="G222" s="2" t="s">
        <v>2</v>
      </c>
    </row>
    <row r="223">
      <c r="A223" s="3">
        <f>IFERROR(__xludf.DUMMYFUNCTION("""COMPUTED_VALUE"""),44901.66666666667)</f>
        <v>44901.66667</v>
      </c>
      <c r="B223" s="1">
        <f>IFERROR(__xludf.DUMMYFUNCTION("""COMPUTED_VALUE"""),0.06)</f>
        <v>0.06</v>
      </c>
      <c r="C223" s="1">
        <f>IFERROR(__xludf.DUMMYFUNCTION("""COMPUTED_VALUE"""),0.06)</f>
        <v>0.06</v>
      </c>
      <c r="D223" s="1">
        <f>IFERROR(__xludf.DUMMYFUNCTION("""COMPUTED_VALUE"""),0.06)</f>
        <v>0.06</v>
      </c>
      <c r="E223" s="1">
        <f>IFERROR(__xludf.DUMMYFUNCTION("""COMPUTED_VALUE"""),0.06)</f>
        <v>0.06</v>
      </c>
      <c r="F223" s="1">
        <f>IFERROR(__xludf.DUMMYFUNCTION("""COMPUTED_VALUE"""),1603359.0)</f>
        <v>1603359</v>
      </c>
      <c r="G223" s="2" t="s">
        <v>2</v>
      </c>
    </row>
    <row r="224">
      <c r="A224" s="3">
        <f>IFERROR(__xludf.DUMMYFUNCTION("""COMPUTED_VALUE"""),44902.66666666667)</f>
        <v>44902.66667</v>
      </c>
      <c r="B224" s="1">
        <f>IFERROR(__xludf.DUMMYFUNCTION("""COMPUTED_VALUE"""),0.06)</f>
        <v>0.06</v>
      </c>
      <c r="C224" s="1">
        <f>IFERROR(__xludf.DUMMYFUNCTION("""COMPUTED_VALUE"""),0.07)</f>
        <v>0.07</v>
      </c>
      <c r="D224" s="1">
        <f>IFERROR(__xludf.DUMMYFUNCTION("""COMPUTED_VALUE"""),0.06)</f>
        <v>0.06</v>
      </c>
      <c r="E224" s="1">
        <f>IFERROR(__xludf.DUMMYFUNCTION("""COMPUTED_VALUE"""),0.07)</f>
        <v>0.07</v>
      </c>
      <c r="F224" s="1">
        <f>IFERROR(__xludf.DUMMYFUNCTION("""COMPUTED_VALUE"""),1.3942432E7)</f>
        <v>13942432</v>
      </c>
      <c r="G224" s="2" t="s">
        <v>2</v>
      </c>
    </row>
    <row r="225">
      <c r="A225" s="3">
        <f>IFERROR(__xludf.DUMMYFUNCTION("""COMPUTED_VALUE"""),44903.66666666667)</f>
        <v>44903.66667</v>
      </c>
      <c r="B225" s="1">
        <f>IFERROR(__xludf.DUMMYFUNCTION("""COMPUTED_VALUE"""),0.07)</f>
        <v>0.07</v>
      </c>
      <c r="C225" s="1">
        <f>IFERROR(__xludf.DUMMYFUNCTION("""COMPUTED_VALUE"""),0.07)</f>
        <v>0.07</v>
      </c>
      <c r="D225" s="1">
        <f>IFERROR(__xludf.DUMMYFUNCTION("""COMPUTED_VALUE"""),0.07)</f>
        <v>0.07</v>
      </c>
      <c r="E225" s="1">
        <f>IFERROR(__xludf.DUMMYFUNCTION("""COMPUTED_VALUE"""),0.07)</f>
        <v>0.07</v>
      </c>
      <c r="F225" s="1">
        <f>IFERROR(__xludf.DUMMYFUNCTION("""COMPUTED_VALUE"""),2041193.0)</f>
        <v>2041193</v>
      </c>
      <c r="G225" s="2" t="s">
        <v>2</v>
      </c>
    </row>
    <row r="226">
      <c r="A226" s="3">
        <f>IFERROR(__xludf.DUMMYFUNCTION("""COMPUTED_VALUE"""),44904.66666666667)</f>
        <v>44904.66667</v>
      </c>
      <c r="B226" s="1">
        <f>IFERROR(__xludf.DUMMYFUNCTION("""COMPUTED_VALUE"""),0.07)</f>
        <v>0.07</v>
      </c>
      <c r="C226" s="1">
        <f>IFERROR(__xludf.DUMMYFUNCTION("""COMPUTED_VALUE"""),0.07)</f>
        <v>0.07</v>
      </c>
      <c r="D226" s="1">
        <f>IFERROR(__xludf.DUMMYFUNCTION("""COMPUTED_VALUE"""),0.06)</f>
        <v>0.06</v>
      </c>
      <c r="E226" s="1">
        <f>IFERROR(__xludf.DUMMYFUNCTION("""COMPUTED_VALUE"""),0.06)</f>
        <v>0.06</v>
      </c>
      <c r="F226" s="1">
        <f>IFERROR(__xludf.DUMMYFUNCTION("""COMPUTED_VALUE"""),3112550.0)</f>
        <v>3112550</v>
      </c>
      <c r="G226" s="2" t="s">
        <v>2</v>
      </c>
    </row>
    <row r="227">
      <c r="A227" s="3">
        <f>IFERROR(__xludf.DUMMYFUNCTION("""COMPUTED_VALUE"""),44907.66666666667)</f>
        <v>44907.66667</v>
      </c>
      <c r="B227" s="1">
        <f>IFERROR(__xludf.DUMMYFUNCTION("""COMPUTED_VALUE"""),0.06)</f>
        <v>0.06</v>
      </c>
      <c r="C227" s="1">
        <f>IFERROR(__xludf.DUMMYFUNCTION("""COMPUTED_VALUE"""),0.08)</f>
        <v>0.08</v>
      </c>
      <c r="D227" s="1">
        <f>IFERROR(__xludf.DUMMYFUNCTION("""COMPUTED_VALUE"""),0.06)</f>
        <v>0.06</v>
      </c>
      <c r="E227" s="1">
        <f>IFERROR(__xludf.DUMMYFUNCTION("""COMPUTED_VALUE"""),0.07)</f>
        <v>0.07</v>
      </c>
      <c r="F227" s="1">
        <f>IFERROR(__xludf.DUMMYFUNCTION("""COMPUTED_VALUE"""),8630315.0)</f>
        <v>8630315</v>
      </c>
      <c r="G227" s="2" t="s">
        <v>2</v>
      </c>
    </row>
    <row r="228">
      <c r="A228" s="3">
        <f>IFERROR(__xludf.DUMMYFUNCTION("""COMPUTED_VALUE"""),44908.66666666667)</f>
        <v>44908.66667</v>
      </c>
      <c r="B228" s="1">
        <f>IFERROR(__xludf.DUMMYFUNCTION("""COMPUTED_VALUE"""),0.07)</f>
        <v>0.07</v>
      </c>
      <c r="C228" s="1">
        <f>IFERROR(__xludf.DUMMYFUNCTION("""COMPUTED_VALUE"""),0.08)</f>
        <v>0.08</v>
      </c>
      <c r="D228" s="1">
        <f>IFERROR(__xludf.DUMMYFUNCTION("""COMPUTED_VALUE"""),0.07)</f>
        <v>0.07</v>
      </c>
      <c r="E228" s="1">
        <f>IFERROR(__xludf.DUMMYFUNCTION("""COMPUTED_VALUE"""),0.07)</f>
        <v>0.07</v>
      </c>
      <c r="F228" s="1">
        <f>IFERROR(__xludf.DUMMYFUNCTION("""COMPUTED_VALUE"""),1.122078E7)</f>
        <v>11220780</v>
      </c>
      <c r="G228" s="2" t="s">
        <v>2</v>
      </c>
    </row>
    <row r="229">
      <c r="A229" s="3">
        <f>IFERROR(__xludf.DUMMYFUNCTION("""COMPUTED_VALUE"""),44909.66666666667)</f>
        <v>44909.66667</v>
      </c>
      <c r="B229" s="1">
        <f>IFERROR(__xludf.DUMMYFUNCTION("""COMPUTED_VALUE"""),0.07)</f>
        <v>0.07</v>
      </c>
      <c r="C229" s="1">
        <f>IFERROR(__xludf.DUMMYFUNCTION("""COMPUTED_VALUE"""),0.08)</f>
        <v>0.08</v>
      </c>
      <c r="D229" s="1">
        <f>IFERROR(__xludf.DUMMYFUNCTION("""COMPUTED_VALUE"""),0.07)</f>
        <v>0.07</v>
      </c>
      <c r="E229" s="1">
        <f>IFERROR(__xludf.DUMMYFUNCTION("""COMPUTED_VALUE"""),0.07)</f>
        <v>0.07</v>
      </c>
      <c r="F229" s="1">
        <f>IFERROR(__xludf.DUMMYFUNCTION("""COMPUTED_VALUE"""),5765148.0)</f>
        <v>5765148</v>
      </c>
      <c r="G229" s="2" t="s">
        <v>2</v>
      </c>
    </row>
    <row r="230">
      <c r="A230" s="3">
        <f>IFERROR(__xludf.DUMMYFUNCTION("""COMPUTED_VALUE"""),44910.66666666667)</f>
        <v>44910.66667</v>
      </c>
      <c r="B230" s="1">
        <f>IFERROR(__xludf.DUMMYFUNCTION("""COMPUTED_VALUE"""),0.07)</f>
        <v>0.07</v>
      </c>
      <c r="C230" s="1">
        <f>IFERROR(__xludf.DUMMYFUNCTION("""COMPUTED_VALUE"""),0.07)</f>
        <v>0.07</v>
      </c>
      <c r="D230" s="1">
        <f>IFERROR(__xludf.DUMMYFUNCTION("""COMPUTED_VALUE"""),0.07)</f>
        <v>0.07</v>
      </c>
      <c r="E230" s="1">
        <f>IFERROR(__xludf.DUMMYFUNCTION("""COMPUTED_VALUE"""),0.07)</f>
        <v>0.07</v>
      </c>
      <c r="F230" s="1">
        <f>IFERROR(__xludf.DUMMYFUNCTION("""COMPUTED_VALUE"""),2001977.0)</f>
        <v>2001977</v>
      </c>
      <c r="G230" s="2" t="s">
        <v>2</v>
      </c>
    </row>
    <row r="231">
      <c r="A231" s="3">
        <f>IFERROR(__xludf.DUMMYFUNCTION("""COMPUTED_VALUE"""),44911.66666666667)</f>
        <v>44911.66667</v>
      </c>
      <c r="B231" s="1">
        <f>IFERROR(__xludf.DUMMYFUNCTION("""COMPUTED_VALUE"""),0.07)</f>
        <v>0.07</v>
      </c>
      <c r="C231" s="1">
        <f>IFERROR(__xludf.DUMMYFUNCTION("""COMPUTED_VALUE"""),0.07)</f>
        <v>0.07</v>
      </c>
      <c r="D231" s="1">
        <f>IFERROR(__xludf.DUMMYFUNCTION("""COMPUTED_VALUE"""),0.07)</f>
        <v>0.07</v>
      </c>
      <c r="E231" s="1">
        <f>IFERROR(__xludf.DUMMYFUNCTION("""COMPUTED_VALUE"""),0.07)</f>
        <v>0.07</v>
      </c>
      <c r="F231" s="1">
        <f>IFERROR(__xludf.DUMMYFUNCTION("""COMPUTED_VALUE"""),3953935.0)</f>
        <v>3953935</v>
      </c>
      <c r="G231" s="2" t="s">
        <v>2</v>
      </c>
    </row>
    <row r="232">
      <c r="A232" s="3">
        <f>IFERROR(__xludf.DUMMYFUNCTION("""COMPUTED_VALUE"""),44914.66666666667)</f>
        <v>44914.66667</v>
      </c>
      <c r="B232" s="1">
        <f>IFERROR(__xludf.DUMMYFUNCTION("""COMPUTED_VALUE"""),0.07)</f>
        <v>0.07</v>
      </c>
      <c r="C232" s="1">
        <f>IFERROR(__xludf.DUMMYFUNCTION("""COMPUTED_VALUE"""),0.07)</f>
        <v>0.07</v>
      </c>
      <c r="D232" s="1">
        <f>IFERROR(__xludf.DUMMYFUNCTION("""COMPUTED_VALUE"""),0.07)</f>
        <v>0.07</v>
      </c>
      <c r="E232" s="1">
        <f>IFERROR(__xludf.DUMMYFUNCTION("""COMPUTED_VALUE"""),0.07)</f>
        <v>0.07</v>
      </c>
      <c r="F232" s="1">
        <f>IFERROR(__xludf.DUMMYFUNCTION("""COMPUTED_VALUE"""),2781752.0)</f>
        <v>2781752</v>
      </c>
      <c r="G232" s="2" t="s">
        <v>2</v>
      </c>
    </row>
    <row r="233">
      <c r="A233" s="3">
        <f>IFERROR(__xludf.DUMMYFUNCTION("""COMPUTED_VALUE"""),44915.66666666667)</f>
        <v>44915.66667</v>
      </c>
      <c r="B233" s="1">
        <f>IFERROR(__xludf.DUMMYFUNCTION("""COMPUTED_VALUE"""),0.07)</f>
        <v>0.07</v>
      </c>
      <c r="C233" s="1">
        <f>IFERROR(__xludf.DUMMYFUNCTION("""COMPUTED_VALUE"""),0.07)</f>
        <v>0.07</v>
      </c>
      <c r="D233" s="1">
        <f>IFERROR(__xludf.DUMMYFUNCTION("""COMPUTED_VALUE"""),0.07)</f>
        <v>0.07</v>
      </c>
      <c r="E233" s="1">
        <f>IFERROR(__xludf.DUMMYFUNCTION("""COMPUTED_VALUE"""),0.07)</f>
        <v>0.07</v>
      </c>
      <c r="F233" s="1">
        <f>IFERROR(__xludf.DUMMYFUNCTION("""COMPUTED_VALUE"""),3079533.0)</f>
        <v>3079533</v>
      </c>
      <c r="G233" s="2" t="s">
        <v>2</v>
      </c>
    </row>
    <row r="234">
      <c r="A234" s="3">
        <f>IFERROR(__xludf.DUMMYFUNCTION("""COMPUTED_VALUE"""),44916.66666666667)</f>
        <v>44916.66667</v>
      </c>
      <c r="B234" s="1">
        <f>IFERROR(__xludf.DUMMYFUNCTION("""COMPUTED_VALUE"""),0.07)</f>
        <v>0.07</v>
      </c>
      <c r="C234" s="1">
        <f>IFERROR(__xludf.DUMMYFUNCTION("""COMPUTED_VALUE"""),0.07)</f>
        <v>0.07</v>
      </c>
      <c r="D234" s="1">
        <f>IFERROR(__xludf.DUMMYFUNCTION("""COMPUTED_VALUE"""),0.07)</f>
        <v>0.07</v>
      </c>
      <c r="E234" s="1">
        <f>IFERROR(__xludf.DUMMYFUNCTION("""COMPUTED_VALUE"""),0.07)</f>
        <v>0.07</v>
      </c>
      <c r="F234" s="1">
        <f>IFERROR(__xludf.DUMMYFUNCTION("""COMPUTED_VALUE"""),1920380.0)</f>
        <v>1920380</v>
      </c>
      <c r="G234" s="2" t="s">
        <v>2</v>
      </c>
    </row>
    <row r="235">
      <c r="A235" s="3">
        <f>IFERROR(__xludf.DUMMYFUNCTION("""COMPUTED_VALUE"""),44917.66666666667)</f>
        <v>44917.66667</v>
      </c>
      <c r="B235" s="1">
        <f>IFERROR(__xludf.DUMMYFUNCTION("""COMPUTED_VALUE"""),0.07)</f>
        <v>0.07</v>
      </c>
      <c r="C235" s="1">
        <f>IFERROR(__xludf.DUMMYFUNCTION("""COMPUTED_VALUE"""),0.07)</f>
        <v>0.07</v>
      </c>
      <c r="D235" s="1">
        <f>IFERROR(__xludf.DUMMYFUNCTION("""COMPUTED_VALUE"""),0.07)</f>
        <v>0.07</v>
      </c>
      <c r="E235" s="1">
        <f>IFERROR(__xludf.DUMMYFUNCTION("""COMPUTED_VALUE"""),0.07)</f>
        <v>0.07</v>
      </c>
      <c r="F235" s="1">
        <f>IFERROR(__xludf.DUMMYFUNCTION("""COMPUTED_VALUE"""),365794.0)</f>
        <v>365794</v>
      </c>
      <c r="G235" s="2" t="s">
        <v>2</v>
      </c>
    </row>
    <row r="236">
      <c r="A236" s="3">
        <f>IFERROR(__xludf.DUMMYFUNCTION("""COMPUTED_VALUE"""),44918.66666666667)</f>
        <v>44918.66667</v>
      </c>
      <c r="B236" s="1">
        <f>IFERROR(__xludf.DUMMYFUNCTION("""COMPUTED_VALUE"""),0.07)</f>
        <v>0.07</v>
      </c>
      <c r="C236" s="1">
        <f>IFERROR(__xludf.DUMMYFUNCTION("""COMPUTED_VALUE"""),0.07)</f>
        <v>0.07</v>
      </c>
      <c r="D236" s="1">
        <f>IFERROR(__xludf.DUMMYFUNCTION("""COMPUTED_VALUE"""),0.07)</f>
        <v>0.07</v>
      </c>
      <c r="E236" s="1">
        <f>IFERROR(__xludf.DUMMYFUNCTION("""COMPUTED_VALUE"""),0.07)</f>
        <v>0.07</v>
      </c>
      <c r="F236" s="1">
        <f>IFERROR(__xludf.DUMMYFUNCTION("""COMPUTED_VALUE"""),348379.0)</f>
        <v>348379</v>
      </c>
      <c r="G236" s="2" t="s">
        <v>2</v>
      </c>
    </row>
    <row r="237">
      <c r="A237" s="3">
        <f>IFERROR(__xludf.DUMMYFUNCTION("""COMPUTED_VALUE"""),44923.66666666667)</f>
        <v>44923.66667</v>
      </c>
      <c r="B237" s="1">
        <f>IFERROR(__xludf.DUMMYFUNCTION("""COMPUTED_VALUE"""),0.07)</f>
        <v>0.07</v>
      </c>
      <c r="C237" s="1">
        <f>IFERROR(__xludf.DUMMYFUNCTION("""COMPUTED_VALUE"""),0.07)</f>
        <v>0.07</v>
      </c>
      <c r="D237" s="1">
        <f>IFERROR(__xludf.DUMMYFUNCTION("""COMPUTED_VALUE"""),0.07)</f>
        <v>0.07</v>
      </c>
      <c r="E237" s="1">
        <f>IFERROR(__xludf.DUMMYFUNCTION("""COMPUTED_VALUE"""),0.07)</f>
        <v>0.07</v>
      </c>
      <c r="F237" s="1">
        <f>IFERROR(__xludf.DUMMYFUNCTION("""COMPUTED_VALUE"""),527138.0)</f>
        <v>527138</v>
      </c>
      <c r="G237" s="2" t="s">
        <v>2</v>
      </c>
    </row>
    <row r="238">
      <c r="A238" s="3">
        <f>IFERROR(__xludf.DUMMYFUNCTION("""COMPUTED_VALUE"""),44924.66666666667)</f>
        <v>44924.66667</v>
      </c>
      <c r="B238" s="1">
        <f>IFERROR(__xludf.DUMMYFUNCTION("""COMPUTED_VALUE"""),0.07)</f>
        <v>0.07</v>
      </c>
      <c r="C238" s="1">
        <f>IFERROR(__xludf.DUMMYFUNCTION("""COMPUTED_VALUE"""),0.07)</f>
        <v>0.07</v>
      </c>
      <c r="D238" s="1">
        <f>IFERROR(__xludf.DUMMYFUNCTION("""COMPUTED_VALUE"""),0.07)</f>
        <v>0.07</v>
      </c>
      <c r="E238" s="1">
        <f>IFERROR(__xludf.DUMMYFUNCTION("""COMPUTED_VALUE"""),0.07)</f>
        <v>0.07</v>
      </c>
      <c r="F238" s="1">
        <f>IFERROR(__xludf.DUMMYFUNCTION("""COMPUTED_VALUE"""),321858.0)</f>
        <v>321858</v>
      </c>
      <c r="G238" s="2" t="s">
        <v>2</v>
      </c>
    </row>
    <row r="239">
      <c r="A239" s="3">
        <f>IFERROR(__xludf.DUMMYFUNCTION("""COMPUTED_VALUE"""),44925.66666666667)</f>
        <v>44925.66667</v>
      </c>
      <c r="B239" s="1">
        <f>IFERROR(__xludf.DUMMYFUNCTION("""COMPUTED_VALUE"""),0.07)</f>
        <v>0.07</v>
      </c>
      <c r="C239" s="1">
        <f>IFERROR(__xludf.DUMMYFUNCTION("""COMPUTED_VALUE"""),0.07)</f>
        <v>0.07</v>
      </c>
      <c r="D239" s="1">
        <f>IFERROR(__xludf.DUMMYFUNCTION("""COMPUTED_VALUE"""),0.07)</f>
        <v>0.07</v>
      </c>
      <c r="E239" s="1">
        <f>IFERROR(__xludf.DUMMYFUNCTION("""COMPUTED_VALUE"""),0.07)</f>
        <v>0.07</v>
      </c>
      <c r="F239" s="1">
        <f>IFERROR(__xludf.DUMMYFUNCTION("""COMPUTED_VALUE"""),341321.0)</f>
        <v>341321</v>
      </c>
      <c r="G239" s="2" t="s">
        <v>2</v>
      </c>
    </row>
    <row r="240">
      <c r="A240" s="3">
        <f>IFERROR(__xludf.DUMMYFUNCTION("""COMPUTED_VALUE"""),44929.66666666667)</f>
        <v>44929.66667</v>
      </c>
      <c r="B240" s="1">
        <f>IFERROR(__xludf.DUMMYFUNCTION("""COMPUTED_VALUE"""),0.07)</f>
        <v>0.07</v>
      </c>
      <c r="C240" s="1">
        <f>IFERROR(__xludf.DUMMYFUNCTION("""COMPUTED_VALUE"""),0.08)</f>
        <v>0.08</v>
      </c>
      <c r="D240" s="1">
        <f>IFERROR(__xludf.DUMMYFUNCTION("""COMPUTED_VALUE"""),0.07)</f>
        <v>0.07</v>
      </c>
      <c r="E240" s="1">
        <f>IFERROR(__xludf.DUMMYFUNCTION("""COMPUTED_VALUE"""),0.08)</f>
        <v>0.08</v>
      </c>
      <c r="F240" s="1">
        <f>IFERROR(__xludf.DUMMYFUNCTION("""COMPUTED_VALUE"""),2355948.0)</f>
        <v>2355948</v>
      </c>
      <c r="G240" s="2" t="s">
        <v>2</v>
      </c>
    </row>
    <row r="241">
      <c r="A241" s="3">
        <f>IFERROR(__xludf.DUMMYFUNCTION("""COMPUTED_VALUE"""),44930.66666666667)</f>
        <v>44930.66667</v>
      </c>
      <c r="B241" s="1">
        <f>IFERROR(__xludf.DUMMYFUNCTION("""COMPUTED_VALUE"""),0.07)</f>
        <v>0.07</v>
      </c>
      <c r="C241" s="1">
        <f>IFERROR(__xludf.DUMMYFUNCTION("""COMPUTED_VALUE"""),0.07)</f>
        <v>0.07</v>
      </c>
      <c r="D241" s="1">
        <f>IFERROR(__xludf.DUMMYFUNCTION("""COMPUTED_VALUE"""),0.07)</f>
        <v>0.07</v>
      </c>
      <c r="E241" s="1">
        <f>IFERROR(__xludf.DUMMYFUNCTION("""COMPUTED_VALUE"""),0.07)</f>
        <v>0.07</v>
      </c>
      <c r="F241" s="1">
        <f>IFERROR(__xludf.DUMMYFUNCTION("""COMPUTED_VALUE"""),2844505.0)</f>
        <v>2844505</v>
      </c>
      <c r="G241" s="2" t="s">
        <v>2</v>
      </c>
    </row>
    <row r="242">
      <c r="A242" s="3">
        <f>IFERROR(__xludf.DUMMYFUNCTION("""COMPUTED_VALUE"""),44931.66666666667)</f>
        <v>44931.66667</v>
      </c>
      <c r="B242" s="1">
        <f>IFERROR(__xludf.DUMMYFUNCTION("""COMPUTED_VALUE"""),0.07)</f>
        <v>0.07</v>
      </c>
      <c r="C242" s="1">
        <f>IFERROR(__xludf.DUMMYFUNCTION("""COMPUTED_VALUE"""),0.08)</f>
        <v>0.08</v>
      </c>
      <c r="D242" s="1">
        <f>IFERROR(__xludf.DUMMYFUNCTION("""COMPUTED_VALUE"""),0.07)</f>
        <v>0.07</v>
      </c>
      <c r="E242" s="1">
        <f>IFERROR(__xludf.DUMMYFUNCTION("""COMPUTED_VALUE"""),0.08)</f>
        <v>0.08</v>
      </c>
      <c r="F242" s="1">
        <f>IFERROR(__xludf.DUMMYFUNCTION("""COMPUTED_VALUE"""),6600504.0)</f>
        <v>6600504</v>
      </c>
      <c r="G242" s="2" t="s">
        <v>2</v>
      </c>
    </row>
    <row r="243">
      <c r="A243" s="3">
        <f>IFERROR(__xludf.DUMMYFUNCTION("""COMPUTED_VALUE"""),44932.66666666667)</f>
        <v>44932.66667</v>
      </c>
      <c r="B243" s="1">
        <f>IFERROR(__xludf.DUMMYFUNCTION("""COMPUTED_VALUE"""),0.07)</f>
        <v>0.07</v>
      </c>
      <c r="C243" s="1">
        <f>IFERROR(__xludf.DUMMYFUNCTION("""COMPUTED_VALUE"""),0.08)</f>
        <v>0.08</v>
      </c>
      <c r="D243" s="1">
        <f>IFERROR(__xludf.DUMMYFUNCTION("""COMPUTED_VALUE"""),0.07)</f>
        <v>0.07</v>
      </c>
      <c r="E243" s="1">
        <f>IFERROR(__xludf.DUMMYFUNCTION("""COMPUTED_VALUE"""),0.08)</f>
        <v>0.08</v>
      </c>
      <c r="F243" s="1">
        <f>IFERROR(__xludf.DUMMYFUNCTION("""COMPUTED_VALUE"""),8051419.0)</f>
        <v>8051419</v>
      </c>
      <c r="G243" s="2" t="s">
        <v>2</v>
      </c>
    </row>
    <row r="244">
      <c r="A244" s="3">
        <f>IFERROR(__xludf.DUMMYFUNCTION("""COMPUTED_VALUE"""),44935.66666666667)</f>
        <v>44935.66667</v>
      </c>
      <c r="B244" s="1">
        <f>IFERROR(__xludf.DUMMYFUNCTION("""COMPUTED_VALUE"""),0.09)</f>
        <v>0.09</v>
      </c>
      <c r="C244" s="1">
        <f>IFERROR(__xludf.DUMMYFUNCTION("""COMPUTED_VALUE"""),0.1)</f>
        <v>0.1</v>
      </c>
      <c r="D244" s="1">
        <f>IFERROR(__xludf.DUMMYFUNCTION("""COMPUTED_VALUE"""),0.09)</f>
        <v>0.09</v>
      </c>
      <c r="E244" s="1">
        <f>IFERROR(__xludf.DUMMYFUNCTION("""COMPUTED_VALUE"""),0.09)</f>
        <v>0.09</v>
      </c>
      <c r="F244" s="1">
        <f>IFERROR(__xludf.DUMMYFUNCTION("""COMPUTED_VALUE"""),2.8563728E7)</f>
        <v>28563728</v>
      </c>
      <c r="G244" s="2" t="s">
        <v>2</v>
      </c>
    </row>
    <row r="245">
      <c r="A245" s="3">
        <f>IFERROR(__xludf.DUMMYFUNCTION("""COMPUTED_VALUE"""),44936.66666666667)</f>
        <v>44936.66667</v>
      </c>
      <c r="B245" s="1">
        <f>IFERROR(__xludf.DUMMYFUNCTION("""COMPUTED_VALUE"""),0.09)</f>
        <v>0.09</v>
      </c>
      <c r="C245" s="1">
        <f>IFERROR(__xludf.DUMMYFUNCTION("""COMPUTED_VALUE"""),0.09)</f>
        <v>0.09</v>
      </c>
      <c r="D245" s="1">
        <f>IFERROR(__xludf.DUMMYFUNCTION("""COMPUTED_VALUE"""),0.09)</f>
        <v>0.09</v>
      </c>
      <c r="E245" s="1">
        <f>IFERROR(__xludf.DUMMYFUNCTION("""COMPUTED_VALUE"""),0.09)</f>
        <v>0.09</v>
      </c>
      <c r="F245" s="1">
        <f>IFERROR(__xludf.DUMMYFUNCTION("""COMPUTED_VALUE"""),9230286.0)</f>
        <v>9230286</v>
      </c>
      <c r="G245" s="2" t="s">
        <v>2</v>
      </c>
    </row>
    <row r="246">
      <c r="A246" s="3">
        <f>IFERROR(__xludf.DUMMYFUNCTION("""COMPUTED_VALUE"""),44937.66666666667)</f>
        <v>44937.66667</v>
      </c>
      <c r="B246" s="1">
        <f>IFERROR(__xludf.DUMMYFUNCTION("""COMPUTED_VALUE"""),0.09)</f>
        <v>0.09</v>
      </c>
      <c r="C246" s="1">
        <f>IFERROR(__xludf.DUMMYFUNCTION("""COMPUTED_VALUE"""),0.11)</f>
        <v>0.11</v>
      </c>
      <c r="D246" s="1">
        <f>IFERROR(__xludf.DUMMYFUNCTION("""COMPUTED_VALUE"""),0.09)</f>
        <v>0.09</v>
      </c>
      <c r="E246" s="1">
        <f>IFERROR(__xludf.DUMMYFUNCTION("""COMPUTED_VALUE"""),0.1)</f>
        <v>0.1</v>
      </c>
      <c r="F246" s="1">
        <f>IFERROR(__xludf.DUMMYFUNCTION("""COMPUTED_VALUE"""),1.8386709E7)</f>
        <v>18386709</v>
      </c>
      <c r="G246" s="2" t="s">
        <v>2</v>
      </c>
    </row>
    <row r="247">
      <c r="A247" s="3">
        <f>IFERROR(__xludf.DUMMYFUNCTION("""COMPUTED_VALUE"""),44938.66666666667)</f>
        <v>44938.66667</v>
      </c>
      <c r="B247" s="1">
        <f>IFERROR(__xludf.DUMMYFUNCTION("""COMPUTED_VALUE"""),0.1)</f>
        <v>0.1</v>
      </c>
      <c r="C247" s="1">
        <f>IFERROR(__xludf.DUMMYFUNCTION("""COMPUTED_VALUE"""),0.1)</f>
        <v>0.1</v>
      </c>
      <c r="D247" s="1">
        <f>IFERROR(__xludf.DUMMYFUNCTION("""COMPUTED_VALUE"""),0.09)</f>
        <v>0.09</v>
      </c>
      <c r="E247" s="1">
        <f>IFERROR(__xludf.DUMMYFUNCTION("""COMPUTED_VALUE"""),0.09)</f>
        <v>0.09</v>
      </c>
      <c r="F247" s="1">
        <f>IFERROR(__xludf.DUMMYFUNCTION("""COMPUTED_VALUE"""),8932509.0)</f>
        <v>8932509</v>
      </c>
      <c r="G247" s="2" t="s">
        <v>2</v>
      </c>
    </row>
    <row r="248">
      <c r="A248" s="3">
        <f>IFERROR(__xludf.DUMMYFUNCTION("""COMPUTED_VALUE"""),44939.66666666667)</f>
        <v>44939.66667</v>
      </c>
      <c r="B248" s="1">
        <f>IFERROR(__xludf.DUMMYFUNCTION("""COMPUTED_VALUE"""),0.09)</f>
        <v>0.09</v>
      </c>
      <c r="C248" s="1">
        <f>IFERROR(__xludf.DUMMYFUNCTION("""COMPUTED_VALUE"""),0.11)</f>
        <v>0.11</v>
      </c>
      <c r="D248" s="1">
        <f>IFERROR(__xludf.DUMMYFUNCTION("""COMPUTED_VALUE"""),0.09)</f>
        <v>0.09</v>
      </c>
      <c r="E248" s="1">
        <f>IFERROR(__xludf.DUMMYFUNCTION("""COMPUTED_VALUE"""),0.11)</f>
        <v>0.11</v>
      </c>
      <c r="F248" s="1">
        <f>IFERROR(__xludf.DUMMYFUNCTION("""COMPUTED_VALUE"""),1.3276189E7)</f>
        <v>13276189</v>
      </c>
      <c r="G248" s="2" t="s">
        <v>2</v>
      </c>
    </row>
    <row r="249">
      <c r="A249" s="3">
        <f>IFERROR(__xludf.DUMMYFUNCTION("""COMPUTED_VALUE"""),44942.66666666667)</f>
        <v>44942.66667</v>
      </c>
      <c r="B249" s="1">
        <f>IFERROR(__xludf.DUMMYFUNCTION("""COMPUTED_VALUE"""),0.11)</f>
        <v>0.11</v>
      </c>
      <c r="C249" s="1">
        <f>IFERROR(__xludf.DUMMYFUNCTION("""COMPUTED_VALUE"""),0.12)</f>
        <v>0.12</v>
      </c>
      <c r="D249" s="1">
        <f>IFERROR(__xludf.DUMMYFUNCTION("""COMPUTED_VALUE"""),0.11)</f>
        <v>0.11</v>
      </c>
      <c r="E249" s="1">
        <f>IFERROR(__xludf.DUMMYFUNCTION("""COMPUTED_VALUE"""),0.11)</f>
        <v>0.11</v>
      </c>
      <c r="F249" s="1">
        <f>IFERROR(__xludf.DUMMYFUNCTION("""COMPUTED_VALUE"""),1.5544991E7)</f>
        <v>15544991</v>
      </c>
      <c r="G249" s="2" t="s">
        <v>2</v>
      </c>
    </row>
    <row r="250">
      <c r="A250" s="3">
        <f>IFERROR(__xludf.DUMMYFUNCTION("""COMPUTED_VALUE"""),44943.66666666667)</f>
        <v>44943.66667</v>
      </c>
      <c r="B250" s="1">
        <f>IFERROR(__xludf.DUMMYFUNCTION("""COMPUTED_VALUE"""),0.11)</f>
        <v>0.11</v>
      </c>
      <c r="C250" s="1">
        <f>IFERROR(__xludf.DUMMYFUNCTION("""COMPUTED_VALUE"""),0.13)</f>
        <v>0.13</v>
      </c>
      <c r="D250" s="1">
        <f>IFERROR(__xludf.DUMMYFUNCTION("""COMPUTED_VALUE"""),0.11)</f>
        <v>0.11</v>
      </c>
      <c r="E250" s="1">
        <f>IFERROR(__xludf.DUMMYFUNCTION("""COMPUTED_VALUE"""),0.12)</f>
        <v>0.12</v>
      </c>
      <c r="F250" s="1">
        <f>IFERROR(__xludf.DUMMYFUNCTION("""COMPUTED_VALUE"""),8961941.0)</f>
        <v>8961941</v>
      </c>
      <c r="G250" s="2" t="s">
        <v>2</v>
      </c>
    </row>
    <row r="251">
      <c r="A251" s="3">
        <f>IFERROR(__xludf.DUMMYFUNCTION("""COMPUTED_VALUE"""),44944.66666666667)</f>
        <v>44944.66667</v>
      </c>
      <c r="B251" s="1">
        <f>IFERROR(__xludf.DUMMYFUNCTION("""COMPUTED_VALUE"""),0.12)</f>
        <v>0.12</v>
      </c>
      <c r="C251" s="1">
        <f>IFERROR(__xludf.DUMMYFUNCTION("""COMPUTED_VALUE"""),0.12)</f>
        <v>0.12</v>
      </c>
      <c r="D251" s="1">
        <f>IFERROR(__xludf.DUMMYFUNCTION("""COMPUTED_VALUE"""),0.11)</f>
        <v>0.11</v>
      </c>
      <c r="E251" s="1">
        <f>IFERROR(__xludf.DUMMYFUNCTION("""COMPUTED_VALUE"""),0.11)</f>
        <v>0.11</v>
      </c>
      <c r="F251" s="1">
        <f>IFERROR(__xludf.DUMMYFUNCTION("""COMPUTED_VALUE"""),6219012.0)</f>
        <v>6219012</v>
      </c>
      <c r="G251" s="2" t="s">
        <v>2</v>
      </c>
    </row>
    <row r="252">
      <c r="A252" s="3">
        <f>IFERROR(__xludf.DUMMYFUNCTION("""COMPUTED_VALUE"""),44945.66666666667)</f>
        <v>44945.66667</v>
      </c>
      <c r="B252" s="1">
        <f>IFERROR(__xludf.DUMMYFUNCTION("""COMPUTED_VALUE"""),0.11)</f>
        <v>0.11</v>
      </c>
      <c r="C252" s="1">
        <f>IFERROR(__xludf.DUMMYFUNCTION("""COMPUTED_VALUE"""),0.19)</f>
        <v>0.19</v>
      </c>
      <c r="D252" s="1">
        <f>IFERROR(__xludf.DUMMYFUNCTION("""COMPUTED_VALUE"""),0.11)</f>
        <v>0.11</v>
      </c>
      <c r="E252" s="1">
        <f>IFERROR(__xludf.DUMMYFUNCTION("""COMPUTED_VALUE"""),0.16)</f>
        <v>0.16</v>
      </c>
      <c r="F252" s="1">
        <f>IFERROR(__xludf.DUMMYFUNCTION("""COMPUTED_VALUE"""),3.2403283E7)</f>
        <v>32403283</v>
      </c>
      <c r="G252" s="2" t="s">
        <v>2</v>
      </c>
    </row>
    <row r="253">
      <c r="A253" s="3">
        <f>IFERROR(__xludf.DUMMYFUNCTION("""COMPUTED_VALUE"""),44946.66666666667)</f>
        <v>44946.66667</v>
      </c>
      <c r="B253" s="1">
        <f>IFERROR(__xludf.DUMMYFUNCTION("""COMPUTED_VALUE"""),0.18)</f>
        <v>0.18</v>
      </c>
      <c r="C253" s="1">
        <f>IFERROR(__xludf.DUMMYFUNCTION("""COMPUTED_VALUE"""),0.23)</f>
        <v>0.23</v>
      </c>
      <c r="D253" s="1">
        <f>IFERROR(__xludf.DUMMYFUNCTION("""COMPUTED_VALUE"""),0.17)</f>
        <v>0.17</v>
      </c>
      <c r="E253" s="1">
        <f>IFERROR(__xludf.DUMMYFUNCTION("""COMPUTED_VALUE"""),0.19)</f>
        <v>0.19</v>
      </c>
      <c r="F253" s="1">
        <f>IFERROR(__xludf.DUMMYFUNCTION("""COMPUTED_VALUE"""),3.4917707E7)</f>
        <v>34917707</v>
      </c>
      <c r="G253" s="2" t="s">
        <v>2</v>
      </c>
    </row>
    <row r="254">
      <c r="A254" s="3">
        <f>IFERROR(__xludf.DUMMYFUNCTION("""COMPUTED_VALUE"""),44949.66666666667)</f>
        <v>44949.66667</v>
      </c>
      <c r="B254" s="1">
        <f>IFERROR(__xludf.DUMMYFUNCTION("""COMPUTED_VALUE"""),0.21)</f>
        <v>0.21</v>
      </c>
      <c r="C254" s="1">
        <f>IFERROR(__xludf.DUMMYFUNCTION("""COMPUTED_VALUE"""),0.23)</f>
        <v>0.23</v>
      </c>
      <c r="D254" s="1">
        <f>IFERROR(__xludf.DUMMYFUNCTION("""COMPUTED_VALUE"""),0.18)</f>
        <v>0.18</v>
      </c>
      <c r="E254" s="1">
        <f>IFERROR(__xludf.DUMMYFUNCTION("""COMPUTED_VALUE"""),0.19)</f>
        <v>0.19</v>
      </c>
      <c r="F254" s="1">
        <f>IFERROR(__xludf.DUMMYFUNCTION("""COMPUTED_VALUE"""),2.6047845E7)</f>
        <v>26047845</v>
      </c>
      <c r="G254" s="2" t="s">
        <v>2</v>
      </c>
    </row>
    <row r="255">
      <c r="A255" s="3">
        <f>IFERROR(__xludf.DUMMYFUNCTION("""COMPUTED_VALUE"""),44950.66666666667)</f>
        <v>44950.66667</v>
      </c>
      <c r="B255" s="1">
        <f>IFERROR(__xludf.DUMMYFUNCTION("""COMPUTED_VALUE"""),0.19)</f>
        <v>0.19</v>
      </c>
      <c r="C255" s="1">
        <f>IFERROR(__xludf.DUMMYFUNCTION("""COMPUTED_VALUE"""),0.19)</f>
        <v>0.19</v>
      </c>
      <c r="D255" s="1">
        <f>IFERROR(__xludf.DUMMYFUNCTION("""COMPUTED_VALUE"""),0.16)</f>
        <v>0.16</v>
      </c>
      <c r="E255" s="1">
        <f>IFERROR(__xludf.DUMMYFUNCTION("""COMPUTED_VALUE"""),0.16)</f>
        <v>0.16</v>
      </c>
      <c r="F255" s="1">
        <f>IFERROR(__xludf.DUMMYFUNCTION("""COMPUTED_VALUE"""),1.054366E7)</f>
        <v>10543660</v>
      </c>
      <c r="G255" s="2" t="s">
        <v>2</v>
      </c>
    </row>
    <row r="256">
      <c r="A256" s="3">
        <f>IFERROR(__xludf.DUMMYFUNCTION("""COMPUTED_VALUE"""),44951.66666666667)</f>
        <v>44951.66667</v>
      </c>
      <c r="B256" s="1">
        <f>IFERROR(__xludf.DUMMYFUNCTION("""COMPUTED_VALUE"""),0.14)</f>
        <v>0.14</v>
      </c>
      <c r="C256" s="1">
        <f>IFERROR(__xludf.DUMMYFUNCTION("""COMPUTED_VALUE"""),0.18)</f>
        <v>0.18</v>
      </c>
      <c r="D256" s="1">
        <f>IFERROR(__xludf.DUMMYFUNCTION("""COMPUTED_VALUE"""),0.14)</f>
        <v>0.14</v>
      </c>
      <c r="E256" s="1">
        <f>IFERROR(__xludf.DUMMYFUNCTION("""COMPUTED_VALUE"""),0.17)</f>
        <v>0.17</v>
      </c>
      <c r="F256" s="1">
        <f>IFERROR(__xludf.DUMMYFUNCTION("""COMPUTED_VALUE"""),2.1679758E7)</f>
        <v>21679758</v>
      </c>
      <c r="G256" s="2" t="s">
        <v>2</v>
      </c>
    </row>
    <row r="257">
      <c r="A257" s="3">
        <f>IFERROR(__xludf.DUMMYFUNCTION("""COMPUTED_VALUE"""),44953.66666666667)</f>
        <v>44953.66667</v>
      </c>
      <c r="B257" s="1">
        <f>IFERROR(__xludf.DUMMYFUNCTION("""COMPUTED_VALUE"""),0.17)</f>
        <v>0.17</v>
      </c>
      <c r="C257" s="1">
        <f>IFERROR(__xludf.DUMMYFUNCTION("""COMPUTED_VALUE"""),0.19)</f>
        <v>0.19</v>
      </c>
      <c r="D257" s="1">
        <f>IFERROR(__xludf.DUMMYFUNCTION("""COMPUTED_VALUE"""),0.15)</f>
        <v>0.15</v>
      </c>
      <c r="E257" s="1">
        <f>IFERROR(__xludf.DUMMYFUNCTION("""COMPUTED_VALUE"""),0.16)</f>
        <v>0.16</v>
      </c>
      <c r="F257" s="1">
        <f>IFERROR(__xludf.DUMMYFUNCTION("""COMPUTED_VALUE"""),1.6467096E7)</f>
        <v>16467096</v>
      </c>
      <c r="G257" s="2" t="s">
        <v>2</v>
      </c>
    </row>
    <row r="258">
      <c r="A258" s="3">
        <f>IFERROR(__xludf.DUMMYFUNCTION("""COMPUTED_VALUE"""),44956.66666666667)</f>
        <v>44956.66667</v>
      </c>
      <c r="B258" s="1">
        <f>IFERROR(__xludf.DUMMYFUNCTION("""COMPUTED_VALUE"""),0.15)</f>
        <v>0.15</v>
      </c>
      <c r="C258" s="1">
        <f>IFERROR(__xludf.DUMMYFUNCTION("""COMPUTED_VALUE"""),0.16)</f>
        <v>0.16</v>
      </c>
      <c r="D258" s="1">
        <f>IFERROR(__xludf.DUMMYFUNCTION("""COMPUTED_VALUE"""),0.14)</f>
        <v>0.14</v>
      </c>
      <c r="E258" s="1">
        <f>IFERROR(__xludf.DUMMYFUNCTION("""COMPUTED_VALUE"""),0.14)</f>
        <v>0.14</v>
      </c>
      <c r="F258" s="1">
        <f>IFERROR(__xludf.DUMMYFUNCTION("""COMPUTED_VALUE"""),6888255.0)</f>
        <v>6888255</v>
      </c>
      <c r="G258" s="2" t="s">
        <v>2</v>
      </c>
    </row>
    <row r="259">
      <c r="A259" s="3">
        <f>IFERROR(__xludf.DUMMYFUNCTION("""COMPUTED_VALUE"""),44957.66666666667)</f>
        <v>44957.66667</v>
      </c>
      <c r="B259" s="1">
        <f>IFERROR(__xludf.DUMMYFUNCTION("""COMPUTED_VALUE"""),0.14)</f>
        <v>0.14</v>
      </c>
      <c r="C259" s="1">
        <f>IFERROR(__xludf.DUMMYFUNCTION("""COMPUTED_VALUE"""),0.16)</f>
        <v>0.16</v>
      </c>
      <c r="D259" s="1">
        <f>IFERROR(__xludf.DUMMYFUNCTION("""COMPUTED_VALUE"""),0.14)</f>
        <v>0.14</v>
      </c>
      <c r="E259" s="1">
        <f>IFERROR(__xludf.DUMMYFUNCTION("""COMPUTED_VALUE"""),0.14)</f>
        <v>0.14</v>
      </c>
      <c r="F259" s="1">
        <f>IFERROR(__xludf.DUMMYFUNCTION("""COMPUTED_VALUE"""),5036230.0)</f>
        <v>5036230</v>
      </c>
      <c r="G259" s="2" t="s">
        <v>2</v>
      </c>
    </row>
    <row r="260">
      <c r="A260" s="3">
        <f>IFERROR(__xludf.DUMMYFUNCTION("""COMPUTED_VALUE"""),44958.66666666667)</f>
        <v>44958.66667</v>
      </c>
      <c r="B260" s="1">
        <f>IFERROR(__xludf.DUMMYFUNCTION("""COMPUTED_VALUE"""),0.14)</f>
        <v>0.14</v>
      </c>
      <c r="C260" s="1">
        <f>IFERROR(__xludf.DUMMYFUNCTION("""COMPUTED_VALUE"""),0.16)</f>
        <v>0.16</v>
      </c>
      <c r="D260" s="1">
        <f>IFERROR(__xludf.DUMMYFUNCTION("""COMPUTED_VALUE"""),0.14)</f>
        <v>0.14</v>
      </c>
      <c r="E260" s="1">
        <f>IFERROR(__xludf.DUMMYFUNCTION("""COMPUTED_VALUE"""),0.14)</f>
        <v>0.14</v>
      </c>
      <c r="F260" s="1">
        <f>IFERROR(__xludf.DUMMYFUNCTION("""COMPUTED_VALUE"""),6399151.0)</f>
        <v>6399151</v>
      </c>
      <c r="G260" s="2" t="s">
        <v>2</v>
      </c>
    </row>
    <row r="261">
      <c r="A261" s="3">
        <f>IFERROR(__xludf.DUMMYFUNCTION("""COMPUTED_VALUE"""),44959.66666666667)</f>
        <v>44959.66667</v>
      </c>
      <c r="B261" s="1">
        <f>IFERROR(__xludf.DUMMYFUNCTION("""COMPUTED_VALUE"""),0.14)</f>
        <v>0.14</v>
      </c>
      <c r="C261" s="1">
        <f>IFERROR(__xludf.DUMMYFUNCTION("""COMPUTED_VALUE"""),0.14)</f>
        <v>0.14</v>
      </c>
      <c r="D261" s="1">
        <f>IFERROR(__xludf.DUMMYFUNCTION("""COMPUTED_VALUE"""),0.13)</f>
        <v>0.13</v>
      </c>
      <c r="E261" s="1">
        <f>IFERROR(__xludf.DUMMYFUNCTION("""COMPUTED_VALUE"""),0.13)</f>
        <v>0.13</v>
      </c>
      <c r="F261" s="1">
        <f>IFERROR(__xludf.DUMMYFUNCTION("""COMPUTED_VALUE"""),7971909.0)</f>
        <v>7971909</v>
      </c>
      <c r="G261" s="2" t="s">
        <v>2</v>
      </c>
    </row>
    <row r="262">
      <c r="A262" s="3">
        <f>IFERROR(__xludf.DUMMYFUNCTION("""COMPUTED_VALUE"""),44960.66666666667)</f>
        <v>44960.66667</v>
      </c>
      <c r="B262" s="1">
        <f>IFERROR(__xludf.DUMMYFUNCTION("""COMPUTED_VALUE"""),0.13)</f>
        <v>0.13</v>
      </c>
      <c r="C262" s="1">
        <f>IFERROR(__xludf.DUMMYFUNCTION("""COMPUTED_VALUE"""),0.14)</f>
        <v>0.14</v>
      </c>
      <c r="D262" s="1">
        <f>IFERROR(__xludf.DUMMYFUNCTION("""COMPUTED_VALUE"""),0.13)</f>
        <v>0.13</v>
      </c>
      <c r="E262" s="1">
        <f>IFERROR(__xludf.DUMMYFUNCTION("""COMPUTED_VALUE"""),0.14)</f>
        <v>0.14</v>
      </c>
      <c r="F262" s="1">
        <f>IFERROR(__xludf.DUMMYFUNCTION("""COMPUTED_VALUE"""),3509902.0)</f>
        <v>3509902</v>
      </c>
      <c r="G262" s="2" t="s">
        <v>2</v>
      </c>
    </row>
    <row r="263">
      <c r="A263" s="3">
        <f>IFERROR(__xludf.DUMMYFUNCTION("""COMPUTED_VALUE"""),44963.66666666667)</f>
        <v>44963.66667</v>
      </c>
      <c r="B263" s="1">
        <f>IFERROR(__xludf.DUMMYFUNCTION("""COMPUTED_VALUE"""),0.14)</f>
        <v>0.14</v>
      </c>
      <c r="C263" s="1">
        <f>IFERROR(__xludf.DUMMYFUNCTION("""COMPUTED_VALUE"""),0.15)</f>
        <v>0.15</v>
      </c>
      <c r="D263" s="1">
        <f>IFERROR(__xludf.DUMMYFUNCTION("""COMPUTED_VALUE"""),0.13)</f>
        <v>0.13</v>
      </c>
      <c r="E263" s="1">
        <f>IFERROR(__xludf.DUMMYFUNCTION("""COMPUTED_VALUE"""),0.14)</f>
        <v>0.14</v>
      </c>
      <c r="F263" s="1">
        <f>IFERROR(__xludf.DUMMYFUNCTION("""COMPUTED_VALUE"""),4044891.0)</f>
        <v>4044891</v>
      </c>
      <c r="G263" s="2" t="s">
        <v>2</v>
      </c>
    </row>
    <row r="264">
      <c r="A264" s="3">
        <f>IFERROR(__xludf.DUMMYFUNCTION("""COMPUTED_VALUE"""),44964.66666666667)</f>
        <v>44964.66667</v>
      </c>
      <c r="B264" s="1">
        <f>IFERROR(__xludf.DUMMYFUNCTION("""COMPUTED_VALUE"""),0.14)</f>
        <v>0.14</v>
      </c>
      <c r="C264" s="1">
        <f>IFERROR(__xludf.DUMMYFUNCTION("""COMPUTED_VALUE"""),0.18)</f>
        <v>0.18</v>
      </c>
      <c r="D264" s="1">
        <f>IFERROR(__xludf.DUMMYFUNCTION("""COMPUTED_VALUE"""),0.14)</f>
        <v>0.14</v>
      </c>
      <c r="E264" s="1">
        <f>IFERROR(__xludf.DUMMYFUNCTION("""COMPUTED_VALUE"""),0.16)</f>
        <v>0.16</v>
      </c>
      <c r="F264" s="1">
        <f>IFERROR(__xludf.DUMMYFUNCTION("""COMPUTED_VALUE"""),1.2123786E7)</f>
        <v>12123786</v>
      </c>
      <c r="G264" s="2" t="s">
        <v>2</v>
      </c>
    </row>
    <row r="265">
      <c r="A265" s="3">
        <f>IFERROR(__xludf.DUMMYFUNCTION("""COMPUTED_VALUE"""),44965.66666666667)</f>
        <v>44965.66667</v>
      </c>
      <c r="B265" s="1">
        <f>IFERROR(__xludf.DUMMYFUNCTION("""COMPUTED_VALUE"""),0.17)</f>
        <v>0.17</v>
      </c>
      <c r="C265" s="1">
        <f>IFERROR(__xludf.DUMMYFUNCTION("""COMPUTED_VALUE"""),0.17)</f>
        <v>0.17</v>
      </c>
      <c r="D265" s="1">
        <f>IFERROR(__xludf.DUMMYFUNCTION("""COMPUTED_VALUE"""),0.16)</f>
        <v>0.16</v>
      </c>
      <c r="E265" s="1">
        <f>IFERROR(__xludf.DUMMYFUNCTION("""COMPUTED_VALUE"""),0.16)</f>
        <v>0.16</v>
      </c>
      <c r="F265" s="1">
        <f>IFERROR(__xludf.DUMMYFUNCTION("""COMPUTED_VALUE"""),5381817.0)</f>
        <v>5381817</v>
      </c>
      <c r="G265" s="2" t="s">
        <v>2</v>
      </c>
    </row>
    <row r="266">
      <c r="A266" s="3">
        <f>IFERROR(__xludf.DUMMYFUNCTION("""COMPUTED_VALUE"""),44966.66666666667)</f>
        <v>44966.66667</v>
      </c>
      <c r="B266" s="1">
        <f>IFERROR(__xludf.DUMMYFUNCTION("""COMPUTED_VALUE"""),0.16)</f>
        <v>0.16</v>
      </c>
      <c r="C266" s="1">
        <f>IFERROR(__xludf.DUMMYFUNCTION("""COMPUTED_VALUE"""),0.19)</f>
        <v>0.19</v>
      </c>
      <c r="D266" s="1">
        <f>IFERROR(__xludf.DUMMYFUNCTION("""COMPUTED_VALUE"""),0.15)</f>
        <v>0.15</v>
      </c>
      <c r="E266" s="1">
        <f>IFERROR(__xludf.DUMMYFUNCTION("""COMPUTED_VALUE"""),0.18)</f>
        <v>0.18</v>
      </c>
      <c r="F266" s="1">
        <f>IFERROR(__xludf.DUMMYFUNCTION("""COMPUTED_VALUE"""),1.0066291E7)</f>
        <v>10066291</v>
      </c>
      <c r="G266" s="2" t="s">
        <v>2</v>
      </c>
    </row>
    <row r="267">
      <c r="A267" s="3">
        <f>IFERROR(__xludf.DUMMYFUNCTION("""COMPUTED_VALUE"""),44967.66666666667)</f>
        <v>44967.66667</v>
      </c>
      <c r="B267" s="1">
        <f>IFERROR(__xludf.DUMMYFUNCTION("""COMPUTED_VALUE"""),0.18)</f>
        <v>0.18</v>
      </c>
      <c r="C267" s="1">
        <f>IFERROR(__xludf.DUMMYFUNCTION("""COMPUTED_VALUE"""),0.2)</f>
        <v>0.2</v>
      </c>
      <c r="D267" s="1">
        <f>IFERROR(__xludf.DUMMYFUNCTION("""COMPUTED_VALUE"""),0.18)</f>
        <v>0.18</v>
      </c>
      <c r="E267" s="1">
        <f>IFERROR(__xludf.DUMMYFUNCTION("""COMPUTED_VALUE"""),0.19)</f>
        <v>0.19</v>
      </c>
      <c r="F267" s="1">
        <f>IFERROR(__xludf.DUMMYFUNCTION("""COMPUTED_VALUE"""),9377318.0)</f>
        <v>9377318</v>
      </c>
      <c r="G267" s="2" t="s">
        <v>2</v>
      </c>
    </row>
    <row r="268">
      <c r="A268" s="3">
        <f>IFERROR(__xludf.DUMMYFUNCTION("""COMPUTED_VALUE"""),44970.66666666667)</f>
        <v>44970.66667</v>
      </c>
      <c r="B268" s="1">
        <f>IFERROR(__xludf.DUMMYFUNCTION("""COMPUTED_VALUE"""),0.2)</f>
        <v>0.2</v>
      </c>
      <c r="C268" s="1">
        <f>IFERROR(__xludf.DUMMYFUNCTION("""COMPUTED_VALUE"""),0.22)</f>
        <v>0.22</v>
      </c>
      <c r="D268" s="1">
        <f>IFERROR(__xludf.DUMMYFUNCTION("""COMPUTED_VALUE"""),0.19)</f>
        <v>0.19</v>
      </c>
      <c r="E268" s="1">
        <f>IFERROR(__xludf.DUMMYFUNCTION("""COMPUTED_VALUE"""),0.2)</f>
        <v>0.2</v>
      </c>
      <c r="F268" s="1">
        <f>IFERROR(__xludf.DUMMYFUNCTION("""COMPUTED_VALUE"""),1.2060747E7)</f>
        <v>12060747</v>
      </c>
      <c r="G268" s="2" t="s">
        <v>2</v>
      </c>
    </row>
    <row r="269">
      <c r="A269" s="3">
        <f>IFERROR(__xludf.DUMMYFUNCTION("""COMPUTED_VALUE"""),44971.66666666667)</f>
        <v>44971.66667</v>
      </c>
      <c r="B269" s="1">
        <f>IFERROR(__xludf.DUMMYFUNCTION("""COMPUTED_VALUE"""),0.2)</f>
        <v>0.2</v>
      </c>
      <c r="C269" s="1">
        <f>IFERROR(__xludf.DUMMYFUNCTION("""COMPUTED_VALUE"""),0.2)</f>
        <v>0.2</v>
      </c>
      <c r="D269" s="1">
        <f>IFERROR(__xludf.DUMMYFUNCTION("""COMPUTED_VALUE"""),0.18)</f>
        <v>0.18</v>
      </c>
      <c r="E269" s="1">
        <f>IFERROR(__xludf.DUMMYFUNCTION("""COMPUTED_VALUE"""),0.18)</f>
        <v>0.18</v>
      </c>
      <c r="F269" s="1">
        <f>IFERROR(__xludf.DUMMYFUNCTION("""COMPUTED_VALUE"""),7829838.0)</f>
        <v>7829838</v>
      </c>
      <c r="G269" s="2" t="s">
        <v>2</v>
      </c>
    </row>
    <row r="270">
      <c r="A270" s="3">
        <f>IFERROR(__xludf.DUMMYFUNCTION("""COMPUTED_VALUE"""),44972.66666666667)</f>
        <v>44972.66667</v>
      </c>
      <c r="B270" s="1">
        <f>IFERROR(__xludf.DUMMYFUNCTION("""COMPUTED_VALUE"""),0.18)</f>
        <v>0.18</v>
      </c>
      <c r="C270" s="1">
        <f>IFERROR(__xludf.DUMMYFUNCTION("""COMPUTED_VALUE"""),0.2)</f>
        <v>0.2</v>
      </c>
      <c r="D270" s="1">
        <f>IFERROR(__xludf.DUMMYFUNCTION("""COMPUTED_VALUE"""),0.17)</f>
        <v>0.17</v>
      </c>
      <c r="E270" s="1">
        <f>IFERROR(__xludf.DUMMYFUNCTION("""COMPUTED_VALUE"""),0.18)</f>
        <v>0.18</v>
      </c>
      <c r="F270" s="1">
        <f>IFERROR(__xludf.DUMMYFUNCTION("""COMPUTED_VALUE"""),7858019.0)</f>
        <v>7858019</v>
      </c>
      <c r="G270" s="2" t="s">
        <v>2</v>
      </c>
    </row>
    <row r="271">
      <c r="A271" s="3">
        <f>IFERROR(__xludf.DUMMYFUNCTION("""COMPUTED_VALUE"""),44973.66666666667)</f>
        <v>44973.66667</v>
      </c>
      <c r="B271" s="1">
        <f>IFERROR(__xludf.DUMMYFUNCTION("""COMPUTED_VALUE"""),0.18)</f>
        <v>0.18</v>
      </c>
      <c r="C271" s="1">
        <f>IFERROR(__xludf.DUMMYFUNCTION("""COMPUTED_VALUE"""),0.19)</f>
        <v>0.19</v>
      </c>
      <c r="D271" s="1">
        <f>IFERROR(__xludf.DUMMYFUNCTION("""COMPUTED_VALUE"""),0.18)</f>
        <v>0.18</v>
      </c>
      <c r="E271" s="1">
        <f>IFERROR(__xludf.DUMMYFUNCTION("""COMPUTED_VALUE"""),0.19)</f>
        <v>0.19</v>
      </c>
      <c r="F271" s="1">
        <f>IFERROR(__xludf.DUMMYFUNCTION("""COMPUTED_VALUE"""),3793980.0)</f>
        <v>3793980</v>
      </c>
      <c r="G271" s="2" t="s">
        <v>2</v>
      </c>
    </row>
    <row r="272">
      <c r="A272" s="3">
        <f>IFERROR(__xludf.DUMMYFUNCTION("""COMPUTED_VALUE"""),44974.66666666667)</f>
        <v>44974.66667</v>
      </c>
      <c r="B272" s="1">
        <f>IFERROR(__xludf.DUMMYFUNCTION("""COMPUTED_VALUE"""),0.19)</f>
        <v>0.19</v>
      </c>
      <c r="C272" s="1">
        <f>IFERROR(__xludf.DUMMYFUNCTION("""COMPUTED_VALUE"""),0.21)</f>
        <v>0.21</v>
      </c>
      <c r="D272" s="1">
        <f>IFERROR(__xludf.DUMMYFUNCTION("""COMPUTED_VALUE"""),0.19)</f>
        <v>0.19</v>
      </c>
      <c r="E272" s="1">
        <f>IFERROR(__xludf.DUMMYFUNCTION("""COMPUTED_VALUE"""),0.19)</f>
        <v>0.19</v>
      </c>
      <c r="F272" s="1">
        <f>IFERROR(__xludf.DUMMYFUNCTION("""COMPUTED_VALUE"""),1.036548E7)</f>
        <v>10365480</v>
      </c>
      <c r="G272" s="2" t="s">
        <v>2</v>
      </c>
    </row>
    <row r="273">
      <c r="A273" s="3">
        <f>IFERROR(__xludf.DUMMYFUNCTION("""COMPUTED_VALUE"""),44977.66666666667)</f>
        <v>44977.66667</v>
      </c>
      <c r="B273" s="1">
        <f>IFERROR(__xludf.DUMMYFUNCTION("""COMPUTED_VALUE"""),0.19)</f>
        <v>0.19</v>
      </c>
      <c r="C273" s="1">
        <f>IFERROR(__xludf.DUMMYFUNCTION("""COMPUTED_VALUE"""),0.21)</f>
        <v>0.21</v>
      </c>
      <c r="D273" s="1">
        <f>IFERROR(__xludf.DUMMYFUNCTION("""COMPUTED_VALUE"""),0.19)</f>
        <v>0.19</v>
      </c>
      <c r="E273" s="1">
        <f>IFERROR(__xludf.DUMMYFUNCTION("""COMPUTED_VALUE"""),0.2)</f>
        <v>0.2</v>
      </c>
      <c r="F273" s="1">
        <f>IFERROR(__xludf.DUMMYFUNCTION("""COMPUTED_VALUE"""),7255230.0)</f>
        <v>7255230</v>
      </c>
      <c r="G273" s="2" t="s">
        <v>2</v>
      </c>
    </row>
    <row r="274">
      <c r="A274" s="3">
        <f>IFERROR(__xludf.DUMMYFUNCTION("""COMPUTED_VALUE"""),44978.66666666667)</f>
        <v>44978.66667</v>
      </c>
      <c r="B274" s="1">
        <f>IFERROR(__xludf.DUMMYFUNCTION("""COMPUTED_VALUE"""),0.2)</f>
        <v>0.2</v>
      </c>
      <c r="C274" s="1">
        <f>IFERROR(__xludf.DUMMYFUNCTION("""COMPUTED_VALUE"""),0.21)</f>
        <v>0.21</v>
      </c>
      <c r="D274" s="1">
        <f>IFERROR(__xludf.DUMMYFUNCTION("""COMPUTED_VALUE"""),0.19)</f>
        <v>0.19</v>
      </c>
      <c r="E274" s="1">
        <f>IFERROR(__xludf.DUMMYFUNCTION("""COMPUTED_VALUE"""),0.19)</f>
        <v>0.19</v>
      </c>
      <c r="F274" s="1">
        <f>IFERROR(__xludf.DUMMYFUNCTION("""COMPUTED_VALUE"""),7965174.0)</f>
        <v>7965174</v>
      </c>
      <c r="G274" s="2" t="s">
        <v>2</v>
      </c>
    </row>
    <row r="275">
      <c r="A275" s="3">
        <f>IFERROR(__xludf.DUMMYFUNCTION("""COMPUTED_VALUE"""),44979.66666666667)</f>
        <v>44979.66667</v>
      </c>
      <c r="B275" s="1">
        <f>IFERROR(__xludf.DUMMYFUNCTION("""COMPUTED_VALUE"""),0.19)</f>
        <v>0.19</v>
      </c>
      <c r="C275" s="1">
        <f>IFERROR(__xludf.DUMMYFUNCTION("""COMPUTED_VALUE"""),0.19)</f>
        <v>0.19</v>
      </c>
      <c r="D275" s="1">
        <f>IFERROR(__xludf.DUMMYFUNCTION("""COMPUTED_VALUE"""),0.18)</f>
        <v>0.18</v>
      </c>
      <c r="E275" s="1">
        <f>IFERROR(__xludf.DUMMYFUNCTION("""COMPUTED_VALUE"""),0.18)</f>
        <v>0.18</v>
      </c>
      <c r="F275" s="1">
        <f>IFERROR(__xludf.DUMMYFUNCTION("""COMPUTED_VALUE"""),5984451.0)</f>
        <v>5984451</v>
      </c>
      <c r="G275" s="2" t="s">
        <v>2</v>
      </c>
    </row>
    <row r="276">
      <c r="A276" s="3">
        <f>IFERROR(__xludf.DUMMYFUNCTION("""COMPUTED_VALUE"""),44980.66666666667)</f>
        <v>44980.66667</v>
      </c>
      <c r="B276" s="1">
        <f>IFERROR(__xludf.DUMMYFUNCTION("""COMPUTED_VALUE"""),0.18)</f>
        <v>0.18</v>
      </c>
      <c r="C276" s="1">
        <f>IFERROR(__xludf.DUMMYFUNCTION("""COMPUTED_VALUE"""),0.19)</f>
        <v>0.19</v>
      </c>
      <c r="D276" s="1">
        <f>IFERROR(__xludf.DUMMYFUNCTION("""COMPUTED_VALUE"""),0.17)</f>
        <v>0.17</v>
      </c>
      <c r="E276" s="1">
        <f>IFERROR(__xludf.DUMMYFUNCTION("""COMPUTED_VALUE"""),0.17)</f>
        <v>0.17</v>
      </c>
      <c r="F276" s="1">
        <f>IFERROR(__xludf.DUMMYFUNCTION("""COMPUTED_VALUE"""),4668390.0)</f>
        <v>4668390</v>
      </c>
      <c r="G276" s="2" t="s">
        <v>2</v>
      </c>
    </row>
    <row r="277">
      <c r="A277" s="3">
        <f>IFERROR(__xludf.DUMMYFUNCTION("""COMPUTED_VALUE"""),44981.66666666667)</f>
        <v>44981.66667</v>
      </c>
      <c r="B277" s="1">
        <f>IFERROR(__xludf.DUMMYFUNCTION("""COMPUTED_VALUE"""),0.17)</f>
        <v>0.17</v>
      </c>
      <c r="C277" s="1">
        <f>IFERROR(__xludf.DUMMYFUNCTION("""COMPUTED_VALUE"""),0.18)</f>
        <v>0.18</v>
      </c>
      <c r="D277" s="1">
        <f>IFERROR(__xludf.DUMMYFUNCTION("""COMPUTED_VALUE"""),0.17)</f>
        <v>0.17</v>
      </c>
      <c r="E277" s="1">
        <f>IFERROR(__xludf.DUMMYFUNCTION("""COMPUTED_VALUE"""),0.17)</f>
        <v>0.17</v>
      </c>
      <c r="F277" s="1">
        <f>IFERROR(__xludf.DUMMYFUNCTION("""COMPUTED_VALUE"""),2669833.0)</f>
        <v>2669833</v>
      </c>
      <c r="G277" s="2" t="s">
        <v>2</v>
      </c>
    </row>
    <row r="278">
      <c r="A278" s="3">
        <f>IFERROR(__xludf.DUMMYFUNCTION("""COMPUTED_VALUE"""),44984.66666666667)</f>
        <v>44984.66667</v>
      </c>
      <c r="B278" s="1">
        <f>IFERROR(__xludf.DUMMYFUNCTION("""COMPUTED_VALUE"""),0.17)</f>
        <v>0.17</v>
      </c>
      <c r="C278" s="1">
        <f>IFERROR(__xludf.DUMMYFUNCTION("""COMPUTED_VALUE"""),0.18)</f>
        <v>0.18</v>
      </c>
      <c r="D278" s="1">
        <f>IFERROR(__xludf.DUMMYFUNCTION("""COMPUTED_VALUE"""),0.16)</f>
        <v>0.16</v>
      </c>
      <c r="E278" s="1">
        <f>IFERROR(__xludf.DUMMYFUNCTION("""COMPUTED_VALUE"""),0.16)</f>
        <v>0.16</v>
      </c>
      <c r="F278" s="1">
        <f>IFERROR(__xludf.DUMMYFUNCTION("""COMPUTED_VALUE"""),4241762.0)</f>
        <v>4241762</v>
      </c>
      <c r="G278" s="2" t="s">
        <v>2</v>
      </c>
    </row>
    <row r="279">
      <c r="A279" s="3">
        <f>IFERROR(__xludf.DUMMYFUNCTION("""COMPUTED_VALUE"""),44985.66666666667)</f>
        <v>44985.66667</v>
      </c>
      <c r="B279" s="1">
        <f>IFERROR(__xludf.DUMMYFUNCTION("""COMPUTED_VALUE"""),0.17)</f>
        <v>0.17</v>
      </c>
      <c r="C279" s="1">
        <f>IFERROR(__xludf.DUMMYFUNCTION("""COMPUTED_VALUE"""),0.17)</f>
        <v>0.17</v>
      </c>
      <c r="D279" s="1">
        <f>IFERROR(__xludf.DUMMYFUNCTION("""COMPUTED_VALUE"""),0.16)</f>
        <v>0.16</v>
      </c>
      <c r="E279" s="1">
        <f>IFERROR(__xludf.DUMMYFUNCTION("""COMPUTED_VALUE"""),0.16)</f>
        <v>0.16</v>
      </c>
      <c r="F279" s="1">
        <f>IFERROR(__xludf.DUMMYFUNCTION("""COMPUTED_VALUE"""),1653095.0)</f>
        <v>1653095</v>
      </c>
      <c r="G279" s="2" t="s">
        <v>2</v>
      </c>
    </row>
    <row r="280">
      <c r="A280" s="3">
        <f>IFERROR(__xludf.DUMMYFUNCTION("""COMPUTED_VALUE"""),44986.66666666667)</f>
        <v>44986.66667</v>
      </c>
      <c r="B280" s="1">
        <f>IFERROR(__xludf.DUMMYFUNCTION("""COMPUTED_VALUE"""),0.16)</f>
        <v>0.16</v>
      </c>
      <c r="C280" s="1">
        <f>IFERROR(__xludf.DUMMYFUNCTION("""COMPUTED_VALUE"""),0.17)</f>
        <v>0.17</v>
      </c>
      <c r="D280" s="1">
        <f>IFERROR(__xludf.DUMMYFUNCTION("""COMPUTED_VALUE"""),0.15)</f>
        <v>0.15</v>
      </c>
      <c r="E280" s="1">
        <f>IFERROR(__xludf.DUMMYFUNCTION("""COMPUTED_VALUE"""),0.17)</f>
        <v>0.17</v>
      </c>
      <c r="F280" s="1">
        <f>IFERROR(__xludf.DUMMYFUNCTION("""COMPUTED_VALUE"""),3541716.0)</f>
        <v>3541716</v>
      </c>
      <c r="G280" s="2" t="s">
        <v>2</v>
      </c>
    </row>
    <row r="281">
      <c r="A281" s="3">
        <f>IFERROR(__xludf.DUMMYFUNCTION("""COMPUTED_VALUE"""),44987.66666666667)</f>
        <v>44987.66667</v>
      </c>
      <c r="B281" s="1">
        <f>IFERROR(__xludf.DUMMYFUNCTION("""COMPUTED_VALUE"""),0.17)</f>
        <v>0.17</v>
      </c>
      <c r="C281" s="1">
        <f>IFERROR(__xludf.DUMMYFUNCTION("""COMPUTED_VALUE"""),0.18)</f>
        <v>0.18</v>
      </c>
      <c r="D281" s="1">
        <f>IFERROR(__xludf.DUMMYFUNCTION("""COMPUTED_VALUE"""),0.16)</f>
        <v>0.16</v>
      </c>
      <c r="E281" s="1">
        <f>IFERROR(__xludf.DUMMYFUNCTION("""COMPUTED_VALUE"""),0.17)</f>
        <v>0.17</v>
      </c>
      <c r="F281" s="1">
        <f>IFERROR(__xludf.DUMMYFUNCTION("""COMPUTED_VALUE"""),1710584.0)</f>
        <v>1710584</v>
      </c>
      <c r="G281" s="2" t="s">
        <v>2</v>
      </c>
    </row>
    <row r="282">
      <c r="A282" s="3">
        <f>IFERROR(__xludf.DUMMYFUNCTION("""COMPUTED_VALUE"""),44988.66666666667)</f>
        <v>44988.66667</v>
      </c>
      <c r="B282" s="1">
        <f>IFERROR(__xludf.DUMMYFUNCTION("""COMPUTED_VALUE"""),0.17)</f>
        <v>0.17</v>
      </c>
      <c r="C282" s="1">
        <f>IFERROR(__xludf.DUMMYFUNCTION("""COMPUTED_VALUE"""),0.17)</f>
        <v>0.17</v>
      </c>
      <c r="D282" s="1">
        <f>IFERROR(__xludf.DUMMYFUNCTION("""COMPUTED_VALUE"""),0.16)</f>
        <v>0.16</v>
      </c>
      <c r="E282" s="1">
        <f>IFERROR(__xludf.DUMMYFUNCTION("""COMPUTED_VALUE"""),0.17)</f>
        <v>0.17</v>
      </c>
      <c r="F282" s="1">
        <f>IFERROR(__xludf.DUMMYFUNCTION("""COMPUTED_VALUE"""),1265413.0)</f>
        <v>1265413</v>
      </c>
      <c r="G282" s="2" t="s">
        <v>2</v>
      </c>
    </row>
    <row r="283">
      <c r="A283" s="3">
        <f>IFERROR(__xludf.DUMMYFUNCTION("""COMPUTED_VALUE"""),44991.66666666667)</f>
        <v>44991.66667</v>
      </c>
      <c r="B283" s="1">
        <f>IFERROR(__xludf.DUMMYFUNCTION("""COMPUTED_VALUE"""),0.17)</f>
        <v>0.17</v>
      </c>
      <c r="C283" s="1">
        <f>IFERROR(__xludf.DUMMYFUNCTION("""COMPUTED_VALUE"""),0.18)</f>
        <v>0.18</v>
      </c>
      <c r="D283" s="1">
        <f>IFERROR(__xludf.DUMMYFUNCTION("""COMPUTED_VALUE"""),0.17)</f>
        <v>0.17</v>
      </c>
      <c r="E283" s="1">
        <f>IFERROR(__xludf.DUMMYFUNCTION("""COMPUTED_VALUE"""),0.18)</f>
        <v>0.18</v>
      </c>
      <c r="F283" s="1">
        <f>IFERROR(__xludf.DUMMYFUNCTION("""COMPUTED_VALUE"""),1925824.0)</f>
        <v>1925824</v>
      </c>
      <c r="G283" s="2" t="s">
        <v>2</v>
      </c>
    </row>
    <row r="284">
      <c r="A284" s="3">
        <f>IFERROR(__xludf.DUMMYFUNCTION("""COMPUTED_VALUE"""),44992.66666666667)</f>
        <v>44992.66667</v>
      </c>
      <c r="B284" s="1">
        <f>IFERROR(__xludf.DUMMYFUNCTION("""COMPUTED_VALUE"""),0.18)</f>
        <v>0.18</v>
      </c>
      <c r="C284" s="1">
        <f>IFERROR(__xludf.DUMMYFUNCTION("""COMPUTED_VALUE"""),0.18)</f>
        <v>0.18</v>
      </c>
      <c r="D284" s="1">
        <f>IFERROR(__xludf.DUMMYFUNCTION("""COMPUTED_VALUE"""),0.17)</f>
        <v>0.17</v>
      </c>
      <c r="E284" s="1">
        <f>IFERROR(__xludf.DUMMYFUNCTION("""COMPUTED_VALUE"""),0.17)</f>
        <v>0.17</v>
      </c>
      <c r="F284" s="1">
        <f>IFERROR(__xludf.DUMMYFUNCTION("""COMPUTED_VALUE"""),1847363.0)</f>
        <v>1847363</v>
      </c>
      <c r="G284" s="2" t="s">
        <v>2</v>
      </c>
    </row>
    <row r="285">
      <c r="A285" s="3">
        <f>IFERROR(__xludf.DUMMYFUNCTION("""COMPUTED_VALUE"""),44993.66666666667)</f>
        <v>44993.66667</v>
      </c>
      <c r="B285" s="1">
        <f>IFERROR(__xludf.DUMMYFUNCTION("""COMPUTED_VALUE"""),0.17)</f>
        <v>0.17</v>
      </c>
      <c r="C285" s="1">
        <f>IFERROR(__xludf.DUMMYFUNCTION("""COMPUTED_VALUE"""),0.17)</f>
        <v>0.17</v>
      </c>
      <c r="D285" s="1">
        <f>IFERROR(__xludf.DUMMYFUNCTION("""COMPUTED_VALUE"""),0.16)</f>
        <v>0.16</v>
      </c>
      <c r="E285" s="1">
        <f>IFERROR(__xludf.DUMMYFUNCTION("""COMPUTED_VALUE"""),0.17)</f>
        <v>0.17</v>
      </c>
      <c r="F285" s="1">
        <f>IFERROR(__xludf.DUMMYFUNCTION("""COMPUTED_VALUE"""),1585073.0)</f>
        <v>1585073</v>
      </c>
      <c r="G285" s="2" t="s">
        <v>2</v>
      </c>
    </row>
    <row r="286">
      <c r="A286" s="3">
        <f>IFERROR(__xludf.DUMMYFUNCTION("""COMPUTED_VALUE"""),44994.66666666667)</f>
        <v>44994.66667</v>
      </c>
      <c r="B286" s="1">
        <f>IFERROR(__xludf.DUMMYFUNCTION("""COMPUTED_VALUE"""),0.17)</f>
        <v>0.17</v>
      </c>
      <c r="C286" s="1">
        <f>IFERROR(__xludf.DUMMYFUNCTION("""COMPUTED_VALUE"""),0.17)</f>
        <v>0.17</v>
      </c>
      <c r="D286" s="1">
        <f>IFERROR(__xludf.DUMMYFUNCTION("""COMPUTED_VALUE"""),0.17)</f>
        <v>0.17</v>
      </c>
      <c r="E286" s="1">
        <f>IFERROR(__xludf.DUMMYFUNCTION("""COMPUTED_VALUE"""),0.17)</f>
        <v>0.17</v>
      </c>
      <c r="F286" s="1">
        <f>IFERROR(__xludf.DUMMYFUNCTION("""COMPUTED_VALUE"""),221115.0)</f>
        <v>221115</v>
      </c>
      <c r="G286" s="2" t="s">
        <v>2</v>
      </c>
    </row>
    <row r="287">
      <c r="A287" s="3">
        <f>IFERROR(__xludf.DUMMYFUNCTION("""COMPUTED_VALUE"""),44995.66666666667)</f>
        <v>44995.66667</v>
      </c>
      <c r="B287" s="1">
        <f>IFERROR(__xludf.DUMMYFUNCTION("""COMPUTED_VALUE"""),0.16)</f>
        <v>0.16</v>
      </c>
      <c r="C287" s="1">
        <f>IFERROR(__xludf.DUMMYFUNCTION("""COMPUTED_VALUE"""),0.16)</f>
        <v>0.16</v>
      </c>
      <c r="D287" s="1">
        <f>IFERROR(__xludf.DUMMYFUNCTION("""COMPUTED_VALUE"""),0.16)</f>
        <v>0.16</v>
      </c>
      <c r="E287" s="1">
        <f>IFERROR(__xludf.DUMMYFUNCTION("""COMPUTED_VALUE"""),0.16)</f>
        <v>0.16</v>
      </c>
      <c r="F287" s="1">
        <f>IFERROR(__xludf.DUMMYFUNCTION("""COMPUTED_VALUE"""),1446292.0)</f>
        <v>1446292</v>
      </c>
      <c r="G287" s="2" t="s">
        <v>2</v>
      </c>
    </row>
    <row r="288">
      <c r="A288" s="3">
        <f>IFERROR(__xludf.DUMMYFUNCTION("""COMPUTED_VALUE"""),44998.66666666667)</f>
        <v>44998.66667</v>
      </c>
      <c r="B288" s="1">
        <f>IFERROR(__xludf.DUMMYFUNCTION("""COMPUTED_VALUE"""),0.16)</f>
        <v>0.16</v>
      </c>
      <c r="C288" s="1">
        <f>IFERROR(__xludf.DUMMYFUNCTION("""COMPUTED_VALUE"""),0.16)</f>
        <v>0.16</v>
      </c>
      <c r="D288" s="1">
        <f>IFERROR(__xludf.DUMMYFUNCTION("""COMPUTED_VALUE"""),0.15)</f>
        <v>0.15</v>
      </c>
      <c r="E288" s="1">
        <f>IFERROR(__xludf.DUMMYFUNCTION("""COMPUTED_VALUE"""),0.16)</f>
        <v>0.16</v>
      </c>
      <c r="F288" s="1">
        <f>IFERROR(__xludf.DUMMYFUNCTION("""COMPUTED_VALUE"""),907865.0)</f>
        <v>907865</v>
      </c>
      <c r="G288" s="2" t="s">
        <v>2</v>
      </c>
    </row>
    <row r="289">
      <c r="A289" s="3">
        <f>IFERROR(__xludf.DUMMYFUNCTION("""COMPUTED_VALUE"""),44999.66666666667)</f>
        <v>44999.66667</v>
      </c>
      <c r="B289" s="1">
        <f>IFERROR(__xludf.DUMMYFUNCTION("""COMPUTED_VALUE"""),0.16)</f>
        <v>0.16</v>
      </c>
      <c r="C289" s="1">
        <f>IFERROR(__xludf.DUMMYFUNCTION("""COMPUTED_VALUE"""),0.16)</f>
        <v>0.16</v>
      </c>
      <c r="D289" s="1">
        <f>IFERROR(__xludf.DUMMYFUNCTION("""COMPUTED_VALUE"""),0.14)</f>
        <v>0.14</v>
      </c>
      <c r="E289" s="1">
        <f>IFERROR(__xludf.DUMMYFUNCTION("""COMPUTED_VALUE"""),0.15)</f>
        <v>0.15</v>
      </c>
      <c r="F289" s="1">
        <f>IFERROR(__xludf.DUMMYFUNCTION("""COMPUTED_VALUE"""),2372153.0)</f>
        <v>2372153</v>
      </c>
      <c r="G289" s="2" t="s">
        <v>2</v>
      </c>
    </row>
    <row r="290">
      <c r="A290" s="3">
        <f>IFERROR(__xludf.DUMMYFUNCTION("""COMPUTED_VALUE"""),45000.66666666667)</f>
        <v>45000.66667</v>
      </c>
      <c r="B290" s="1">
        <f>IFERROR(__xludf.DUMMYFUNCTION("""COMPUTED_VALUE"""),0.16)</f>
        <v>0.16</v>
      </c>
      <c r="C290" s="1">
        <f>IFERROR(__xludf.DUMMYFUNCTION("""COMPUTED_VALUE"""),0.17)</f>
        <v>0.17</v>
      </c>
      <c r="D290" s="1">
        <f>IFERROR(__xludf.DUMMYFUNCTION("""COMPUTED_VALUE"""),0.13)</f>
        <v>0.13</v>
      </c>
      <c r="E290" s="1">
        <f>IFERROR(__xludf.DUMMYFUNCTION("""COMPUTED_VALUE"""),0.14)</f>
        <v>0.14</v>
      </c>
      <c r="F290" s="1">
        <f>IFERROR(__xludf.DUMMYFUNCTION("""COMPUTED_VALUE"""),6186065.0)</f>
        <v>6186065</v>
      </c>
      <c r="G290" s="2" t="s">
        <v>2</v>
      </c>
    </row>
    <row r="291">
      <c r="A291" s="3">
        <f>IFERROR(__xludf.DUMMYFUNCTION("""COMPUTED_VALUE"""),45001.66666666667)</f>
        <v>45001.66667</v>
      </c>
      <c r="B291" s="1">
        <f>IFERROR(__xludf.DUMMYFUNCTION("""COMPUTED_VALUE"""),0.13)</f>
        <v>0.13</v>
      </c>
      <c r="C291" s="1">
        <f>IFERROR(__xludf.DUMMYFUNCTION("""COMPUTED_VALUE"""),0.13)</f>
        <v>0.13</v>
      </c>
      <c r="D291" s="1">
        <f>IFERROR(__xludf.DUMMYFUNCTION("""COMPUTED_VALUE"""),0.12)</f>
        <v>0.12</v>
      </c>
      <c r="E291" s="1">
        <f>IFERROR(__xludf.DUMMYFUNCTION("""COMPUTED_VALUE"""),0.13)</f>
        <v>0.13</v>
      </c>
      <c r="F291" s="1">
        <f>IFERROR(__xludf.DUMMYFUNCTION("""COMPUTED_VALUE"""),4279959.0)</f>
        <v>4279959</v>
      </c>
      <c r="G291" s="2" t="s">
        <v>2</v>
      </c>
    </row>
    <row r="292">
      <c r="A292" s="3">
        <f>IFERROR(__xludf.DUMMYFUNCTION("""COMPUTED_VALUE"""),45002.66666666667)</f>
        <v>45002.66667</v>
      </c>
      <c r="B292" s="1">
        <f>IFERROR(__xludf.DUMMYFUNCTION("""COMPUTED_VALUE"""),0.13)</f>
        <v>0.13</v>
      </c>
      <c r="C292" s="1">
        <f>IFERROR(__xludf.DUMMYFUNCTION("""COMPUTED_VALUE"""),0.14)</f>
        <v>0.14</v>
      </c>
      <c r="D292" s="1">
        <f>IFERROR(__xludf.DUMMYFUNCTION("""COMPUTED_VALUE"""),0.13)</f>
        <v>0.13</v>
      </c>
      <c r="E292" s="1">
        <f>IFERROR(__xludf.DUMMYFUNCTION("""COMPUTED_VALUE"""),0.13)</f>
        <v>0.13</v>
      </c>
      <c r="F292" s="1">
        <f>IFERROR(__xludf.DUMMYFUNCTION("""COMPUTED_VALUE"""),3437559.0)</f>
        <v>3437559</v>
      </c>
      <c r="G292" s="2" t="s">
        <v>2</v>
      </c>
    </row>
    <row r="293">
      <c r="A293" s="3">
        <f>IFERROR(__xludf.DUMMYFUNCTION("""COMPUTED_VALUE"""),45005.66666666667)</f>
        <v>45005.66667</v>
      </c>
      <c r="B293" s="1">
        <f>IFERROR(__xludf.DUMMYFUNCTION("""COMPUTED_VALUE"""),0.13)</f>
        <v>0.13</v>
      </c>
      <c r="C293" s="1">
        <f>IFERROR(__xludf.DUMMYFUNCTION("""COMPUTED_VALUE"""),0.13)</f>
        <v>0.13</v>
      </c>
      <c r="D293" s="1">
        <f>IFERROR(__xludf.DUMMYFUNCTION("""COMPUTED_VALUE"""),0.11)</f>
        <v>0.11</v>
      </c>
      <c r="E293" s="1">
        <f>IFERROR(__xludf.DUMMYFUNCTION("""COMPUTED_VALUE"""),0.11)</f>
        <v>0.11</v>
      </c>
      <c r="F293" s="1">
        <f>IFERROR(__xludf.DUMMYFUNCTION("""COMPUTED_VALUE"""),3301569.0)</f>
        <v>3301569</v>
      </c>
      <c r="G293" s="2" t="s">
        <v>2</v>
      </c>
    </row>
    <row r="294">
      <c r="A294" s="3">
        <f>IFERROR(__xludf.DUMMYFUNCTION("""COMPUTED_VALUE"""),45006.66666666667)</f>
        <v>45006.66667</v>
      </c>
      <c r="B294" s="1">
        <f>IFERROR(__xludf.DUMMYFUNCTION("""COMPUTED_VALUE"""),0.11)</f>
        <v>0.11</v>
      </c>
      <c r="C294" s="1">
        <f>IFERROR(__xludf.DUMMYFUNCTION("""COMPUTED_VALUE"""),0.13)</f>
        <v>0.13</v>
      </c>
      <c r="D294" s="1">
        <f>IFERROR(__xludf.DUMMYFUNCTION("""COMPUTED_VALUE"""),0.11)</f>
        <v>0.11</v>
      </c>
      <c r="E294" s="1">
        <f>IFERROR(__xludf.DUMMYFUNCTION("""COMPUTED_VALUE"""),0.12)</f>
        <v>0.12</v>
      </c>
      <c r="F294" s="1">
        <f>IFERROR(__xludf.DUMMYFUNCTION("""COMPUTED_VALUE"""),2260315.0)</f>
        <v>2260315</v>
      </c>
      <c r="G294" s="2" t="s">
        <v>2</v>
      </c>
    </row>
    <row r="295">
      <c r="A295" s="3">
        <f>IFERROR(__xludf.DUMMYFUNCTION("""COMPUTED_VALUE"""),45007.66666666667)</f>
        <v>45007.66667</v>
      </c>
      <c r="B295" s="1">
        <f>IFERROR(__xludf.DUMMYFUNCTION("""COMPUTED_VALUE"""),0.14)</f>
        <v>0.14</v>
      </c>
      <c r="C295" s="1">
        <f>IFERROR(__xludf.DUMMYFUNCTION("""COMPUTED_VALUE"""),0.14)</f>
        <v>0.14</v>
      </c>
      <c r="D295" s="1">
        <f>IFERROR(__xludf.DUMMYFUNCTION("""COMPUTED_VALUE"""),0.13)</f>
        <v>0.13</v>
      </c>
      <c r="E295" s="1">
        <f>IFERROR(__xludf.DUMMYFUNCTION("""COMPUTED_VALUE"""),0.14)</f>
        <v>0.14</v>
      </c>
      <c r="F295" s="1">
        <f>IFERROR(__xludf.DUMMYFUNCTION("""COMPUTED_VALUE"""),2678313.0)</f>
        <v>2678313</v>
      </c>
      <c r="G295" s="2" t="s">
        <v>2</v>
      </c>
    </row>
    <row r="296">
      <c r="A296" s="3">
        <f>IFERROR(__xludf.DUMMYFUNCTION("""COMPUTED_VALUE"""),45008.66666666667)</f>
        <v>45008.66667</v>
      </c>
      <c r="B296" s="1">
        <f>IFERROR(__xludf.DUMMYFUNCTION("""COMPUTED_VALUE"""),0.14)</f>
        <v>0.14</v>
      </c>
      <c r="C296" s="1">
        <f>IFERROR(__xludf.DUMMYFUNCTION("""COMPUTED_VALUE"""),0.14)</f>
        <v>0.14</v>
      </c>
      <c r="D296" s="1">
        <f>IFERROR(__xludf.DUMMYFUNCTION("""COMPUTED_VALUE"""),0.13)</f>
        <v>0.13</v>
      </c>
      <c r="E296" s="1">
        <f>IFERROR(__xludf.DUMMYFUNCTION("""COMPUTED_VALUE"""),0.13)</f>
        <v>0.13</v>
      </c>
      <c r="F296" s="1">
        <f>IFERROR(__xludf.DUMMYFUNCTION("""COMPUTED_VALUE"""),1104139.0)</f>
        <v>1104139</v>
      </c>
      <c r="G296" s="2" t="s">
        <v>2</v>
      </c>
    </row>
    <row r="297">
      <c r="A297" s="3">
        <f>IFERROR(__xludf.DUMMYFUNCTION("""COMPUTED_VALUE"""),45009.66666666667)</f>
        <v>45009.66667</v>
      </c>
      <c r="B297" s="1">
        <f>IFERROR(__xludf.DUMMYFUNCTION("""COMPUTED_VALUE"""),0.13)</f>
        <v>0.13</v>
      </c>
      <c r="C297" s="1">
        <f>IFERROR(__xludf.DUMMYFUNCTION("""COMPUTED_VALUE"""),0.14)</f>
        <v>0.14</v>
      </c>
      <c r="D297" s="1">
        <f>IFERROR(__xludf.DUMMYFUNCTION("""COMPUTED_VALUE"""),0.12)</f>
        <v>0.12</v>
      </c>
      <c r="E297" s="1">
        <f>IFERROR(__xludf.DUMMYFUNCTION("""COMPUTED_VALUE"""),0.13)</f>
        <v>0.13</v>
      </c>
      <c r="F297" s="1">
        <f>IFERROR(__xludf.DUMMYFUNCTION("""COMPUTED_VALUE"""),1487980.0)</f>
        <v>1487980</v>
      </c>
      <c r="G297" s="2" t="s">
        <v>2</v>
      </c>
    </row>
    <row r="298">
      <c r="A298" s="3">
        <f>IFERROR(__xludf.DUMMYFUNCTION("""COMPUTED_VALUE"""),45012.66666666667)</f>
        <v>45012.66667</v>
      </c>
      <c r="B298" s="1">
        <f>IFERROR(__xludf.DUMMYFUNCTION("""COMPUTED_VALUE"""),0.13)</f>
        <v>0.13</v>
      </c>
      <c r="C298" s="1">
        <f>IFERROR(__xludf.DUMMYFUNCTION("""COMPUTED_VALUE"""),0.13)</f>
        <v>0.13</v>
      </c>
      <c r="D298" s="1">
        <f>IFERROR(__xludf.DUMMYFUNCTION("""COMPUTED_VALUE"""),0.12)</f>
        <v>0.12</v>
      </c>
      <c r="E298" s="1">
        <f>IFERROR(__xludf.DUMMYFUNCTION("""COMPUTED_VALUE"""),0.12)</f>
        <v>0.12</v>
      </c>
      <c r="F298" s="1">
        <f>IFERROR(__xludf.DUMMYFUNCTION("""COMPUTED_VALUE"""),2330534.0)</f>
        <v>2330534</v>
      </c>
      <c r="G298" s="2" t="s">
        <v>2</v>
      </c>
    </row>
    <row r="299">
      <c r="A299" s="3">
        <f>IFERROR(__xludf.DUMMYFUNCTION("""COMPUTED_VALUE"""),45013.66666666667)</f>
        <v>45013.66667</v>
      </c>
      <c r="B299" s="1">
        <f>IFERROR(__xludf.DUMMYFUNCTION("""COMPUTED_VALUE"""),0.12)</f>
        <v>0.12</v>
      </c>
      <c r="C299" s="1">
        <f>IFERROR(__xludf.DUMMYFUNCTION("""COMPUTED_VALUE"""),0.12)</f>
        <v>0.12</v>
      </c>
      <c r="D299" s="1">
        <f>IFERROR(__xludf.DUMMYFUNCTION("""COMPUTED_VALUE"""),0.12)</f>
        <v>0.12</v>
      </c>
      <c r="E299" s="1">
        <f>IFERROR(__xludf.DUMMYFUNCTION("""COMPUTED_VALUE"""),0.12)</f>
        <v>0.12</v>
      </c>
      <c r="F299" s="1">
        <f>IFERROR(__xludf.DUMMYFUNCTION("""COMPUTED_VALUE"""),960629.0)</f>
        <v>960629</v>
      </c>
      <c r="G299" s="2" t="s">
        <v>2</v>
      </c>
    </row>
    <row r="300">
      <c r="A300" s="3">
        <f>IFERROR(__xludf.DUMMYFUNCTION("""COMPUTED_VALUE"""),45014.66666666667)</f>
        <v>45014.66667</v>
      </c>
      <c r="B300" s="1">
        <f>IFERROR(__xludf.DUMMYFUNCTION("""COMPUTED_VALUE"""),0.12)</f>
        <v>0.12</v>
      </c>
      <c r="C300" s="1">
        <f>IFERROR(__xludf.DUMMYFUNCTION("""COMPUTED_VALUE"""),0.12)</f>
        <v>0.12</v>
      </c>
      <c r="D300" s="1">
        <f>IFERROR(__xludf.DUMMYFUNCTION("""COMPUTED_VALUE"""),0.12)</f>
        <v>0.12</v>
      </c>
      <c r="E300" s="1">
        <f>IFERROR(__xludf.DUMMYFUNCTION("""COMPUTED_VALUE"""),0.12)</f>
        <v>0.12</v>
      </c>
      <c r="F300" s="1">
        <f>IFERROR(__xludf.DUMMYFUNCTION("""COMPUTED_VALUE"""),350715.0)</f>
        <v>350715</v>
      </c>
      <c r="G300" s="2" t="s">
        <v>2</v>
      </c>
    </row>
    <row r="301">
      <c r="A301" s="3">
        <f>IFERROR(__xludf.DUMMYFUNCTION("""COMPUTED_VALUE"""),45015.66666666667)</f>
        <v>45015.66667</v>
      </c>
      <c r="B301" s="1">
        <f>IFERROR(__xludf.DUMMYFUNCTION("""COMPUTED_VALUE"""),0.12)</f>
        <v>0.12</v>
      </c>
      <c r="C301" s="1">
        <f>IFERROR(__xludf.DUMMYFUNCTION("""COMPUTED_VALUE"""),0.14)</f>
        <v>0.14</v>
      </c>
      <c r="D301" s="1">
        <f>IFERROR(__xludf.DUMMYFUNCTION("""COMPUTED_VALUE"""),0.12)</f>
        <v>0.12</v>
      </c>
      <c r="E301" s="1">
        <f>IFERROR(__xludf.DUMMYFUNCTION("""COMPUTED_VALUE"""),0.14)</f>
        <v>0.14</v>
      </c>
      <c r="F301" s="1">
        <f>IFERROR(__xludf.DUMMYFUNCTION("""COMPUTED_VALUE"""),3130338.0)</f>
        <v>3130338</v>
      </c>
      <c r="G301" s="2" t="s">
        <v>2</v>
      </c>
    </row>
    <row r="302">
      <c r="A302" s="3">
        <f>IFERROR(__xludf.DUMMYFUNCTION("""COMPUTED_VALUE"""),45016.66666666667)</f>
        <v>45016.66667</v>
      </c>
      <c r="B302" s="1">
        <f>IFERROR(__xludf.DUMMYFUNCTION("""COMPUTED_VALUE"""),0.15)</f>
        <v>0.15</v>
      </c>
      <c r="C302" s="1">
        <f>IFERROR(__xludf.DUMMYFUNCTION("""COMPUTED_VALUE"""),0.15)</f>
        <v>0.15</v>
      </c>
      <c r="D302" s="1">
        <f>IFERROR(__xludf.DUMMYFUNCTION("""COMPUTED_VALUE"""),0.13)</f>
        <v>0.13</v>
      </c>
      <c r="E302" s="1">
        <f>IFERROR(__xludf.DUMMYFUNCTION("""COMPUTED_VALUE"""),0.14)</f>
        <v>0.14</v>
      </c>
      <c r="F302" s="1">
        <f>IFERROR(__xludf.DUMMYFUNCTION("""COMPUTED_VALUE"""),3336684.0)</f>
        <v>3336684</v>
      </c>
      <c r="G302" s="2" t="s">
        <v>2</v>
      </c>
    </row>
    <row r="303">
      <c r="A303" s="3">
        <f>IFERROR(__xludf.DUMMYFUNCTION("""COMPUTED_VALUE"""),45019.66666666667)</f>
        <v>45019.66667</v>
      </c>
      <c r="B303" s="1">
        <f>IFERROR(__xludf.DUMMYFUNCTION("""COMPUTED_VALUE"""),0.14)</f>
        <v>0.14</v>
      </c>
      <c r="C303" s="1">
        <f>IFERROR(__xludf.DUMMYFUNCTION("""COMPUTED_VALUE"""),0.16)</f>
        <v>0.16</v>
      </c>
      <c r="D303" s="1">
        <f>IFERROR(__xludf.DUMMYFUNCTION("""COMPUTED_VALUE"""),0.14)</f>
        <v>0.14</v>
      </c>
      <c r="E303" s="1">
        <f>IFERROR(__xludf.DUMMYFUNCTION("""COMPUTED_VALUE"""),0.15)</f>
        <v>0.15</v>
      </c>
      <c r="F303" s="1">
        <f>IFERROR(__xludf.DUMMYFUNCTION("""COMPUTED_VALUE"""),5493953.0)</f>
        <v>5493953</v>
      </c>
      <c r="G303" s="2" t="s">
        <v>2</v>
      </c>
    </row>
    <row r="304">
      <c r="A304" s="3">
        <f>IFERROR(__xludf.DUMMYFUNCTION("""COMPUTED_VALUE"""),45020.66666666667)</f>
        <v>45020.66667</v>
      </c>
      <c r="B304" s="1">
        <f>IFERROR(__xludf.DUMMYFUNCTION("""COMPUTED_VALUE"""),0.16)</f>
        <v>0.16</v>
      </c>
      <c r="C304" s="1">
        <f>IFERROR(__xludf.DUMMYFUNCTION("""COMPUTED_VALUE"""),0.16)</f>
        <v>0.16</v>
      </c>
      <c r="D304" s="1">
        <f>IFERROR(__xludf.DUMMYFUNCTION("""COMPUTED_VALUE"""),0.14)</f>
        <v>0.14</v>
      </c>
      <c r="E304" s="1">
        <f>IFERROR(__xludf.DUMMYFUNCTION("""COMPUTED_VALUE"""),0.14)</f>
        <v>0.14</v>
      </c>
      <c r="F304" s="1">
        <f>IFERROR(__xludf.DUMMYFUNCTION("""COMPUTED_VALUE"""),2090479.0)</f>
        <v>2090479</v>
      </c>
      <c r="G304" s="2" t="s">
        <v>2</v>
      </c>
    </row>
    <row r="305">
      <c r="A305" s="3">
        <f>IFERROR(__xludf.DUMMYFUNCTION("""COMPUTED_VALUE"""),45021.66666666667)</f>
        <v>45021.66667</v>
      </c>
      <c r="B305" s="1">
        <f>IFERROR(__xludf.DUMMYFUNCTION("""COMPUTED_VALUE"""),0.14)</f>
        <v>0.14</v>
      </c>
      <c r="C305" s="1">
        <f>IFERROR(__xludf.DUMMYFUNCTION("""COMPUTED_VALUE"""),0.15)</f>
        <v>0.15</v>
      </c>
      <c r="D305" s="1">
        <f>IFERROR(__xludf.DUMMYFUNCTION("""COMPUTED_VALUE"""),0.14)</f>
        <v>0.14</v>
      </c>
      <c r="E305" s="1">
        <f>IFERROR(__xludf.DUMMYFUNCTION("""COMPUTED_VALUE"""),0.14)</f>
        <v>0.14</v>
      </c>
      <c r="F305" s="1">
        <f>IFERROR(__xludf.DUMMYFUNCTION("""COMPUTED_VALUE"""),1493339.0)</f>
        <v>1493339</v>
      </c>
      <c r="G305" s="2" t="s">
        <v>2</v>
      </c>
    </row>
    <row r="306">
      <c r="A306" s="3">
        <f>IFERROR(__xludf.DUMMYFUNCTION("""COMPUTED_VALUE"""),45022.66666666667)</f>
        <v>45022.66667</v>
      </c>
      <c r="B306" s="1">
        <f>IFERROR(__xludf.DUMMYFUNCTION("""COMPUTED_VALUE"""),0.14)</f>
        <v>0.14</v>
      </c>
      <c r="C306" s="1">
        <f>IFERROR(__xludf.DUMMYFUNCTION("""COMPUTED_VALUE"""),0.14)</f>
        <v>0.14</v>
      </c>
      <c r="D306" s="1">
        <f>IFERROR(__xludf.DUMMYFUNCTION("""COMPUTED_VALUE"""),0.13)</f>
        <v>0.13</v>
      </c>
      <c r="E306" s="1">
        <f>IFERROR(__xludf.DUMMYFUNCTION("""COMPUTED_VALUE"""),0.14)</f>
        <v>0.14</v>
      </c>
      <c r="F306" s="1">
        <f>IFERROR(__xludf.DUMMYFUNCTION("""COMPUTED_VALUE"""),1354706.0)</f>
        <v>1354706</v>
      </c>
      <c r="G306" s="2" t="s">
        <v>2</v>
      </c>
    </row>
    <row r="307">
      <c r="A307" s="3">
        <f>IFERROR(__xludf.DUMMYFUNCTION("""COMPUTED_VALUE"""),45027.66666666667)</f>
        <v>45027.66667</v>
      </c>
      <c r="B307" s="1">
        <f>IFERROR(__xludf.DUMMYFUNCTION("""COMPUTED_VALUE"""),0.14)</f>
        <v>0.14</v>
      </c>
      <c r="C307" s="1">
        <f>IFERROR(__xludf.DUMMYFUNCTION("""COMPUTED_VALUE"""),0.14)</f>
        <v>0.14</v>
      </c>
      <c r="D307" s="1">
        <f>IFERROR(__xludf.DUMMYFUNCTION("""COMPUTED_VALUE"""),0.14)</f>
        <v>0.14</v>
      </c>
      <c r="E307" s="1">
        <f>IFERROR(__xludf.DUMMYFUNCTION("""COMPUTED_VALUE"""),0.14)</f>
        <v>0.14</v>
      </c>
      <c r="F307" s="1">
        <f>IFERROR(__xludf.DUMMYFUNCTION("""COMPUTED_VALUE"""),905530.0)</f>
        <v>905530</v>
      </c>
      <c r="G307" s="2" t="s">
        <v>2</v>
      </c>
    </row>
    <row r="308">
      <c r="A308" s="3">
        <f>IFERROR(__xludf.DUMMYFUNCTION("""COMPUTED_VALUE"""),45028.66666666667)</f>
        <v>45028.66667</v>
      </c>
      <c r="B308" s="1">
        <f>IFERROR(__xludf.DUMMYFUNCTION("""COMPUTED_VALUE"""),0.14)</f>
        <v>0.14</v>
      </c>
      <c r="C308" s="1">
        <f>IFERROR(__xludf.DUMMYFUNCTION("""COMPUTED_VALUE"""),0.14)</f>
        <v>0.14</v>
      </c>
      <c r="D308" s="1">
        <f>IFERROR(__xludf.DUMMYFUNCTION("""COMPUTED_VALUE"""),0.14)</f>
        <v>0.14</v>
      </c>
      <c r="E308" s="1">
        <f>IFERROR(__xludf.DUMMYFUNCTION("""COMPUTED_VALUE"""),0.14)</f>
        <v>0.14</v>
      </c>
      <c r="F308" s="1">
        <f>IFERROR(__xludf.DUMMYFUNCTION("""COMPUTED_VALUE"""),851630.0)</f>
        <v>851630</v>
      </c>
      <c r="G308" s="2" t="s">
        <v>2</v>
      </c>
    </row>
    <row r="309">
      <c r="A309" s="3">
        <f>IFERROR(__xludf.DUMMYFUNCTION("""COMPUTED_VALUE"""),45029.66666666667)</f>
        <v>45029.66667</v>
      </c>
      <c r="B309" s="1">
        <f>IFERROR(__xludf.DUMMYFUNCTION("""COMPUTED_VALUE"""),0.14)</f>
        <v>0.14</v>
      </c>
      <c r="C309" s="1">
        <f>IFERROR(__xludf.DUMMYFUNCTION("""COMPUTED_VALUE"""),0.14)</f>
        <v>0.14</v>
      </c>
      <c r="D309" s="1">
        <f>IFERROR(__xludf.DUMMYFUNCTION("""COMPUTED_VALUE"""),0.13)</f>
        <v>0.13</v>
      </c>
      <c r="E309" s="1">
        <f>IFERROR(__xludf.DUMMYFUNCTION("""COMPUTED_VALUE"""),0.13)</f>
        <v>0.13</v>
      </c>
      <c r="F309" s="1">
        <f>IFERROR(__xludf.DUMMYFUNCTION("""COMPUTED_VALUE"""),1552209.0)</f>
        <v>1552209</v>
      </c>
      <c r="G309" s="2" t="s">
        <v>2</v>
      </c>
    </row>
    <row r="310">
      <c r="A310" s="3">
        <f>IFERROR(__xludf.DUMMYFUNCTION("""COMPUTED_VALUE"""),45030.66666666667)</f>
        <v>45030.66667</v>
      </c>
      <c r="B310" s="1">
        <f>IFERROR(__xludf.DUMMYFUNCTION("""COMPUTED_VALUE"""),0.14)</f>
        <v>0.14</v>
      </c>
      <c r="C310" s="1">
        <f>IFERROR(__xludf.DUMMYFUNCTION("""COMPUTED_VALUE"""),0.14)</f>
        <v>0.14</v>
      </c>
      <c r="D310" s="1">
        <f>IFERROR(__xludf.DUMMYFUNCTION("""COMPUTED_VALUE"""),0.13)</f>
        <v>0.13</v>
      </c>
      <c r="E310" s="1">
        <f>IFERROR(__xludf.DUMMYFUNCTION("""COMPUTED_VALUE"""),0.14)</f>
        <v>0.14</v>
      </c>
      <c r="F310" s="1">
        <f>IFERROR(__xludf.DUMMYFUNCTION("""COMPUTED_VALUE"""),1179040.0)</f>
        <v>1179040</v>
      </c>
      <c r="G310" s="2" t="s">
        <v>2</v>
      </c>
    </row>
    <row r="311">
      <c r="A311" s="3">
        <f>IFERROR(__xludf.DUMMYFUNCTION("""COMPUTED_VALUE"""),45033.66666666667)</f>
        <v>45033.66667</v>
      </c>
      <c r="B311" s="1">
        <f>IFERROR(__xludf.DUMMYFUNCTION("""COMPUTED_VALUE"""),0.14)</f>
        <v>0.14</v>
      </c>
      <c r="C311" s="1">
        <f>IFERROR(__xludf.DUMMYFUNCTION("""COMPUTED_VALUE"""),0.14)</f>
        <v>0.14</v>
      </c>
      <c r="D311" s="1">
        <f>IFERROR(__xludf.DUMMYFUNCTION("""COMPUTED_VALUE"""),0.14)</f>
        <v>0.14</v>
      </c>
      <c r="E311" s="1">
        <f>IFERROR(__xludf.DUMMYFUNCTION("""COMPUTED_VALUE"""),0.14)</f>
        <v>0.14</v>
      </c>
      <c r="F311" s="1">
        <f>IFERROR(__xludf.DUMMYFUNCTION("""COMPUTED_VALUE"""),341018.0)</f>
        <v>341018</v>
      </c>
      <c r="G311" s="2" t="s">
        <v>2</v>
      </c>
    </row>
    <row r="312">
      <c r="A312" s="3">
        <f>IFERROR(__xludf.DUMMYFUNCTION("""COMPUTED_VALUE"""),45034.66666666667)</f>
        <v>45034.66667</v>
      </c>
      <c r="B312" s="1">
        <f>IFERROR(__xludf.DUMMYFUNCTION("""COMPUTED_VALUE"""),0.14)</f>
        <v>0.14</v>
      </c>
      <c r="C312" s="1">
        <f>IFERROR(__xludf.DUMMYFUNCTION("""COMPUTED_VALUE"""),0.14)</f>
        <v>0.14</v>
      </c>
      <c r="D312" s="1">
        <f>IFERROR(__xludf.DUMMYFUNCTION("""COMPUTED_VALUE"""),0.13)</f>
        <v>0.13</v>
      </c>
      <c r="E312" s="1">
        <f>IFERROR(__xludf.DUMMYFUNCTION("""COMPUTED_VALUE"""),0.14)</f>
        <v>0.14</v>
      </c>
      <c r="F312" s="1">
        <f>IFERROR(__xludf.DUMMYFUNCTION("""COMPUTED_VALUE"""),1015403.0)</f>
        <v>1015403</v>
      </c>
      <c r="G312" s="2" t="s">
        <v>2</v>
      </c>
    </row>
    <row r="313">
      <c r="A313" s="3">
        <f>IFERROR(__xludf.DUMMYFUNCTION("""COMPUTED_VALUE"""),45035.66666666667)</f>
        <v>45035.66667</v>
      </c>
      <c r="B313" s="1">
        <f>IFERROR(__xludf.DUMMYFUNCTION("""COMPUTED_VALUE"""),0.13)</f>
        <v>0.13</v>
      </c>
      <c r="C313" s="1">
        <f>IFERROR(__xludf.DUMMYFUNCTION("""COMPUTED_VALUE"""),0.14)</f>
        <v>0.14</v>
      </c>
      <c r="D313" s="1">
        <f>IFERROR(__xludf.DUMMYFUNCTION("""COMPUTED_VALUE"""),0.13)</f>
        <v>0.13</v>
      </c>
      <c r="E313" s="1">
        <f>IFERROR(__xludf.DUMMYFUNCTION("""COMPUTED_VALUE"""),0.13)</f>
        <v>0.13</v>
      </c>
      <c r="F313" s="1">
        <f>IFERROR(__xludf.DUMMYFUNCTION("""COMPUTED_VALUE"""),926987.0)</f>
        <v>926987</v>
      </c>
      <c r="G313" s="2" t="s">
        <v>2</v>
      </c>
    </row>
    <row r="314">
      <c r="A314" s="3">
        <f>IFERROR(__xludf.DUMMYFUNCTION("""COMPUTED_VALUE"""),45036.66666666667)</f>
        <v>45036.66667</v>
      </c>
      <c r="B314" s="1">
        <f>IFERROR(__xludf.DUMMYFUNCTION("""COMPUTED_VALUE"""),0.13)</f>
        <v>0.13</v>
      </c>
      <c r="C314" s="1">
        <f>IFERROR(__xludf.DUMMYFUNCTION("""COMPUTED_VALUE"""),0.14)</f>
        <v>0.14</v>
      </c>
      <c r="D314" s="1">
        <f>IFERROR(__xludf.DUMMYFUNCTION("""COMPUTED_VALUE"""),0.13)</f>
        <v>0.13</v>
      </c>
      <c r="E314" s="1">
        <f>IFERROR(__xludf.DUMMYFUNCTION("""COMPUTED_VALUE"""),0.13)</f>
        <v>0.13</v>
      </c>
      <c r="F314" s="1">
        <f>IFERROR(__xludf.DUMMYFUNCTION("""COMPUTED_VALUE"""),1155480.0)</f>
        <v>1155480</v>
      </c>
      <c r="G314" s="2" t="s">
        <v>2</v>
      </c>
    </row>
    <row r="315">
      <c r="A315" s="3">
        <f>IFERROR(__xludf.DUMMYFUNCTION("""COMPUTED_VALUE"""),45037.66666666667)</f>
        <v>45037.66667</v>
      </c>
      <c r="B315" s="1">
        <f>IFERROR(__xludf.DUMMYFUNCTION("""COMPUTED_VALUE"""),0.14)</f>
        <v>0.14</v>
      </c>
      <c r="C315" s="1">
        <f>IFERROR(__xludf.DUMMYFUNCTION("""COMPUTED_VALUE"""),0.14)</f>
        <v>0.14</v>
      </c>
      <c r="D315" s="1">
        <f>IFERROR(__xludf.DUMMYFUNCTION("""COMPUTED_VALUE"""),0.13)</f>
        <v>0.13</v>
      </c>
      <c r="E315" s="1">
        <f>IFERROR(__xludf.DUMMYFUNCTION("""COMPUTED_VALUE"""),0.14)</f>
        <v>0.14</v>
      </c>
      <c r="F315" s="1">
        <f>IFERROR(__xludf.DUMMYFUNCTION("""COMPUTED_VALUE"""),2661416.0)</f>
        <v>2661416</v>
      </c>
      <c r="G315" s="2" t="s">
        <v>2</v>
      </c>
    </row>
    <row r="316">
      <c r="A316" s="3">
        <f>IFERROR(__xludf.DUMMYFUNCTION("""COMPUTED_VALUE"""),45040.66666666667)</f>
        <v>45040.66667</v>
      </c>
      <c r="B316" s="1">
        <f>IFERROR(__xludf.DUMMYFUNCTION("""COMPUTED_VALUE"""),0.14)</f>
        <v>0.14</v>
      </c>
      <c r="C316" s="1">
        <f>IFERROR(__xludf.DUMMYFUNCTION("""COMPUTED_VALUE"""),0.14)</f>
        <v>0.14</v>
      </c>
      <c r="D316" s="1">
        <f>IFERROR(__xludf.DUMMYFUNCTION("""COMPUTED_VALUE"""),0.14)</f>
        <v>0.14</v>
      </c>
      <c r="E316" s="1">
        <f>IFERROR(__xludf.DUMMYFUNCTION("""COMPUTED_VALUE"""),0.14)</f>
        <v>0.14</v>
      </c>
      <c r="F316" s="1">
        <f>IFERROR(__xludf.DUMMYFUNCTION("""COMPUTED_VALUE"""),390947.0)</f>
        <v>390947</v>
      </c>
      <c r="G316" s="2" t="s">
        <v>2</v>
      </c>
    </row>
    <row r="317">
      <c r="A317" s="3">
        <f>IFERROR(__xludf.DUMMYFUNCTION("""COMPUTED_VALUE"""),45042.66666666667)</f>
        <v>45042.66667</v>
      </c>
      <c r="B317" s="1">
        <f>IFERROR(__xludf.DUMMYFUNCTION("""COMPUTED_VALUE"""),0.14)</f>
        <v>0.14</v>
      </c>
      <c r="C317" s="1">
        <f>IFERROR(__xludf.DUMMYFUNCTION("""COMPUTED_VALUE"""),0.14)</f>
        <v>0.14</v>
      </c>
      <c r="D317" s="1">
        <f>IFERROR(__xludf.DUMMYFUNCTION("""COMPUTED_VALUE"""),0.13)</f>
        <v>0.13</v>
      </c>
      <c r="E317" s="1">
        <f>IFERROR(__xludf.DUMMYFUNCTION("""COMPUTED_VALUE"""),0.13)</f>
        <v>0.13</v>
      </c>
      <c r="F317" s="1">
        <f>IFERROR(__xludf.DUMMYFUNCTION("""COMPUTED_VALUE"""),2052123.0)</f>
        <v>2052123</v>
      </c>
      <c r="G317" s="2" t="s">
        <v>2</v>
      </c>
    </row>
    <row r="318">
      <c r="A318" s="3">
        <f>IFERROR(__xludf.DUMMYFUNCTION("""COMPUTED_VALUE"""),45043.66666666667)</f>
        <v>45043.66667</v>
      </c>
      <c r="B318" s="1">
        <f>IFERROR(__xludf.DUMMYFUNCTION("""COMPUTED_VALUE"""),0.13)</f>
        <v>0.13</v>
      </c>
      <c r="C318" s="1">
        <f>IFERROR(__xludf.DUMMYFUNCTION("""COMPUTED_VALUE"""),0.13)</f>
        <v>0.13</v>
      </c>
      <c r="D318" s="1">
        <f>IFERROR(__xludf.DUMMYFUNCTION("""COMPUTED_VALUE"""),0.12)</f>
        <v>0.12</v>
      </c>
      <c r="E318" s="1">
        <f>IFERROR(__xludf.DUMMYFUNCTION("""COMPUTED_VALUE"""),0.13)</f>
        <v>0.13</v>
      </c>
      <c r="F318" s="1">
        <f>IFERROR(__xludf.DUMMYFUNCTION("""COMPUTED_VALUE"""),538270.0)</f>
        <v>538270</v>
      </c>
      <c r="G318" s="2" t="s">
        <v>2</v>
      </c>
    </row>
    <row r="319">
      <c r="A319" s="3">
        <f>IFERROR(__xludf.DUMMYFUNCTION("""COMPUTED_VALUE"""),45044.66666666667)</f>
        <v>45044.66667</v>
      </c>
      <c r="B319" s="1">
        <f>IFERROR(__xludf.DUMMYFUNCTION("""COMPUTED_VALUE"""),0.13)</f>
        <v>0.13</v>
      </c>
      <c r="C319" s="1">
        <f>IFERROR(__xludf.DUMMYFUNCTION("""COMPUTED_VALUE"""),0.13)</f>
        <v>0.13</v>
      </c>
      <c r="D319" s="1">
        <f>IFERROR(__xludf.DUMMYFUNCTION("""COMPUTED_VALUE"""),0.13)</f>
        <v>0.13</v>
      </c>
      <c r="E319" s="1">
        <f>IFERROR(__xludf.DUMMYFUNCTION("""COMPUTED_VALUE"""),0.13)</f>
        <v>0.13</v>
      </c>
      <c r="F319" s="1">
        <f>IFERROR(__xludf.DUMMYFUNCTION("""COMPUTED_VALUE"""),200523.0)</f>
        <v>200523</v>
      </c>
      <c r="G319" s="2" t="s">
        <v>2</v>
      </c>
    </row>
    <row r="320">
      <c r="A320" s="3">
        <f>IFERROR(__xludf.DUMMYFUNCTION("""COMPUTED_VALUE"""),45047.66666666667)</f>
        <v>45047.66667</v>
      </c>
      <c r="B320" s="1">
        <f>IFERROR(__xludf.DUMMYFUNCTION("""COMPUTED_VALUE"""),0.13)</f>
        <v>0.13</v>
      </c>
      <c r="C320" s="1">
        <f>IFERROR(__xludf.DUMMYFUNCTION("""COMPUTED_VALUE"""),0.13)</f>
        <v>0.13</v>
      </c>
      <c r="D320" s="1">
        <f>IFERROR(__xludf.DUMMYFUNCTION("""COMPUTED_VALUE"""),0.12)</f>
        <v>0.12</v>
      </c>
      <c r="E320" s="1">
        <f>IFERROR(__xludf.DUMMYFUNCTION("""COMPUTED_VALUE"""),0.12)</f>
        <v>0.12</v>
      </c>
      <c r="F320" s="1">
        <f>IFERROR(__xludf.DUMMYFUNCTION("""COMPUTED_VALUE"""),182418.0)</f>
        <v>182418</v>
      </c>
      <c r="G320" s="2" t="s">
        <v>2</v>
      </c>
    </row>
    <row r="321">
      <c r="A321" s="3">
        <f>IFERROR(__xludf.DUMMYFUNCTION("""COMPUTED_VALUE"""),45048.66666666667)</f>
        <v>45048.66667</v>
      </c>
      <c r="B321" s="1">
        <f>IFERROR(__xludf.DUMMYFUNCTION("""COMPUTED_VALUE"""),0.13)</f>
        <v>0.13</v>
      </c>
      <c r="C321" s="1">
        <f>IFERROR(__xludf.DUMMYFUNCTION("""COMPUTED_VALUE"""),0.13)</f>
        <v>0.13</v>
      </c>
      <c r="D321" s="1">
        <f>IFERROR(__xludf.DUMMYFUNCTION("""COMPUTED_VALUE"""),0.12)</f>
        <v>0.12</v>
      </c>
      <c r="E321" s="1">
        <f>IFERROR(__xludf.DUMMYFUNCTION("""COMPUTED_VALUE"""),0.12)</f>
        <v>0.12</v>
      </c>
      <c r="F321" s="1">
        <f>IFERROR(__xludf.DUMMYFUNCTION("""COMPUTED_VALUE"""),1526410.0)</f>
        <v>1526410</v>
      </c>
      <c r="G321" s="2" t="s">
        <v>2</v>
      </c>
    </row>
    <row r="322">
      <c r="A322" s="3">
        <f>IFERROR(__xludf.DUMMYFUNCTION("""COMPUTED_VALUE"""),45049.66666666667)</f>
        <v>45049.66667</v>
      </c>
      <c r="B322" s="1">
        <f>IFERROR(__xludf.DUMMYFUNCTION("""COMPUTED_VALUE"""),0.12)</f>
        <v>0.12</v>
      </c>
      <c r="C322" s="1">
        <f>IFERROR(__xludf.DUMMYFUNCTION("""COMPUTED_VALUE"""),0.12)</f>
        <v>0.12</v>
      </c>
      <c r="D322" s="1">
        <f>IFERROR(__xludf.DUMMYFUNCTION("""COMPUTED_VALUE"""),0.11)</f>
        <v>0.11</v>
      </c>
      <c r="E322" s="1">
        <f>IFERROR(__xludf.DUMMYFUNCTION("""COMPUTED_VALUE"""),0.12)</f>
        <v>0.12</v>
      </c>
      <c r="F322" s="1">
        <f>IFERROR(__xludf.DUMMYFUNCTION("""COMPUTED_VALUE"""),1247185.0)</f>
        <v>1247185</v>
      </c>
      <c r="G322" s="2" t="s">
        <v>2</v>
      </c>
    </row>
    <row r="323">
      <c r="A323" s="3">
        <f>IFERROR(__xludf.DUMMYFUNCTION("""COMPUTED_VALUE"""),45050.66666666667)</f>
        <v>45050.66667</v>
      </c>
      <c r="B323" s="1">
        <f>IFERROR(__xludf.DUMMYFUNCTION("""COMPUTED_VALUE"""),0.12)</f>
        <v>0.12</v>
      </c>
      <c r="C323" s="1">
        <f>IFERROR(__xludf.DUMMYFUNCTION("""COMPUTED_VALUE"""),0.12)</f>
        <v>0.12</v>
      </c>
      <c r="D323" s="1">
        <f>IFERROR(__xludf.DUMMYFUNCTION("""COMPUTED_VALUE"""),0.11)</f>
        <v>0.11</v>
      </c>
      <c r="E323" s="1">
        <f>IFERROR(__xludf.DUMMYFUNCTION("""COMPUTED_VALUE"""),0.11)</f>
        <v>0.11</v>
      </c>
      <c r="F323" s="1">
        <f>IFERROR(__xludf.DUMMYFUNCTION("""COMPUTED_VALUE"""),860714.0)</f>
        <v>860714</v>
      </c>
      <c r="G323" s="2" t="s">
        <v>2</v>
      </c>
    </row>
    <row r="324">
      <c r="A324" s="3">
        <f>IFERROR(__xludf.DUMMYFUNCTION("""COMPUTED_VALUE"""),45051.66666666667)</f>
        <v>45051.66667</v>
      </c>
      <c r="B324" s="1">
        <f>IFERROR(__xludf.DUMMYFUNCTION("""COMPUTED_VALUE"""),0.11)</f>
        <v>0.11</v>
      </c>
      <c r="C324" s="1">
        <f>IFERROR(__xludf.DUMMYFUNCTION("""COMPUTED_VALUE"""),0.11)</f>
        <v>0.11</v>
      </c>
      <c r="D324" s="1">
        <f>IFERROR(__xludf.DUMMYFUNCTION("""COMPUTED_VALUE"""),0.1)</f>
        <v>0.1</v>
      </c>
      <c r="E324" s="1">
        <f>IFERROR(__xludf.DUMMYFUNCTION("""COMPUTED_VALUE"""),0.11)</f>
        <v>0.11</v>
      </c>
      <c r="F324" s="1">
        <f>IFERROR(__xludf.DUMMYFUNCTION("""COMPUTED_VALUE"""),2248178.0)</f>
        <v>2248178</v>
      </c>
      <c r="G324" s="2" t="s">
        <v>2</v>
      </c>
    </row>
    <row r="325">
      <c r="A325" s="3">
        <f>IFERROR(__xludf.DUMMYFUNCTION("""COMPUTED_VALUE"""),45054.66666666667)</f>
        <v>45054.66667</v>
      </c>
      <c r="B325" s="1">
        <f>IFERROR(__xludf.DUMMYFUNCTION("""COMPUTED_VALUE"""),0.11)</f>
        <v>0.11</v>
      </c>
      <c r="C325" s="1">
        <f>IFERROR(__xludf.DUMMYFUNCTION("""COMPUTED_VALUE"""),0.11)</f>
        <v>0.11</v>
      </c>
      <c r="D325" s="1">
        <f>IFERROR(__xludf.DUMMYFUNCTION("""COMPUTED_VALUE"""),0.11)</f>
        <v>0.11</v>
      </c>
      <c r="E325" s="1">
        <f>IFERROR(__xludf.DUMMYFUNCTION("""COMPUTED_VALUE"""),0.11)</f>
        <v>0.11</v>
      </c>
      <c r="F325" s="1">
        <f>IFERROR(__xludf.DUMMYFUNCTION("""COMPUTED_VALUE"""),699076.0)</f>
        <v>699076</v>
      </c>
      <c r="G325" s="2" t="s">
        <v>2</v>
      </c>
    </row>
    <row r="326">
      <c r="A326" s="3">
        <f>IFERROR(__xludf.DUMMYFUNCTION("""COMPUTED_VALUE"""),45055.66666666667)</f>
        <v>45055.66667</v>
      </c>
      <c r="B326" s="1">
        <f>IFERROR(__xludf.DUMMYFUNCTION("""COMPUTED_VALUE"""),0.11)</f>
        <v>0.11</v>
      </c>
      <c r="C326" s="1">
        <f>IFERROR(__xludf.DUMMYFUNCTION("""COMPUTED_VALUE"""),0.12)</f>
        <v>0.12</v>
      </c>
      <c r="D326" s="1">
        <f>IFERROR(__xludf.DUMMYFUNCTION("""COMPUTED_VALUE"""),0.11)</f>
        <v>0.11</v>
      </c>
      <c r="E326" s="1">
        <f>IFERROR(__xludf.DUMMYFUNCTION("""COMPUTED_VALUE"""),0.12)</f>
        <v>0.12</v>
      </c>
      <c r="F326" s="1">
        <f>IFERROR(__xludf.DUMMYFUNCTION("""COMPUTED_VALUE"""),270672.0)</f>
        <v>270672</v>
      </c>
      <c r="G326" s="2" t="s">
        <v>2</v>
      </c>
    </row>
    <row r="327">
      <c r="A327" s="3">
        <f>IFERROR(__xludf.DUMMYFUNCTION("""COMPUTED_VALUE"""),45056.66666666667)</f>
        <v>45056.66667</v>
      </c>
      <c r="B327" s="1">
        <f>IFERROR(__xludf.DUMMYFUNCTION("""COMPUTED_VALUE"""),0.12)</f>
        <v>0.12</v>
      </c>
      <c r="C327" s="1">
        <f>IFERROR(__xludf.DUMMYFUNCTION("""COMPUTED_VALUE"""),0.12)</f>
        <v>0.12</v>
      </c>
      <c r="D327" s="1">
        <f>IFERROR(__xludf.DUMMYFUNCTION("""COMPUTED_VALUE"""),0.11)</f>
        <v>0.11</v>
      </c>
      <c r="E327" s="1">
        <f>IFERROR(__xludf.DUMMYFUNCTION("""COMPUTED_VALUE"""),0.11)</f>
        <v>0.11</v>
      </c>
      <c r="F327" s="1">
        <f>IFERROR(__xludf.DUMMYFUNCTION("""COMPUTED_VALUE"""),353996.0)</f>
        <v>353996</v>
      </c>
      <c r="G327" s="2" t="s">
        <v>2</v>
      </c>
    </row>
    <row r="328">
      <c r="A328" s="3">
        <f>IFERROR(__xludf.DUMMYFUNCTION("""COMPUTED_VALUE"""),45057.66666666667)</f>
        <v>45057.66667</v>
      </c>
      <c r="B328" s="1">
        <f>IFERROR(__xludf.DUMMYFUNCTION("""COMPUTED_VALUE"""),0.12)</f>
        <v>0.12</v>
      </c>
      <c r="C328" s="1">
        <f>IFERROR(__xludf.DUMMYFUNCTION("""COMPUTED_VALUE"""),0.12)</f>
        <v>0.12</v>
      </c>
      <c r="D328" s="1">
        <f>IFERROR(__xludf.DUMMYFUNCTION("""COMPUTED_VALUE"""),0.11)</f>
        <v>0.11</v>
      </c>
      <c r="E328" s="1">
        <f>IFERROR(__xludf.DUMMYFUNCTION("""COMPUTED_VALUE"""),0.11)</f>
        <v>0.11</v>
      </c>
      <c r="F328" s="1">
        <f>IFERROR(__xludf.DUMMYFUNCTION("""COMPUTED_VALUE"""),892659.0)</f>
        <v>892659</v>
      </c>
      <c r="G328" s="2" t="s">
        <v>2</v>
      </c>
    </row>
    <row r="329">
      <c r="A329" s="3">
        <f>IFERROR(__xludf.DUMMYFUNCTION("""COMPUTED_VALUE"""),45058.66666666667)</f>
        <v>45058.66667</v>
      </c>
      <c r="B329" s="1">
        <f>IFERROR(__xludf.DUMMYFUNCTION("""COMPUTED_VALUE"""),0.11)</f>
        <v>0.11</v>
      </c>
      <c r="C329" s="1">
        <f>IFERROR(__xludf.DUMMYFUNCTION("""COMPUTED_VALUE"""),0.12)</f>
        <v>0.12</v>
      </c>
      <c r="D329" s="1">
        <f>IFERROR(__xludf.DUMMYFUNCTION("""COMPUTED_VALUE"""),0.1)</f>
        <v>0.1</v>
      </c>
      <c r="E329" s="1">
        <f>IFERROR(__xludf.DUMMYFUNCTION("""COMPUTED_VALUE"""),0.1)</f>
        <v>0.1</v>
      </c>
      <c r="F329" s="1">
        <f>IFERROR(__xludf.DUMMYFUNCTION("""COMPUTED_VALUE"""),2324793.0)</f>
        <v>2324793</v>
      </c>
      <c r="G329" s="2" t="s">
        <v>2</v>
      </c>
    </row>
    <row r="330">
      <c r="A330" s="3">
        <f>IFERROR(__xludf.DUMMYFUNCTION("""COMPUTED_VALUE"""),45061.66666666667)</f>
        <v>45061.66667</v>
      </c>
      <c r="B330" s="1">
        <f>IFERROR(__xludf.DUMMYFUNCTION("""COMPUTED_VALUE"""),0.11)</f>
        <v>0.11</v>
      </c>
      <c r="C330" s="1">
        <f>IFERROR(__xludf.DUMMYFUNCTION("""COMPUTED_VALUE"""),0.11)</f>
        <v>0.11</v>
      </c>
      <c r="D330" s="1">
        <f>IFERROR(__xludf.DUMMYFUNCTION("""COMPUTED_VALUE"""),0.1)</f>
        <v>0.1</v>
      </c>
      <c r="E330" s="1">
        <f>IFERROR(__xludf.DUMMYFUNCTION("""COMPUTED_VALUE"""),0.1)</f>
        <v>0.1</v>
      </c>
      <c r="F330" s="1">
        <f>IFERROR(__xludf.DUMMYFUNCTION("""COMPUTED_VALUE"""),3740964.0)</f>
        <v>3740964</v>
      </c>
      <c r="G330" s="2" t="s">
        <v>2</v>
      </c>
    </row>
    <row r="331">
      <c r="A331" s="3">
        <f>IFERROR(__xludf.DUMMYFUNCTION("""COMPUTED_VALUE"""),45062.66666666667)</f>
        <v>45062.66667</v>
      </c>
      <c r="B331" s="1">
        <f>IFERROR(__xludf.DUMMYFUNCTION("""COMPUTED_VALUE"""),0.1)</f>
        <v>0.1</v>
      </c>
      <c r="C331" s="1">
        <f>IFERROR(__xludf.DUMMYFUNCTION("""COMPUTED_VALUE"""),0.1)</f>
        <v>0.1</v>
      </c>
      <c r="D331" s="1">
        <f>IFERROR(__xludf.DUMMYFUNCTION("""COMPUTED_VALUE"""),0.09)</f>
        <v>0.09</v>
      </c>
      <c r="E331" s="1">
        <f>IFERROR(__xludf.DUMMYFUNCTION("""COMPUTED_VALUE"""),0.09)</f>
        <v>0.09</v>
      </c>
      <c r="F331" s="1">
        <f>IFERROR(__xludf.DUMMYFUNCTION("""COMPUTED_VALUE"""),1672608.0)</f>
        <v>1672608</v>
      </c>
      <c r="G331" s="2" t="s">
        <v>2</v>
      </c>
    </row>
    <row r="332">
      <c r="A332" s="3">
        <f>IFERROR(__xludf.DUMMYFUNCTION("""COMPUTED_VALUE"""),45063.66666666667)</f>
        <v>45063.66667</v>
      </c>
      <c r="B332" s="1">
        <f>IFERROR(__xludf.DUMMYFUNCTION("""COMPUTED_VALUE"""),0.09)</f>
        <v>0.09</v>
      </c>
      <c r="C332" s="1">
        <f>IFERROR(__xludf.DUMMYFUNCTION("""COMPUTED_VALUE"""),0.09)</f>
        <v>0.09</v>
      </c>
      <c r="D332" s="1">
        <f>IFERROR(__xludf.DUMMYFUNCTION("""COMPUTED_VALUE"""),0.09)</f>
        <v>0.09</v>
      </c>
      <c r="E332" s="1">
        <f>IFERROR(__xludf.DUMMYFUNCTION("""COMPUTED_VALUE"""),0.09)</f>
        <v>0.09</v>
      </c>
      <c r="F332" s="1">
        <f>IFERROR(__xludf.DUMMYFUNCTION("""COMPUTED_VALUE"""),477416.0)</f>
        <v>477416</v>
      </c>
      <c r="G332" s="2" t="s">
        <v>2</v>
      </c>
    </row>
    <row r="333">
      <c r="A333" s="3">
        <f>IFERROR(__xludf.DUMMYFUNCTION("""COMPUTED_VALUE"""),45064.66666666667)</f>
        <v>45064.66667</v>
      </c>
      <c r="B333" s="1">
        <f>IFERROR(__xludf.DUMMYFUNCTION("""COMPUTED_VALUE"""),0.09)</f>
        <v>0.09</v>
      </c>
      <c r="C333" s="1">
        <f>IFERROR(__xludf.DUMMYFUNCTION("""COMPUTED_VALUE"""),0.1)</f>
        <v>0.1</v>
      </c>
      <c r="D333" s="1">
        <f>IFERROR(__xludf.DUMMYFUNCTION("""COMPUTED_VALUE"""),0.09)</f>
        <v>0.09</v>
      </c>
      <c r="E333" s="1">
        <f>IFERROR(__xludf.DUMMYFUNCTION("""COMPUTED_VALUE"""),0.1)</f>
        <v>0.1</v>
      </c>
      <c r="F333" s="1">
        <f>IFERROR(__xludf.DUMMYFUNCTION("""COMPUTED_VALUE"""),1987499.0)</f>
        <v>1987499</v>
      </c>
      <c r="G333" s="2" t="s">
        <v>2</v>
      </c>
    </row>
    <row r="334">
      <c r="A334" s="3">
        <f>IFERROR(__xludf.DUMMYFUNCTION("""COMPUTED_VALUE"""),45065.66666666667)</f>
        <v>45065.66667</v>
      </c>
      <c r="B334" s="1">
        <f>IFERROR(__xludf.DUMMYFUNCTION("""COMPUTED_VALUE"""),0.11)</f>
        <v>0.11</v>
      </c>
      <c r="C334" s="1">
        <f>IFERROR(__xludf.DUMMYFUNCTION("""COMPUTED_VALUE"""),0.11)</f>
        <v>0.11</v>
      </c>
      <c r="D334" s="1">
        <f>IFERROR(__xludf.DUMMYFUNCTION("""COMPUTED_VALUE"""),0.1)</f>
        <v>0.1</v>
      </c>
      <c r="E334" s="1">
        <f>IFERROR(__xludf.DUMMYFUNCTION("""COMPUTED_VALUE"""),0.1)</f>
        <v>0.1</v>
      </c>
      <c r="F334" s="1">
        <f>IFERROR(__xludf.DUMMYFUNCTION("""COMPUTED_VALUE"""),997791.0)</f>
        <v>997791</v>
      </c>
      <c r="G334" s="2" t="s">
        <v>2</v>
      </c>
    </row>
    <row r="335">
      <c r="A335" s="3">
        <f>IFERROR(__xludf.DUMMYFUNCTION("""COMPUTED_VALUE"""),45068.66666666667)</f>
        <v>45068.66667</v>
      </c>
      <c r="B335" s="1">
        <f>IFERROR(__xludf.DUMMYFUNCTION("""COMPUTED_VALUE"""),0.1)</f>
        <v>0.1</v>
      </c>
      <c r="C335" s="1">
        <f>IFERROR(__xludf.DUMMYFUNCTION("""COMPUTED_VALUE"""),0.1)</f>
        <v>0.1</v>
      </c>
      <c r="D335" s="1">
        <f>IFERROR(__xludf.DUMMYFUNCTION("""COMPUTED_VALUE"""),0.09)</f>
        <v>0.09</v>
      </c>
      <c r="E335" s="1">
        <f>IFERROR(__xludf.DUMMYFUNCTION("""COMPUTED_VALUE"""),0.1)</f>
        <v>0.1</v>
      </c>
      <c r="F335" s="1">
        <f>IFERROR(__xludf.DUMMYFUNCTION("""COMPUTED_VALUE"""),337789.0)</f>
        <v>337789</v>
      </c>
      <c r="G335" s="2" t="s">
        <v>2</v>
      </c>
    </row>
    <row r="336">
      <c r="A336" s="3">
        <f>IFERROR(__xludf.DUMMYFUNCTION("""COMPUTED_VALUE"""),45069.66666666667)</f>
        <v>45069.66667</v>
      </c>
      <c r="B336" s="1">
        <f>IFERROR(__xludf.DUMMYFUNCTION("""COMPUTED_VALUE"""),0.09)</f>
        <v>0.09</v>
      </c>
      <c r="C336" s="1">
        <f>IFERROR(__xludf.DUMMYFUNCTION("""COMPUTED_VALUE"""),0.09)</f>
        <v>0.09</v>
      </c>
      <c r="D336" s="1">
        <f>IFERROR(__xludf.DUMMYFUNCTION("""COMPUTED_VALUE"""),0.09)</f>
        <v>0.09</v>
      </c>
      <c r="E336" s="1">
        <f>IFERROR(__xludf.DUMMYFUNCTION("""COMPUTED_VALUE"""),0.09)</f>
        <v>0.09</v>
      </c>
      <c r="F336" s="1">
        <f>IFERROR(__xludf.DUMMYFUNCTION("""COMPUTED_VALUE"""),562116.0)</f>
        <v>562116</v>
      </c>
      <c r="G336" s="2" t="s">
        <v>2</v>
      </c>
    </row>
    <row r="337">
      <c r="A337" s="3">
        <f>IFERROR(__xludf.DUMMYFUNCTION("""COMPUTED_VALUE"""),45070.66666666667)</f>
        <v>45070.66667</v>
      </c>
      <c r="B337" s="1">
        <f>IFERROR(__xludf.DUMMYFUNCTION("""COMPUTED_VALUE"""),0.09)</f>
        <v>0.09</v>
      </c>
      <c r="C337" s="1">
        <f>IFERROR(__xludf.DUMMYFUNCTION("""COMPUTED_VALUE"""),0.09)</f>
        <v>0.09</v>
      </c>
      <c r="D337" s="1">
        <f>IFERROR(__xludf.DUMMYFUNCTION("""COMPUTED_VALUE"""),0.09)</f>
        <v>0.09</v>
      </c>
      <c r="E337" s="1">
        <f>IFERROR(__xludf.DUMMYFUNCTION("""COMPUTED_VALUE"""),0.09)</f>
        <v>0.09</v>
      </c>
      <c r="F337" s="1">
        <f>IFERROR(__xludf.DUMMYFUNCTION("""COMPUTED_VALUE"""),361972.0)</f>
        <v>361972</v>
      </c>
      <c r="G337" s="2" t="s">
        <v>2</v>
      </c>
    </row>
    <row r="338">
      <c r="A338" s="3">
        <f>IFERROR(__xludf.DUMMYFUNCTION("""COMPUTED_VALUE"""),45071.66666666667)</f>
        <v>45071.66667</v>
      </c>
      <c r="B338" s="1">
        <f>IFERROR(__xludf.DUMMYFUNCTION("""COMPUTED_VALUE"""),0.09)</f>
        <v>0.09</v>
      </c>
      <c r="C338" s="1">
        <f>IFERROR(__xludf.DUMMYFUNCTION("""COMPUTED_VALUE"""),0.1)</f>
        <v>0.1</v>
      </c>
      <c r="D338" s="1">
        <f>IFERROR(__xludf.DUMMYFUNCTION("""COMPUTED_VALUE"""),0.09)</f>
        <v>0.09</v>
      </c>
      <c r="E338" s="1">
        <f>IFERROR(__xludf.DUMMYFUNCTION("""COMPUTED_VALUE"""),0.09)</f>
        <v>0.09</v>
      </c>
      <c r="F338" s="1">
        <f>IFERROR(__xludf.DUMMYFUNCTION("""COMPUTED_VALUE"""),228114.0)</f>
        <v>228114</v>
      </c>
      <c r="G338" s="2" t="s">
        <v>2</v>
      </c>
    </row>
    <row r="339">
      <c r="A339" s="3">
        <f>IFERROR(__xludf.DUMMYFUNCTION("""COMPUTED_VALUE"""),45072.66666666667)</f>
        <v>45072.66667</v>
      </c>
      <c r="B339" s="1">
        <f>IFERROR(__xludf.DUMMYFUNCTION("""COMPUTED_VALUE"""),0.09)</f>
        <v>0.09</v>
      </c>
      <c r="C339" s="1">
        <f>IFERROR(__xludf.DUMMYFUNCTION("""COMPUTED_VALUE"""),0.09)</f>
        <v>0.09</v>
      </c>
      <c r="D339" s="1">
        <f>IFERROR(__xludf.DUMMYFUNCTION("""COMPUTED_VALUE"""),0.09)</f>
        <v>0.09</v>
      </c>
      <c r="E339" s="1">
        <f>IFERROR(__xludf.DUMMYFUNCTION("""COMPUTED_VALUE"""),0.09)</f>
        <v>0.09</v>
      </c>
      <c r="F339" s="1">
        <f>IFERROR(__xludf.DUMMYFUNCTION("""COMPUTED_VALUE"""),247170.0)</f>
        <v>247170</v>
      </c>
      <c r="G339" s="2" t="s">
        <v>2</v>
      </c>
    </row>
    <row r="340">
      <c r="A340" s="3">
        <f>IFERROR(__xludf.DUMMYFUNCTION("""COMPUTED_VALUE"""),45075.66666666667)</f>
        <v>45075.66667</v>
      </c>
      <c r="B340" s="1">
        <f>IFERROR(__xludf.DUMMYFUNCTION("""COMPUTED_VALUE"""),0.09)</f>
        <v>0.09</v>
      </c>
      <c r="C340" s="1">
        <f>IFERROR(__xludf.DUMMYFUNCTION("""COMPUTED_VALUE"""),0.09)</f>
        <v>0.09</v>
      </c>
      <c r="D340" s="1">
        <f>IFERROR(__xludf.DUMMYFUNCTION("""COMPUTED_VALUE"""),0.09)</f>
        <v>0.09</v>
      </c>
      <c r="E340" s="1">
        <f>IFERROR(__xludf.DUMMYFUNCTION("""COMPUTED_VALUE"""),0.09)</f>
        <v>0.09</v>
      </c>
      <c r="F340" s="1">
        <f>IFERROR(__xludf.DUMMYFUNCTION("""COMPUTED_VALUE"""),559079.0)</f>
        <v>559079</v>
      </c>
      <c r="G340" s="2" t="s">
        <v>2</v>
      </c>
    </row>
    <row r="341">
      <c r="A341" s="3">
        <f>IFERROR(__xludf.DUMMYFUNCTION("""COMPUTED_VALUE"""),45076.66666666667)</f>
        <v>45076.66667</v>
      </c>
      <c r="B341" s="1">
        <f>IFERROR(__xludf.DUMMYFUNCTION("""COMPUTED_VALUE"""),0.09)</f>
        <v>0.09</v>
      </c>
      <c r="C341" s="1">
        <f>IFERROR(__xludf.DUMMYFUNCTION("""COMPUTED_VALUE"""),0.09)</f>
        <v>0.09</v>
      </c>
      <c r="D341" s="1">
        <f>IFERROR(__xludf.DUMMYFUNCTION("""COMPUTED_VALUE"""),0.08)</f>
        <v>0.08</v>
      </c>
      <c r="E341" s="1">
        <f>IFERROR(__xludf.DUMMYFUNCTION("""COMPUTED_VALUE"""),0.09)</f>
        <v>0.09</v>
      </c>
      <c r="F341" s="1">
        <f>IFERROR(__xludf.DUMMYFUNCTION("""COMPUTED_VALUE"""),481650.0)</f>
        <v>481650</v>
      </c>
      <c r="G341" s="2" t="s">
        <v>2</v>
      </c>
    </row>
    <row r="342">
      <c r="A342" s="3">
        <f>IFERROR(__xludf.DUMMYFUNCTION("""COMPUTED_VALUE"""),45077.66666666667)</f>
        <v>45077.66667</v>
      </c>
      <c r="B342" s="1">
        <f>IFERROR(__xludf.DUMMYFUNCTION("""COMPUTED_VALUE"""),0.09)</f>
        <v>0.09</v>
      </c>
      <c r="C342" s="1">
        <f>IFERROR(__xludf.DUMMYFUNCTION("""COMPUTED_VALUE"""),0.09)</f>
        <v>0.09</v>
      </c>
      <c r="D342" s="1">
        <f>IFERROR(__xludf.DUMMYFUNCTION("""COMPUTED_VALUE"""),0.08)</f>
        <v>0.08</v>
      </c>
      <c r="E342" s="1">
        <f>IFERROR(__xludf.DUMMYFUNCTION("""COMPUTED_VALUE"""),0.08)</f>
        <v>0.08</v>
      </c>
      <c r="F342" s="1">
        <f>IFERROR(__xludf.DUMMYFUNCTION("""COMPUTED_VALUE"""),679153.0)</f>
        <v>679153</v>
      </c>
      <c r="G342" s="2" t="s">
        <v>2</v>
      </c>
    </row>
    <row r="343">
      <c r="A343" s="3">
        <f>IFERROR(__xludf.DUMMYFUNCTION("""COMPUTED_VALUE"""),45078.66666666667)</f>
        <v>45078.66667</v>
      </c>
      <c r="B343" s="1">
        <f>IFERROR(__xludf.DUMMYFUNCTION("""COMPUTED_VALUE"""),0.08)</f>
        <v>0.08</v>
      </c>
      <c r="C343" s="1">
        <f>IFERROR(__xludf.DUMMYFUNCTION("""COMPUTED_VALUE"""),0.09)</f>
        <v>0.09</v>
      </c>
      <c r="D343" s="1">
        <f>IFERROR(__xludf.DUMMYFUNCTION("""COMPUTED_VALUE"""),0.08)</f>
        <v>0.08</v>
      </c>
      <c r="E343" s="1">
        <f>IFERROR(__xludf.DUMMYFUNCTION("""COMPUTED_VALUE"""),0.08)</f>
        <v>0.08</v>
      </c>
      <c r="F343" s="1">
        <f>IFERROR(__xludf.DUMMYFUNCTION("""COMPUTED_VALUE"""),328035.0)</f>
        <v>328035</v>
      </c>
      <c r="G343" s="2" t="s">
        <v>2</v>
      </c>
    </row>
    <row r="344">
      <c r="A344" s="3">
        <f>IFERROR(__xludf.DUMMYFUNCTION("""COMPUTED_VALUE"""),45079.66666666667)</f>
        <v>45079.66667</v>
      </c>
      <c r="B344" s="1">
        <f>IFERROR(__xludf.DUMMYFUNCTION("""COMPUTED_VALUE"""),0.09)</f>
        <v>0.09</v>
      </c>
      <c r="C344" s="1">
        <f>IFERROR(__xludf.DUMMYFUNCTION("""COMPUTED_VALUE"""),0.09)</f>
        <v>0.09</v>
      </c>
      <c r="D344" s="1">
        <f>IFERROR(__xludf.DUMMYFUNCTION("""COMPUTED_VALUE"""),0.09)</f>
        <v>0.09</v>
      </c>
      <c r="E344" s="1">
        <f>IFERROR(__xludf.DUMMYFUNCTION("""COMPUTED_VALUE"""),0.09)</f>
        <v>0.09</v>
      </c>
      <c r="F344" s="1">
        <f>IFERROR(__xludf.DUMMYFUNCTION("""COMPUTED_VALUE"""),217735.0)</f>
        <v>217735</v>
      </c>
      <c r="G344" s="2" t="s">
        <v>2</v>
      </c>
    </row>
    <row r="345">
      <c r="A345" s="3">
        <f>IFERROR(__xludf.DUMMYFUNCTION("""COMPUTED_VALUE"""),45082.66666666667)</f>
        <v>45082.66667</v>
      </c>
      <c r="B345" s="1">
        <f>IFERROR(__xludf.DUMMYFUNCTION("""COMPUTED_VALUE"""),0.08)</f>
        <v>0.08</v>
      </c>
      <c r="C345" s="1">
        <f>IFERROR(__xludf.DUMMYFUNCTION("""COMPUTED_VALUE"""),0.09)</f>
        <v>0.09</v>
      </c>
      <c r="D345" s="1">
        <f>IFERROR(__xludf.DUMMYFUNCTION("""COMPUTED_VALUE"""),0.08)</f>
        <v>0.08</v>
      </c>
      <c r="E345" s="1">
        <f>IFERROR(__xludf.DUMMYFUNCTION("""COMPUTED_VALUE"""),0.09)</f>
        <v>0.09</v>
      </c>
      <c r="F345" s="1">
        <f>IFERROR(__xludf.DUMMYFUNCTION("""COMPUTED_VALUE"""),246996.0)</f>
        <v>246996</v>
      </c>
      <c r="G345" s="2" t="s">
        <v>2</v>
      </c>
    </row>
    <row r="346">
      <c r="A346" s="3">
        <f>IFERROR(__xludf.DUMMYFUNCTION("""COMPUTED_VALUE"""),45083.66666666667)</f>
        <v>45083.66667</v>
      </c>
      <c r="B346" s="1">
        <f>IFERROR(__xludf.DUMMYFUNCTION("""COMPUTED_VALUE"""),0.09)</f>
        <v>0.09</v>
      </c>
      <c r="C346" s="1">
        <f>IFERROR(__xludf.DUMMYFUNCTION("""COMPUTED_VALUE"""),0.09)</f>
        <v>0.09</v>
      </c>
      <c r="D346" s="1">
        <f>IFERROR(__xludf.DUMMYFUNCTION("""COMPUTED_VALUE"""),0.09)</f>
        <v>0.09</v>
      </c>
      <c r="E346" s="1">
        <f>IFERROR(__xludf.DUMMYFUNCTION("""COMPUTED_VALUE"""),0.09)</f>
        <v>0.09</v>
      </c>
      <c r="F346" s="1">
        <f>IFERROR(__xludf.DUMMYFUNCTION("""COMPUTED_VALUE"""),1013398.0)</f>
        <v>1013398</v>
      </c>
      <c r="G346" s="2" t="s">
        <v>2</v>
      </c>
    </row>
    <row r="347">
      <c r="A347" s="3">
        <f>IFERROR(__xludf.DUMMYFUNCTION("""COMPUTED_VALUE"""),45084.66666666667)</f>
        <v>45084.66667</v>
      </c>
      <c r="B347" s="1">
        <f>IFERROR(__xludf.DUMMYFUNCTION("""COMPUTED_VALUE"""),0.09)</f>
        <v>0.09</v>
      </c>
      <c r="C347" s="1">
        <f>IFERROR(__xludf.DUMMYFUNCTION("""COMPUTED_VALUE"""),0.09)</f>
        <v>0.09</v>
      </c>
      <c r="D347" s="1">
        <f>IFERROR(__xludf.DUMMYFUNCTION("""COMPUTED_VALUE"""),0.09)</f>
        <v>0.09</v>
      </c>
      <c r="E347" s="1">
        <f>IFERROR(__xludf.DUMMYFUNCTION("""COMPUTED_VALUE"""),0.09)</f>
        <v>0.09</v>
      </c>
      <c r="F347" s="1">
        <f>IFERROR(__xludf.DUMMYFUNCTION("""COMPUTED_VALUE"""),413821.0)</f>
        <v>413821</v>
      </c>
      <c r="G347" s="2" t="s">
        <v>2</v>
      </c>
    </row>
    <row r="348">
      <c r="A348" s="3">
        <f>IFERROR(__xludf.DUMMYFUNCTION("""COMPUTED_VALUE"""),45085.66666666667)</f>
        <v>45085.66667</v>
      </c>
      <c r="B348" s="1">
        <f>IFERROR(__xludf.DUMMYFUNCTION("""COMPUTED_VALUE"""),0.1)</f>
        <v>0.1</v>
      </c>
      <c r="C348" s="1">
        <f>IFERROR(__xludf.DUMMYFUNCTION("""COMPUTED_VALUE"""),0.1)</f>
        <v>0.1</v>
      </c>
      <c r="D348" s="1">
        <f>IFERROR(__xludf.DUMMYFUNCTION("""COMPUTED_VALUE"""),0.09)</f>
        <v>0.09</v>
      </c>
      <c r="E348" s="1">
        <f>IFERROR(__xludf.DUMMYFUNCTION("""COMPUTED_VALUE"""),0.09)</f>
        <v>0.09</v>
      </c>
      <c r="F348" s="1">
        <f>IFERROR(__xludf.DUMMYFUNCTION("""COMPUTED_VALUE"""),582544.0)</f>
        <v>582544</v>
      </c>
      <c r="G348" s="2" t="s">
        <v>2</v>
      </c>
    </row>
    <row r="349">
      <c r="A349" s="3">
        <f>IFERROR(__xludf.DUMMYFUNCTION("""COMPUTED_VALUE"""),45086.66666666667)</f>
        <v>45086.66667</v>
      </c>
      <c r="B349" s="1">
        <f>IFERROR(__xludf.DUMMYFUNCTION("""COMPUTED_VALUE"""),0.09)</f>
        <v>0.09</v>
      </c>
      <c r="C349" s="1">
        <f>IFERROR(__xludf.DUMMYFUNCTION("""COMPUTED_VALUE"""),0.09)</f>
        <v>0.09</v>
      </c>
      <c r="D349" s="1">
        <f>IFERROR(__xludf.DUMMYFUNCTION("""COMPUTED_VALUE"""),0.09)</f>
        <v>0.09</v>
      </c>
      <c r="E349" s="1">
        <f>IFERROR(__xludf.DUMMYFUNCTION("""COMPUTED_VALUE"""),0.09)</f>
        <v>0.09</v>
      </c>
      <c r="F349" s="1">
        <f>IFERROR(__xludf.DUMMYFUNCTION("""COMPUTED_VALUE"""),171125.0)</f>
        <v>171125</v>
      </c>
      <c r="G349" s="2" t="s">
        <v>2</v>
      </c>
    </row>
    <row r="350">
      <c r="A350" s="3">
        <f>IFERROR(__xludf.DUMMYFUNCTION("""COMPUTED_VALUE"""),45090.66666666667)</f>
        <v>45090.66667</v>
      </c>
      <c r="B350" s="1">
        <f>IFERROR(__xludf.DUMMYFUNCTION("""COMPUTED_VALUE"""),0.09)</f>
        <v>0.09</v>
      </c>
      <c r="C350" s="1">
        <f>IFERROR(__xludf.DUMMYFUNCTION("""COMPUTED_VALUE"""),0.09)</f>
        <v>0.09</v>
      </c>
      <c r="D350" s="1">
        <f>IFERROR(__xludf.DUMMYFUNCTION("""COMPUTED_VALUE"""),0.08)</f>
        <v>0.08</v>
      </c>
      <c r="E350" s="1">
        <f>IFERROR(__xludf.DUMMYFUNCTION("""COMPUTED_VALUE"""),0.08)</f>
        <v>0.08</v>
      </c>
      <c r="F350" s="1">
        <f>IFERROR(__xludf.DUMMYFUNCTION("""COMPUTED_VALUE"""),370704.0)</f>
        <v>370704</v>
      </c>
      <c r="G350" s="2" t="s">
        <v>2</v>
      </c>
    </row>
    <row r="351">
      <c r="A351" s="3">
        <f>IFERROR(__xludf.DUMMYFUNCTION("""COMPUTED_VALUE"""),45091.66666666667)</f>
        <v>45091.66667</v>
      </c>
      <c r="B351" s="1">
        <f>IFERROR(__xludf.DUMMYFUNCTION("""COMPUTED_VALUE"""),0.08)</f>
        <v>0.08</v>
      </c>
      <c r="C351" s="1">
        <f>IFERROR(__xludf.DUMMYFUNCTION("""COMPUTED_VALUE"""),0.08)</f>
        <v>0.08</v>
      </c>
      <c r="D351" s="1">
        <f>IFERROR(__xludf.DUMMYFUNCTION("""COMPUTED_VALUE"""),0.08)</f>
        <v>0.08</v>
      </c>
      <c r="E351" s="1">
        <f>IFERROR(__xludf.DUMMYFUNCTION("""COMPUTED_VALUE"""),0.08)</f>
        <v>0.08</v>
      </c>
      <c r="F351" s="1">
        <f>IFERROR(__xludf.DUMMYFUNCTION("""COMPUTED_VALUE"""),416415.0)</f>
        <v>416415</v>
      </c>
      <c r="G351" s="2" t="s">
        <v>2</v>
      </c>
    </row>
    <row r="352">
      <c r="A352" s="3">
        <f>IFERROR(__xludf.DUMMYFUNCTION("""COMPUTED_VALUE"""),45092.66666666667)</f>
        <v>45092.66667</v>
      </c>
      <c r="B352" s="1">
        <f>IFERROR(__xludf.DUMMYFUNCTION("""COMPUTED_VALUE"""),0.09)</f>
        <v>0.09</v>
      </c>
      <c r="C352" s="1">
        <f>IFERROR(__xludf.DUMMYFUNCTION("""COMPUTED_VALUE"""),0.09)</f>
        <v>0.09</v>
      </c>
      <c r="D352" s="1">
        <f>IFERROR(__xludf.DUMMYFUNCTION("""COMPUTED_VALUE"""),0.08)</f>
        <v>0.08</v>
      </c>
      <c r="E352" s="1">
        <f>IFERROR(__xludf.DUMMYFUNCTION("""COMPUTED_VALUE"""),0.08)</f>
        <v>0.08</v>
      </c>
      <c r="F352" s="1">
        <f>IFERROR(__xludf.DUMMYFUNCTION("""COMPUTED_VALUE"""),703771.0)</f>
        <v>703771</v>
      </c>
      <c r="G352" s="2" t="s">
        <v>2</v>
      </c>
    </row>
    <row r="353">
      <c r="A353" s="3">
        <f>IFERROR(__xludf.DUMMYFUNCTION("""COMPUTED_VALUE"""),45093.66666666667)</f>
        <v>45093.66667</v>
      </c>
      <c r="B353" s="1">
        <f>IFERROR(__xludf.DUMMYFUNCTION("""COMPUTED_VALUE"""),0.08)</f>
        <v>0.08</v>
      </c>
      <c r="C353" s="1">
        <f>IFERROR(__xludf.DUMMYFUNCTION("""COMPUTED_VALUE"""),0.09)</f>
        <v>0.09</v>
      </c>
      <c r="D353" s="1">
        <f>IFERROR(__xludf.DUMMYFUNCTION("""COMPUTED_VALUE"""),0.08)</f>
        <v>0.08</v>
      </c>
      <c r="E353" s="1">
        <f>IFERROR(__xludf.DUMMYFUNCTION("""COMPUTED_VALUE"""),0.08)</f>
        <v>0.08</v>
      </c>
      <c r="F353" s="1">
        <f>IFERROR(__xludf.DUMMYFUNCTION("""COMPUTED_VALUE"""),485848.0)</f>
        <v>485848</v>
      </c>
      <c r="G353" s="2" t="s">
        <v>2</v>
      </c>
    </row>
    <row r="354">
      <c r="A354" s="3">
        <f>IFERROR(__xludf.DUMMYFUNCTION("""COMPUTED_VALUE"""),45096.66666666667)</f>
        <v>45096.66667</v>
      </c>
      <c r="B354" s="1">
        <f>IFERROR(__xludf.DUMMYFUNCTION("""COMPUTED_VALUE"""),0.09)</f>
        <v>0.09</v>
      </c>
      <c r="C354" s="1">
        <f>IFERROR(__xludf.DUMMYFUNCTION("""COMPUTED_VALUE"""),0.09)</f>
        <v>0.09</v>
      </c>
      <c r="D354" s="1">
        <f>IFERROR(__xludf.DUMMYFUNCTION("""COMPUTED_VALUE"""),0.08)</f>
        <v>0.08</v>
      </c>
      <c r="E354" s="1">
        <f>IFERROR(__xludf.DUMMYFUNCTION("""COMPUTED_VALUE"""),0.08)</f>
        <v>0.08</v>
      </c>
      <c r="F354" s="1">
        <f>IFERROR(__xludf.DUMMYFUNCTION("""COMPUTED_VALUE"""),132946.0)</f>
        <v>132946</v>
      </c>
      <c r="G354" s="2" t="s">
        <v>2</v>
      </c>
    </row>
    <row r="355">
      <c r="A355" s="3">
        <f>IFERROR(__xludf.DUMMYFUNCTION("""COMPUTED_VALUE"""),45097.66666666667)</f>
        <v>45097.66667</v>
      </c>
      <c r="B355" s="1">
        <f>IFERROR(__xludf.DUMMYFUNCTION("""COMPUTED_VALUE"""),0.08)</f>
        <v>0.08</v>
      </c>
      <c r="C355" s="1">
        <f>IFERROR(__xludf.DUMMYFUNCTION("""COMPUTED_VALUE"""),0.09)</f>
        <v>0.09</v>
      </c>
      <c r="D355" s="1">
        <f>IFERROR(__xludf.DUMMYFUNCTION("""COMPUTED_VALUE"""),0.08)</f>
        <v>0.08</v>
      </c>
      <c r="E355" s="1">
        <f>IFERROR(__xludf.DUMMYFUNCTION("""COMPUTED_VALUE"""),0.08)</f>
        <v>0.08</v>
      </c>
      <c r="F355" s="1">
        <f>IFERROR(__xludf.DUMMYFUNCTION("""COMPUTED_VALUE"""),335477.0)</f>
        <v>335477</v>
      </c>
      <c r="G355" s="2" t="s">
        <v>2</v>
      </c>
    </row>
    <row r="356">
      <c r="A356" s="3">
        <f>IFERROR(__xludf.DUMMYFUNCTION("""COMPUTED_VALUE"""),45098.66666666667)</f>
        <v>45098.66667</v>
      </c>
      <c r="B356" s="1">
        <f>IFERROR(__xludf.DUMMYFUNCTION("""COMPUTED_VALUE"""),0.08)</f>
        <v>0.08</v>
      </c>
      <c r="C356" s="1">
        <f>IFERROR(__xludf.DUMMYFUNCTION("""COMPUTED_VALUE"""),0.08)</f>
        <v>0.08</v>
      </c>
      <c r="D356" s="1">
        <f>IFERROR(__xludf.DUMMYFUNCTION("""COMPUTED_VALUE"""),0.08)</f>
        <v>0.08</v>
      </c>
      <c r="E356" s="1">
        <f>IFERROR(__xludf.DUMMYFUNCTION("""COMPUTED_VALUE"""),0.08)</f>
        <v>0.08</v>
      </c>
      <c r="F356" s="1">
        <f>IFERROR(__xludf.DUMMYFUNCTION("""COMPUTED_VALUE"""),934599.0)</f>
        <v>934599</v>
      </c>
      <c r="G356" s="2" t="s">
        <v>2</v>
      </c>
    </row>
    <row r="357">
      <c r="A357" s="3">
        <f>IFERROR(__xludf.DUMMYFUNCTION("""COMPUTED_VALUE"""),45099.66666666667)</f>
        <v>45099.66667</v>
      </c>
      <c r="B357" s="1">
        <f>IFERROR(__xludf.DUMMYFUNCTION("""COMPUTED_VALUE"""),0.08)</f>
        <v>0.08</v>
      </c>
      <c r="C357" s="1">
        <f>IFERROR(__xludf.DUMMYFUNCTION("""COMPUTED_VALUE"""),0.08)</f>
        <v>0.08</v>
      </c>
      <c r="D357" s="1">
        <f>IFERROR(__xludf.DUMMYFUNCTION("""COMPUTED_VALUE"""),0.08)</f>
        <v>0.08</v>
      </c>
      <c r="E357" s="1">
        <f>IFERROR(__xludf.DUMMYFUNCTION("""COMPUTED_VALUE"""),0.08)</f>
        <v>0.08</v>
      </c>
      <c r="F357" s="1">
        <f>IFERROR(__xludf.DUMMYFUNCTION("""COMPUTED_VALUE"""),325295.0)</f>
        <v>325295</v>
      </c>
      <c r="G357" s="2" t="s">
        <v>2</v>
      </c>
    </row>
    <row r="358">
      <c r="A358" s="3">
        <f>IFERROR(__xludf.DUMMYFUNCTION("""COMPUTED_VALUE"""),45100.66666666667)</f>
        <v>45100.66667</v>
      </c>
      <c r="B358" s="1">
        <f>IFERROR(__xludf.DUMMYFUNCTION("""COMPUTED_VALUE"""),0.08)</f>
        <v>0.08</v>
      </c>
      <c r="C358" s="1">
        <f>IFERROR(__xludf.DUMMYFUNCTION("""COMPUTED_VALUE"""),0.08)</f>
        <v>0.08</v>
      </c>
      <c r="D358" s="1">
        <f>IFERROR(__xludf.DUMMYFUNCTION("""COMPUTED_VALUE"""),0.08)</f>
        <v>0.08</v>
      </c>
      <c r="E358" s="1">
        <f>IFERROR(__xludf.DUMMYFUNCTION("""COMPUTED_VALUE"""),0.08)</f>
        <v>0.08</v>
      </c>
      <c r="F358" s="1">
        <f>IFERROR(__xludf.DUMMYFUNCTION("""COMPUTED_VALUE"""),320284.0)</f>
        <v>320284</v>
      </c>
      <c r="G358" s="2" t="s">
        <v>2</v>
      </c>
    </row>
    <row r="359">
      <c r="A359" s="3">
        <f>IFERROR(__xludf.DUMMYFUNCTION("""COMPUTED_VALUE"""),45103.66666666667)</f>
        <v>45103.66667</v>
      </c>
      <c r="B359" s="1">
        <f>IFERROR(__xludf.DUMMYFUNCTION("""COMPUTED_VALUE"""),0.08)</f>
        <v>0.08</v>
      </c>
      <c r="C359" s="1">
        <f>IFERROR(__xludf.DUMMYFUNCTION("""COMPUTED_VALUE"""),0.08)</f>
        <v>0.08</v>
      </c>
      <c r="D359" s="1">
        <f>IFERROR(__xludf.DUMMYFUNCTION("""COMPUTED_VALUE"""),0.08)</f>
        <v>0.08</v>
      </c>
      <c r="E359" s="1">
        <f>IFERROR(__xludf.DUMMYFUNCTION("""COMPUTED_VALUE"""),0.08)</f>
        <v>0.08</v>
      </c>
      <c r="F359" s="1">
        <f>IFERROR(__xludf.DUMMYFUNCTION("""COMPUTED_VALUE"""),240734.0)</f>
        <v>240734</v>
      </c>
      <c r="G359" s="2" t="s">
        <v>2</v>
      </c>
    </row>
    <row r="360">
      <c r="A360" s="3">
        <f>IFERROR(__xludf.DUMMYFUNCTION("""COMPUTED_VALUE"""),45104.66666666667)</f>
        <v>45104.66667</v>
      </c>
      <c r="B360" s="1">
        <f>IFERROR(__xludf.DUMMYFUNCTION("""COMPUTED_VALUE"""),0.08)</f>
        <v>0.08</v>
      </c>
      <c r="C360" s="1">
        <f>IFERROR(__xludf.DUMMYFUNCTION("""COMPUTED_VALUE"""),0.08)</f>
        <v>0.08</v>
      </c>
      <c r="D360" s="1">
        <f>IFERROR(__xludf.DUMMYFUNCTION("""COMPUTED_VALUE"""),0.08)</f>
        <v>0.08</v>
      </c>
      <c r="E360" s="1">
        <f>IFERROR(__xludf.DUMMYFUNCTION("""COMPUTED_VALUE"""),0.08)</f>
        <v>0.08</v>
      </c>
      <c r="F360" s="1">
        <f>IFERROR(__xludf.DUMMYFUNCTION("""COMPUTED_VALUE"""),505211.0)</f>
        <v>505211</v>
      </c>
      <c r="G360" s="2" t="s">
        <v>2</v>
      </c>
    </row>
    <row r="361">
      <c r="A361" s="3">
        <f>IFERROR(__xludf.DUMMYFUNCTION("""COMPUTED_VALUE"""),45105.66666666667)</f>
        <v>45105.66667</v>
      </c>
      <c r="B361" s="1">
        <f>IFERROR(__xludf.DUMMYFUNCTION("""COMPUTED_VALUE"""),0.08)</f>
        <v>0.08</v>
      </c>
      <c r="C361" s="1">
        <f>IFERROR(__xludf.DUMMYFUNCTION("""COMPUTED_VALUE"""),0.09)</f>
        <v>0.09</v>
      </c>
      <c r="D361" s="1">
        <f>IFERROR(__xludf.DUMMYFUNCTION("""COMPUTED_VALUE"""),0.08)</f>
        <v>0.08</v>
      </c>
      <c r="E361" s="1">
        <f>IFERROR(__xludf.DUMMYFUNCTION("""COMPUTED_VALUE"""),0.09)</f>
        <v>0.09</v>
      </c>
      <c r="F361" s="1">
        <f>IFERROR(__xludf.DUMMYFUNCTION("""COMPUTED_VALUE"""),1147810.0)</f>
        <v>1147810</v>
      </c>
      <c r="G361" s="2" t="s">
        <v>2</v>
      </c>
    </row>
    <row r="362">
      <c r="A362" s="3">
        <f>IFERROR(__xludf.DUMMYFUNCTION("""COMPUTED_VALUE"""),45106.66666666667)</f>
        <v>45106.66667</v>
      </c>
      <c r="B362" s="1">
        <f>IFERROR(__xludf.DUMMYFUNCTION("""COMPUTED_VALUE"""),0.09)</f>
        <v>0.09</v>
      </c>
      <c r="C362" s="1">
        <f>IFERROR(__xludf.DUMMYFUNCTION("""COMPUTED_VALUE"""),0.1)</f>
        <v>0.1</v>
      </c>
      <c r="D362" s="1">
        <f>IFERROR(__xludf.DUMMYFUNCTION("""COMPUTED_VALUE"""),0.09)</f>
        <v>0.09</v>
      </c>
      <c r="E362" s="1">
        <f>IFERROR(__xludf.DUMMYFUNCTION("""COMPUTED_VALUE"""),0.1)</f>
        <v>0.1</v>
      </c>
      <c r="F362" s="1">
        <f>IFERROR(__xludf.DUMMYFUNCTION("""COMPUTED_VALUE"""),1384918.0)</f>
        <v>1384918</v>
      </c>
      <c r="G362" s="2" t="s">
        <v>2</v>
      </c>
    </row>
    <row r="363">
      <c r="A363" s="3">
        <f>IFERROR(__xludf.DUMMYFUNCTION("""COMPUTED_VALUE"""),45107.66666666667)</f>
        <v>45107.66667</v>
      </c>
      <c r="B363" s="1">
        <f>IFERROR(__xludf.DUMMYFUNCTION("""COMPUTED_VALUE"""),0.1)</f>
        <v>0.1</v>
      </c>
      <c r="C363" s="1">
        <f>IFERROR(__xludf.DUMMYFUNCTION("""COMPUTED_VALUE"""),0.1)</f>
        <v>0.1</v>
      </c>
      <c r="D363" s="1">
        <f>IFERROR(__xludf.DUMMYFUNCTION("""COMPUTED_VALUE"""),0.09)</f>
        <v>0.09</v>
      </c>
      <c r="E363" s="1">
        <f>IFERROR(__xludf.DUMMYFUNCTION("""COMPUTED_VALUE"""),0.1)</f>
        <v>0.1</v>
      </c>
      <c r="F363" s="1">
        <f>IFERROR(__xludf.DUMMYFUNCTION("""COMPUTED_VALUE"""),1150192.0)</f>
        <v>1150192</v>
      </c>
      <c r="G363" s="2" t="s">
        <v>2</v>
      </c>
    </row>
    <row r="364">
      <c r="A364" s="3">
        <f>IFERROR(__xludf.DUMMYFUNCTION("""COMPUTED_VALUE"""),45110.66666666667)</f>
        <v>45110.66667</v>
      </c>
      <c r="B364" s="1">
        <f>IFERROR(__xludf.DUMMYFUNCTION("""COMPUTED_VALUE"""),0.1)</f>
        <v>0.1</v>
      </c>
      <c r="C364" s="1">
        <f>IFERROR(__xludf.DUMMYFUNCTION("""COMPUTED_VALUE"""),0.1)</f>
        <v>0.1</v>
      </c>
      <c r="D364" s="1">
        <f>IFERROR(__xludf.DUMMYFUNCTION("""COMPUTED_VALUE"""),0.1)</f>
        <v>0.1</v>
      </c>
      <c r="E364" s="1">
        <f>IFERROR(__xludf.DUMMYFUNCTION("""COMPUTED_VALUE"""),0.1)</f>
        <v>0.1</v>
      </c>
      <c r="F364" s="1">
        <f>IFERROR(__xludf.DUMMYFUNCTION("""COMPUTED_VALUE"""),975205.0)</f>
        <v>975205</v>
      </c>
      <c r="G364" s="2" t="s">
        <v>2</v>
      </c>
    </row>
    <row r="365">
      <c r="A365" s="3">
        <f>IFERROR(__xludf.DUMMYFUNCTION("""COMPUTED_VALUE"""),45111.66666666667)</f>
        <v>45111.66667</v>
      </c>
      <c r="B365" s="1">
        <f>IFERROR(__xludf.DUMMYFUNCTION("""COMPUTED_VALUE"""),0.1)</f>
        <v>0.1</v>
      </c>
      <c r="C365" s="1">
        <f>IFERROR(__xludf.DUMMYFUNCTION("""COMPUTED_VALUE"""),0.1)</f>
        <v>0.1</v>
      </c>
      <c r="D365" s="1">
        <f>IFERROR(__xludf.DUMMYFUNCTION("""COMPUTED_VALUE"""),0.1)</f>
        <v>0.1</v>
      </c>
      <c r="E365" s="1">
        <f>IFERROR(__xludf.DUMMYFUNCTION("""COMPUTED_VALUE"""),0.1)</f>
        <v>0.1</v>
      </c>
      <c r="F365" s="1">
        <f>IFERROR(__xludf.DUMMYFUNCTION("""COMPUTED_VALUE"""),149028.0)</f>
        <v>149028</v>
      </c>
      <c r="G365" s="2" t="s">
        <v>2</v>
      </c>
    </row>
    <row r="366">
      <c r="A366" s="3">
        <f>IFERROR(__xludf.DUMMYFUNCTION("""COMPUTED_VALUE"""),45112.66666666667)</f>
        <v>45112.66667</v>
      </c>
      <c r="B366" s="1">
        <f>IFERROR(__xludf.DUMMYFUNCTION("""COMPUTED_VALUE"""),0.1)</f>
        <v>0.1</v>
      </c>
      <c r="C366" s="1">
        <f>IFERROR(__xludf.DUMMYFUNCTION("""COMPUTED_VALUE"""),0.1)</f>
        <v>0.1</v>
      </c>
      <c r="D366" s="1">
        <f>IFERROR(__xludf.DUMMYFUNCTION("""COMPUTED_VALUE"""),0.1)</f>
        <v>0.1</v>
      </c>
      <c r="E366" s="1">
        <f>IFERROR(__xludf.DUMMYFUNCTION("""COMPUTED_VALUE"""),0.1)</f>
        <v>0.1</v>
      </c>
      <c r="F366" s="1">
        <f>IFERROR(__xludf.DUMMYFUNCTION("""COMPUTED_VALUE"""),71855.0)</f>
        <v>71855</v>
      </c>
      <c r="G366" s="2" t="s">
        <v>2</v>
      </c>
    </row>
    <row r="367">
      <c r="A367" s="3">
        <f>IFERROR(__xludf.DUMMYFUNCTION("""COMPUTED_VALUE"""),45113.66666666667)</f>
        <v>45113.66667</v>
      </c>
      <c r="B367" s="1">
        <f>IFERROR(__xludf.DUMMYFUNCTION("""COMPUTED_VALUE"""),0.1)</f>
        <v>0.1</v>
      </c>
      <c r="C367" s="1">
        <f>IFERROR(__xludf.DUMMYFUNCTION("""COMPUTED_VALUE"""),0.1)</f>
        <v>0.1</v>
      </c>
      <c r="D367" s="1">
        <f>IFERROR(__xludf.DUMMYFUNCTION("""COMPUTED_VALUE"""),0.1)</f>
        <v>0.1</v>
      </c>
      <c r="E367" s="1">
        <f>IFERROR(__xludf.DUMMYFUNCTION("""COMPUTED_VALUE"""),0.1)</f>
        <v>0.1</v>
      </c>
      <c r="F367" s="1">
        <f>IFERROR(__xludf.DUMMYFUNCTION("""COMPUTED_VALUE"""),29517.0)</f>
        <v>29517</v>
      </c>
      <c r="G367" s="2" t="s">
        <v>2</v>
      </c>
    </row>
    <row r="368">
      <c r="A368" s="3">
        <f>IFERROR(__xludf.DUMMYFUNCTION("""COMPUTED_VALUE"""),45114.66666666667)</f>
        <v>45114.66667</v>
      </c>
      <c r="B368" s="1">
        <f>IFERROR(__xludf.DUMMYFUNCTION("""COMPUTED_VALUE"""),0.1)</f>
        <v>0.1</v>
      </c>
      <c r="C368" s="1">
        <f>IFERROR(__xludf.DUMMYFUNCTION("""COMPUTED_VALUE"""),0.11)</f>
        <v>0.11</v>
      </c>
      <c r="D368" s="1">
        <f>IFERROR(__xludf.DUMMYFUNCTION("""COMPUTED_VALUE"""),0.1)</f>
        <v>0.1</v>
      </c>
      <c r="E368" s="1">
        <f>IFERROR(__xludf.DUMMYFUNCTION("""COMPUTED_VALUE"""),0.11)</f>
        <v>0.11</v>
      </c>
      <c r="F368" s="1">
        <f>IFERROR(__xludf.DUMMYFUNCTION("""COMPUTED_VALUE"""),1518174.0)</f>
        <v>1518174</v>
      </c>
      <c r="G368" s="2" t="s">
        <v>2</v>
      </c>
    </row>
    <row r="369">
      <c r="A369" s="3">
        <f>IFERROR(__xludf.DUMMYFUNCTION("""COMPUTED_VALUE"""),45117.66666666667)</f>
        <v>45117.66667</v>
      </c>
      <c r="B369" s="1">
        <f>IFERROR(__xludf.DUMMYFUNCTION("""COMPUTED_VALUE"""),0.11)</f>
        <v>0.11</v>
      </c>
      <c r="C369" s="1">
        <f>IFERROR(__xludf.DUMMYFUNCTION("""COMPUTED_VALUE"""),0.13)</f>
        <v>0.13</v>
      </c>
      <c r="D369" s="1">
        <f>IFERROR(__xludf.DUMMYFUNCTION("""COMPUTED_VALUE"""),0.11)</f>
        <v>0.11</v>
      </c>
      <c r="E369" s="1">
        <f>IFERROR(__xludf.DUMMYFUNCTION("""COMPUTED_VALUE"""),0.12)</f>
        <v>0.12</v>
      </c>
      <c r="F369" s="1">
        <f>IFERROR(__xludf.DUMMYFUNCTION("""COMPUTED_VALUE"""),1581496.0)</f>
        <v>1581496</v>
      </c>
      <c r="G369" s="2" t="s">
        <v>2</v>
      </c>
    </row>
    <row r="370">
      <c r="A370" s="3">
        <f>IFERROR(__xludf.DUMMYFUNCTION("""COMPUTED_VALUE"""),45118.66666666667)</f>
        <v>45118.66667</v>
      </c>
      <c r="B370" s="1">
        <f>IFERROR(__xludf.DUMMYFUNCTION("""COMPUTED_VALUE"""),0.13)</f>
        <v>0.13</v>
      </c>
      <c r="C370" s="1">
        <f>IFERROR(__xludf.DUMMYFUNCTION("""COMPUTED_VALUE"""),0.14)</f>
        <v>0.14</v>
      </c>
      <c r="D370" s="1">
        <f>IFERROR(__xludf.DUMMYFUNCTION("""COMPUTED_VALUE"""),0.12)</f>
        <v>0.12</v>
      </c>
      <c r="E370" s="1">
        <f>IFERROR(__xludf.DUMMYFUNCTION("""COMPUTED_VALUE"""),0.12)</f>
        <v>0.12</v>
      </c>
      <c r="F370" s="1">
        <f>IFERROR(__xludf.DUMMYFUNCTION("""COMPUTED_VALUE"""),1737086.0)</f>
        <v>1737086</v>
      </c>
      <c r="G370" s="2" t="s">
        <v>2</v>
      </c>
    </row>
    <row r="371">
      <c r="A371" s="3">
        <f>IFERROR(__xludf.DUMMYFUNCTION("""COMPUTED_VALUE"""),45119.66666666667)</f>
        <v>45119.66667</v>
      </c>
      <c r="B371" s="1">
        <f>IFERROR(__xludf.DUMMYFUNCTION("""COMPUTED_VALUE"""),0.12)</f>
        <v>0.12</v>
      </c>
      <c r="C371" s="1">
        <f>IFERROR(__xludf.DUMMYFUNCTION("""COMPUTED_VALUE"""),0.13)</f>
        <v>0.13</v>
      </c>
      <c r="D371" s="1">
        <f>IFERROR(__xludf.DUMMYFUNCTION("""COMPUTED_VALUE"""),0.12)</f>
        <v>0.12</v>
      </c>
      <c r="E371" s="1">
        <f>IFERROR(__xludf.DUMMYFUNCTION("""COMPUTED_VALUE"""),0.13)</f>
        <v>0.13</v>
      </c>
      <c r="F371" s="1">
        <f>IFERROR(__xludf.DUMMYFUNCTION("""COMPUTED_VALUE"""),1195521.0)</f>
        <v>1195521</v>
      </c>
      <c r="G371" s="2" t="s">
        <v>2</v>
      </c>
    </row>
    <row r="372">
      <c r="A372" s="3">
        <f>IFERROR(__xludf.DUMMYFUNCTION("""COMPUTED_VALUE"""),45120.66666666667)</f>
        <v>45120.66667</v>
      </c>
      <c r="B372" s="1">
        <f>IFERROR(__xludf.DUMMYFUNCTION("""COMPUTED_VALUE"""),0.12)</f>
        <v>0.12</v>
      </c>
      <c r="C372" s="1">
        <f>IFERROR(__xludf.DUMMYFUNCTION("""COMPUTED_VALUE"""),0.13)</f>
        <v>0.13</v>
      </c>
      <c r="D372" s="1">
        <f>IFERROR(__xludf.DUMMYFUNCTION("""COMPUTED_VALUE"""),0.12)</f>
        <v>0.12</v>
      </c>
      <c r="E372" s="1">
        <f>IFERROR(__xludf.DUMMYFUNCTION("""COMPUTED_VALUE"""),0.13)</f>
        <v>0.13</v>
      </c>
      <c r="F372" s="1">
        <f>IFERROR(__xludf.DUMMYFUNCTION("""COMPUTED_VALUE"""),292863.0)</f>
        <v>292863</v>
      </c>
      <c r="G372" s="2" t="s">
        <v>2</v>
      </c>
    </row>
    <row r="373">
      <c r="A373" s="3">
        <f>IFERROR(__xludf.DUMMYFUNCTION("""COMPUTED_VALUE"""),45121.66666666667)</f>
        <v>45121.66667</v>
      </c>
      <c r="B373" s="1">
        <f>IFERROR(__xludf.DUMMYFUNCTION("""COMPUTED_VALUE"""),0.13)</f>
        <v>0.13</v>
      </c>
      <c r="C373" s="1">
        <f>IFERROR(__xludf.DUMMYFUNCTION("""COMPUTED_VALUE"""),0.13)</f>
        <v>0.13</v>
      </c>
      <c r="D373" s="1">
        <f>IFERROR(__xludf.DUMMYFUNCTION("""COMPUTED_VALUE"""),0.12)</f>
        <v>0.12</v>
      </c>
      <c r="E373" s="1">
        <f>IFERROR(__xludf.DUMMYFUNCTION("""COMPUTED_VALUE"""),0.12)</f>
        <v>0.12</v>
      </c>
      <c r="F373" s="1">
        <f>IFERROR(__xludf.DUMMYFUNCTION("""COMPUTED_VALUE"""),368006.0)</f>
        <v>368006</v>
      </c>
      <c r="G373" s="2" t="s">
        <v>2</v>
      </c>
    </row>
    <row r="374">
      <c r="A374" s="3">
        <f>IFERROR(__xludf.DUMMYFUNCTION("""COMPUTED_VALUE"""),45124.66666666667)</f>
        <v>45124.66667</v>
      </c>
      <c r="B374" s="1">
        <f>IFERROR(__xludf.DUMMYFUNCTION("""COMPUTED_VALUE"""),0.12)</f>
        <v>0.12</v>
      </c>
      <c r="C374" s="1">
        <f>IFERROR(__xludf.DUMMYFUNCTION("""COMPUTED_VALUE"""),0.12)</f>
        <v>0.12</v>
      </c>
      <c r="D374" s="1">
        <f>IFERROR(__xludf.DUMMYFUNCTION("""COMPUTED_VALUE"""),0.11)</f>
        <v>0.11</v>
      </c>
      <c r="E374" s="1">
        <f>IFERROR(__xludf.DUMMYFUNCTION("""COMPUTED_VALUE"""),0.11)</f>
        <v>0.11</v>
      </c>
      <c r="F374" s="1">
        <f>IFERROR(__xludf.DUMMYFUNCTION("""COMPUTED_VALUE"""),401801.0)</f>
        <v>401801</v>
      </c>
      <c r="G374" s="2" t="s">
        <v>2</v>
      </c>
    </row>
    <row r="375">
      <c r="A375" s="3">
        <f>IFERROR(__xludf.DUMMYFUNCTION("""COMPUTED_VALUE"""),45125.66666666667)</f>
        <v>45125.66667</v>
      </c>
      <c r="B375" s="1">
        <f>IFERROR(__xludf.DUMMYFUNCTION("""COMPUTED_VALUE"""),0.12)</f>
        <v>0.12</v>
      </c>
      <c r="C375" s="1">
        <f>IFERROR(__xludf.DUMMYFUNCTION("""COMPUTED_VALUE"""),0.12)</f>
        <v>0.12</v>
      </c>
      <c r="D375" s="1">
        <f>IFERROR(__xludf.DUMMYFUNCTION("""COMPUTED_VALUE"""),0.11)</f>
        <v>0.11</v>
      </c>
      <c r="E375" s="1">
        <f>IFERROR(__xludf.DUMMYFUNCTION("""COMPUTED_VALUE"""),0.11)</f>
        <v>0.11</v>
      </c>
      <c r="F375" s="1">
        <f>IFERROR(__xludf.DUMMYFUNCTION("""COMPUTED_VALUE"""),442902.0)</f>
        <v>442902</v>
      </c>
      <c r="G375" s="2" t="s">
        <v>2</v>
      </c>
    </row>
    <row r="376">
      <c r="A376" s="3">
        <f>IFERROR(__xludf.DUMMYFUNCTION("""COMPUTED_VALUE"""),45126.66666666667)</f>
        <v>45126.66667</v>
      </c>
      <c r="B376" s="1">
        <f>IFERROR(__xludf.DUMMYFUNCTION("""COMPUTED_VALUE"""),0.12)</f>
        <v>0.12</v>
      </c>
      <c r="C376" s="1">
        <f>IFERROR(__xludf.DUMMYFUNCTION("""COMPUTED_VALUE"""),0.12)</f>
        <v>0.12</v>
      </c>
      <c r="D376" s="1">
        <f>IFERROR(__xludf.DUMMYFUNCTION("""COMPUTED_VALUE"""),0.11)</f>
        <v>0.11</v>
      </c>
      <c r="E376" s="1">
        <f>IFERROR(__xludf.DUMMYFUNCTION("""COMPUTED_VALUE"""),0.11)</f>
        <v>0.11</v>
      </c>
      <c r="F376" s="1">
        <f>IFERROR(__xludf.DUMMYFUNCTION("""COMPUTED_VALUE"""),159437.0)</f>
        <v>159437</v>
      </c>
      <c r="G376" s="2" t="s">
        <v>2</v>
      </c>
    </row>
    <row r="377">
      <c r="A377" s="3">
        <f>IFERROR(__xludf.DUMMYFUNCTION("""COMPUTED_VALUE"""),45127.66666666667)</f>
        <v>45127.66667</v>
      </c>
      <c r="B377" s="1">
        <f>IFERROR(__xludf.DUMMYFUNCTION("""COMPUTED_VALUE"""),0.12)</f>
        <v>0.12</v>
      </c>
      <c r="C377" s="1">
        <f>IFERROR(__xludf.DUMMYFUNCTION("""COMPUTED_VALUE"""),0.12)</f>
        <v>0.12</v>
      </c>
      <c r="D377" s="1">
        <f>IFERROR(__xludf.DUMMYFUNCTION("""COMPUTED_VALUE"""),0.11)</f>
        <v>0.11</v>
      </c>
      <c r="E377" s="1">
        <f>IFERROR(__xludf.DUMMYFUNCTION("""COMPUTED_VALUE"""),0.11)</f>
        <v>0.11</v>
      </c>
      <c r="F377" s="1">
        <f>IFERROR(__xludf.DUMMYFUNCTION("""COMPUTED_VALUE"""),240909.0)</f>
        <v>240909</v>
      </c>
      <c r="G377" s="2" t="s">
        <v>2</v>
      </c>
    </row>
    <row r="378">
      <c r="A378" s="3">
        <f>IFERROR(__xludf.DUMMYFUNCTION("""COMPUTED_VALUE"""),45128.66666666667)</f>
        <v>45128.66667</v>
      </c>
      <c r="B378" s="1">
        <f>IFERROR(__xludf.DUMMYFUNCTION("""COMPUTED_VALUE"""),0.11)</f>
        <v>0.11</v>
      </c>
      <c r="C378" s="1">
        <f>IFERROR(__xludf.DUMMYFUNCTION("""COMPUTED_VALUE"""),0.11)</f>
        <v>0.11</v>
      </c>
      <c r="D378" s="1">
        <f>IFERROR(__xludf.DUMMYFUNCTION("""COMPUTED_VALUE"""),0.1)</f>
        <v>0.1</v>
      </c>
      <c r="E378" s="1">
        <f>IFERROR(__xludf.DUMMYFUNCTION("""COMPUTED_VALUE"""),0.1)</f>
        <v>0.1</v>
      </c>
      <c r="F378" s="1">
        <f>IFERROR(__xludf.DUMMYFUNCTION("""COMPUTED_VALUE"""),1688330.0)</f>
        <v>1688330</v>
      </c>
      <c r="G378" s="2" t="s">
        <v>2</v>
      </c>
    </row>
    <row r="379">
      <c r="A379" s="3">
        <f>IFERROR(__xludf.DUMMYFUNCTION("""COMPUTED_VALUE"""),45131.66666666667)</f>
        <v>45131.66667</v>
      </c>
      <c r="B379" s="1">
        <f>IFERROR(__xludf.DUMMYFUNCTION("""COMPUTED_VALUE"""),0.1)</f>
        <v>0.1</v>
      </c>
      <c r="C379" s="1">
        <f>IFERROR(__xludf.DUMMYFUNCTION("""COMPUTED_VALUE"""),0.1)</f>
        <v>0.1</v>
      </c>
      <c r="D379" s="1">
        <f>IFERROR(__xludf.DUMMYFUNCTION("""COMPUTED_VALUE"""),0.1)</f>
        <v>0.1</v>
      </c>
      <c r="E379" s="1">
        <f>IFERROR(__xludf.DUMMYFUNCTION("""COMPUTED_VALUE"""),0.1)</f>
        <v>0.1</v>
      </c>
      <c r="F379" s="1">
        <f>IFERROR(__xludf.DUMMYFUNCTION("""COMPUTED_VALUE"""),129205.0)</f>
        <v>129205</v>
      </c>
      <c r="G379" s="2" t="s">
        <v>2</v>
      </c>
    </row>
    <row r="380">
      <c r="A380" s="3">
        <f>IFERROR(__xludf.DUMMYFUNCTION("""COMPUTED_VALUE"""),45132.66666666667)</f>
        <v>45132.66667</v>
      </c>
      <c r="B380" s="1">
        <f>IFERROR(__xludf.DUMMYFUNCTION("""COMPUTED_VALUE"""),0.11)</f>
        <v>0.11</v>
      </c>
      <c r="C380" s="1">
        <f>IFERROR(__xludf.DUMMYFUNCTION("""COMPUTED_VALUE"""),0.12)</f>
        <v>0.12</v>
      </c>
      <c r="D380" s="1">
        <f>IFERROR(__xludf.DUMMYFUNCTION("""COMPUTED_VALUE"""),0.11)</f>
        <v>0.11</v>
      </c>
      <c r="E380" s="1">
        <f>IFERROR(__xludf.DUMMYFUNCTION("""COMPUTED_VALUE"""),0.12)</f>
        <v>0.12</v>
      </c>
      <c r="F380" s="1">
        <f>IFERROR(__xludf.DUMMYFUNCTION("""COMPUTED_VALUE"""),834113.0)</f>
        <v>834113</v>
      </c>
      <c r="G380" s="2" t="s">
        <v>2</v>
      </c>
    </row>
    <row r="381">
      <c r="A381" s="3">
        <f>IFERROR(__xludf.DUMMYFUNCTION("""COMPUTED_VALUE"""),45133.66666666667)</f>
        <v>45133.66667</v>
      </c>
      <c r="B381" s="1">
        <f>IFERROR(__xludf.DUMMYFUNCTION("""COMPUTED_VALUE"""),0.12)</f>
        <v>0.12</v>
      </c>
      <c r="C381" s="1">
        <f>IFERROR(__xludf.DUMMYFUNCTION("""COMPUTED_VALUE"""),0.12)</f>
        <v>0.12</v>
      </c>
      <c r="D381" s="1">
        <f>IFERROR(__xludf.DUMMYFUNCTION("""COMPUTED_VALUE"""),0.11)</f>
        <v>0.11</v>
      </c>
      <c r="E381" s="1">
        <f>IFERROR(__xludf.DUMMYFUNCTION("""COMPUTED_VALUE"""),0.11)</f>
        <v>0.11</v>
      </c>
      <c r="F381" s="1">
        <f>IFERROR(__xludf.DUMMYFUNCTION("""COMPUTED_VALUE"""),53090.0)</f>
        <v>53090</v>
      </c>
      <c r="G381" s="2" t="s">
        <v>2</v>
      </c>
    </row>
    <row r="382">
      <c r="A382" s="3">
        <f>IFERROR(__xludf.DUMMYFUNCTION("""COMPUTED_VALUE"""),45134.66666666667)</f>
        <v>45134.66667</v>
      </c>
      <c r="B382" s="1">
        <f>IFERROR(__xludf.DUMMYFUNCTION("""COMPUTED_VALUE"""),0.11)</f>
        <v>0.11</v>
      </c>
      <c r="C382" s="1">
        <f>IFERROR(__xludf.DUMMYFUNCTION("""COMPUTED_VALUE"""),0.11)</f>
        <v>0.11</v>
      </c>
      <c r="D382" s="1">
        <f>IFERROR(__xludf.DUMMYFUNCTION("""COMPUTED_VALUE"""),0.11)</f>
        <v>0.11</v>
      </c>
      <c r="E382" s="1">
        <f>IFERROR(__xludf.DUMMYFUNCTION("""COMPUTED_VALUE"""),0.11)</f>
        <v>0.11</v>
      </c>
      <c r="F382" s="1">
        <f>IFERROR(__xludf.DUMMYFUNCTION("""COMPUTED_VALUE"""),457447.0)</f>
        <v>457447</v>
      </c>
      <c r="G382" s="2" t="s">
        <v>2</v>
      </c>
    </row>
    <row r="383">
      <c r="A383" s="3">
        <f>IFERROR(__xludf.DUMMYFUNCTION("""COMPUTED_VALUE"""),45135.66666666667)</f>
        <v>45135.66667</v>
      </c>
      <c r="B383" s="1">
        <f>IFERROR(__xludf.DUMMYFUNCTION("""COMPUTED_VALUE"""),0.11)</f>
        <v>0.11</v>
      </c>
      <c r="C383" s="1">
        <f>IFERROR(__xludf.DUMMYFUNCTION("""COMPUTED_VALUE"""),0.11)</f>
        <v>0.11</v>
      </c>
      <c r="D383" s="1">
        <f>IFERROR(__xludf.DUMMYFUNCTION("""COMPUTED_VALUE"""),0.1)</f>
        <v>0.1</v>
      </c>
      <c r="E383" s="1">
        <f>IFERROR(__xludf.DUMMYFUNCTION("""COMPUTED_VALUE"""),0.11)</f>
        <v>0.11</v>
      </c>
      <c r="F383" s="1">
        <f>IFERROR(__xludf.DUMMYFUNCTION("""COMPUTED_VALUE"""),244058.0)</f>
        <v>244058</v>
      </c>
      <c r="G383" s="2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IFERROR(__xludf.DUMMYFUNCTION("GOOGLEFINANCE(""BMW"",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IFERROR(__xludf.DUMMYFUNCTION("""COMPUTED_VALUE"""),88.91)</f>
        <v>88.91</v>
      </c>
      <c r="C2" s="1">
        <f>IFERROR(__xludf.DUMMYFUNCTION("""COMPUTED_VALUE"""),91.75)</f>
        <v>91.75</v>
      </c>
      <c r="D2" s="1">
        <f>IFERROR(__xludf.DUMMYFUNCTION("""COMPUTED_VALUE"""),88.74)</f>
        <v>88.74</v>
      </c>
      <c r="E2" s="1">
        <f>IFERROR(__xludf.DUMMYFUNCTION("""COMPUTED_VALUE"""),91.33)</f>
        <v>91.33</v>
      </c>
      <c r="F2" s="1">
        <f>IFERROR(__xludf.DUMMYFUNCTION("""COMPUTED_VALUE"""),983398.0)</f>
        <v>983398</v>
      </c>
      <c r="G2" s="2" t="s">
        <v>3</v>
      </c>
    </row>
    <row r="3">
      <c r="A3" s="3">
        <f>IFERROR(__xludf.DUMMYFUNCTION("""COMPUTED_VALUE"""),44565.72916666667)</f>
        <v>44565.72917</v>
      </c>
      <c r="B3" s="1">
        <f>IFERROR(__xludf.DUMMYFUNCTION("""COMPUTED_VALUE"""),91.89)</f>
        <v>91.89</v>
      </c>
      <c r="C3" s="1">
        <f>IFERROR(__xludf.DUMMYFUNCTION("""COMPUTED_VALUE"""),94.24)</f>
        <v>94.24</v>
      </c>
      <c r="D3" s="1">
        <f>IFERROR(__xludf.DUMMYFUNCTION("""COMPUTED_VALUE"""),91.19)</f>
        <v>91.19</v>
      </c>
      <c r="E3" s="1">
        <f>IFERROR(__xludf.DUMMYFUNCTION("""COMPUTED_VALUE"""),94.19)</f>
        <v>94.19</v>
      </c>
      <c r="F3" s="1">
        <f>IFERROR(__xludf.DUMMYFUNCTION("""COMPUTED_VALUE"""),1422271.0)</f>
        <v>1422271</v>
      </c>
      <c r="G3" s="2" t="s">
        <v>3</v>
      </c>
    </row>
    <row r="4">
      <c r="A4" s="3">
        <f>IFERROR(__xludf.DUMMYFUNCTION("""COMPUTED_VALUE"""),44566.72916666667)</f>
        <v>44566.72917</v>
      </c>
      <c r="B4" s="1">
        <f>IFERROR(__xludf.DUMMYFUNCTION("""COMPUTED_VALUE"""),94.5)</f>
        <v>94.5</v>
      </c>
      <c r="C4" s="1">
        <f>IFERROR(__xludf.DUMMYFUNCTION("""COMPUTED_VALUE"""),96.39)</f>
        <v>96.39</v>
      </c>
      <c r="D4" s="1">
        <f>IFERROR(__xludf.DUMMYFUNCTION("""COMPUTED_VALUE"""),93.94)</f>
        <v>93.94</v>
      </c>
      <c r="E4" s="1">
        <f>IFERROR(__xludf.DUMMYFUNCTION("""COMPUTED_VALUE"""),96.24)</f>
        <v>96.24</v>
      </c>
      <c r="F4" s="1">
        <f>IFERROR(__xludf.DUMMYFUNCTION("""COMPUTED_VALUE"""),1828361.0)</f>
        <v>1828361</v>
      </c>
      <c r="G4" s="2" t="s">
        <v>3</v>
      </c>
    </row>
    <row r="5">
      <c r="A5" s="3">
        <f>IFERROR(__xludf.DUMMYFUNCTION("""COMPUTED_VALUE"""),44567.72916666667)</f>
        <v>44567.72917</v>
      </c>
      <c r="B5" s="1">
        <f>IFERROR(__xludf.DUMMYFUNCTION("""COMPUTED_VALUE"""),94.7)</f>
        <v>94.7</v>
      </c>
      <c r="C5" s="1">
        <f>IFERROR(__xludf.DUMMYFUNCTION("""COMPUTED_VALUE"""),97.32)</f>
        <v>97.32</v>
      </c>
      <c r="D5" s="1">
        <f>IFERROR(__xludf.DUMMYFUNCTION("""COMPUTED_VALUE"""),94.61)</f>
        <v>94.61</v>
      </c>
      <c r="E5" s="1">
        <f>IFERROR(__xludf.DUMMYFUNCTION("""COMPUTED_VALUE"""),96.22)</f>
        <v>96.22</v>
      </c>
      <c r="F5" s="1">
        <f>IFERROR(__xludf.DUMMYFUNCTION("""COMPUTED_VALUE"""),1229513.0)</f>
        <v>1229513</v>
      </c>
      <c r="G5" s="2" t="s">
        <v>3</v>
      </c>
    </row>
    <row r="6">
      <c r="A6" s="3">
        <f>IFERROR(__xludf.DUMMYFUNCTION("""COMPUTED_VALUE"""),44568.72916666667)</f>
        <v>44568.72917</v>
      </c>
      <c r="B6" s="1">
        <f>IFERROR(__xludf.DUMMYFUNCTION("""COMPUTED_VALUE"""),96.0)</f>
        <v>96</v>
      </c>
      <c r="C6" s="1">
        <f>IFERROR(__xludf.DUMMYFUNCTION("""COMPUTED_VALUE"""),96.53)</f>
        <v>96.53</v>
      </c>
      <c r="D6" s="1">
        <f>IFERROR(__xludf.DUMMYFUNCTION("""COMPUTED_VALUE"""),95.02)</f>
        <v>95.02</v>
      </c>
      <c r="E6" s="1">
        <f>IFERROR(__xludf.DUMMYFUNCTION("""COMPUTED_VALUE"""),95.6)</f>
        <v>95.6</v>
      </c>
      <c r="F6" s="1">
        <f>IFERROR(__xludf.DUMMYFUNCTION("""COMPUTED_VALUE"""),1193638.0)</f>
        <v>1193638</v>
      </c>
      <c r="G6" s="2" t="s">
        <v>3</v>
      </c>
    </row>
    <row r="7">
      <c r="A7" s="3">
        <f>IFERROR(__xludf.DUMMYFUNCTION("""COMPUTED_VALUE"""),44571.72916666667)</f>
        <v>44571.72917</v>
      </c>
      <c r="B7" s="1">
        <f>IFERROR(__xludf.DUMMYFUNCTION("""COMPUTED_VALUE"""),98.49)</f>
        <v>98.49</v>
      </c>
      <c r="C7" s="1">
        <f>IFERROR(__xludf.DUMMYFUNCTION("""COMPUTED_VALUE"""),99.04)</f>
        <v>99.04</v>
      </c>
      <c r="D7" s="1">
        <f>IFERROR(__xludf.DUMMYFUNCTION("""COMPUTED_VALUE"""),96.43)</f>
        <v>96.43</v>
      </c>
      <c r="E7" s="1">
        <f>IFERROR(__xludf.DUMMYFUNCTION("""COMPUTED_VALUE"""),97.2)</f>
        <v>97.2</v>
      </c>
      <c r="F7" s="1">
        <f>IFERROR(__xludf.DUMMYFUNCTION("""COMPUTED_VALUE"""),1896744.0)</f>
        <v>1896744</v>
      </c>
      <c r="G7" s="2" t="s">
        <v>3</v>
      </c>
    </row>
    <row r="8">
      <c r="A8" s="3">
        <f>IFERROR(__xludf.DUMMYFUNCTION("""COMPUTED_VALUE"""),44572.72916666667)</f>
        <v>44572.72917</v>
      </c>
      <c r="B8" s="1">
        <f>IFERROR(__xludf.DUMMYFUNCTION("""COMPUTED_VALUE"""),97.99)</f>
        <v>97.99</v>
      </c>
      <c r="C8" s="1">
        <f>IFERROR(__xludf.DUMMYFUNCTION("""COMPUTED_VALUE"""),98.2)</f>
        <v>98.2</v>
      </c>
      <c r="D8" s="1">
        <f>IFERROR(__xludf.DUMMYFUNCTION("""COMPUTED_VALUE"""),96.56)</f>
        <v>96.56</v>
      </c>
      <c r="E8" s="1">
        <f>IFERROR(__xludf.DUMMYFUNCTION("""COMPUTED_VALUE"""),98.02)</f>
        <v>98.02</v>
      </c>
      <c r="F8" s="1">
        <f>IFERROR(__xludf.DUMMYFUNCTION("""COMPUTED_VALUE"""),1238359.0)</f>
        <v>1238359</v>
      </c>
      <c r="G8" s="2" t="s">
        <v>3</v>
      </c>
    </row>
    <row r="9">
      <c r="A9" s="3">
        <f>IFERROR(__xludf.DUMMYFUNCTION("""COMPUTED_VALUE"""),44573.72916666667)</f>
        <v>44573.72917</v>
      </c>
      <c r="B9" s="1">
        <f>IFERROR(__xludf.DUMMYFUNCTION("""COMPUTED_VALUE"""),98.6)</f>
        <v>98.6</v>
      </c>
      <c r="C9" s="1">
        <f>IFERROR(__xludf.DUMMYFUNCTION("""COMPUTED_VALUE"""),98.93)</f>
        <v>98.93</v>
      </c>
      <c r="D9" s="1">
        <f>IFERROR(__xludf.DUMMYFUNCTION("""COMPUTED_VALUE"""),97.12)</f>
        <v>97.12</v>
      </c>
      <c r="E9" s="1">
        <f>IFERROR(__xludf.DUMMYFUNCTION("""COMPUTED_VALUE"""),97.45)</f>
        <v>97.45</v>
      </c>
      <c r="F9" s="1">
        <f>IFERROR(__xludf.DUMMYFUNCTION("""COMPUTED_VALUE"""),954099.0)</f>
        <v>954099</v>
      </c>
      <c r="G9" s="2" t="s">
        <v>3</v>
      </c>
    </row>
    <row r="10">
      <c r="A10" s="3">
        <f>IFERROR(__xludf.DUMMYFUNCTION("""COMPUTED_VALUE"""),44574.72916666667)</f>
        <v>44574.72917</v>
      </c>
      <c r="B10" s="1">
        <f>IFERROR(__xludf.DUMMYFUNCTION("""COMPUTED_VALUE"""),97.38)</f>
        <v>97.38</v>
      </c>
      <c r="C10" s="1">
        <f>IFERROR(__xludf.DUMMYFUNCTION("""COMPUTED_VALUE"""),99.3)</f>
        <v>99.3</v>
      </c>
      <c r="D10" s="1">
        <f>IFERROR(__xludf.DUMMYFUNCTION("""COMPUTED_VALUE"""),97.26)</f>
        <v>97.26</v>
      </c>
      <c r="E10" s="1">
        <f>IFERROR(__xludf.DUMMYFUNCTION("""COMPUTED_VALUE"""),99.02)</f>
        <v>99.02</v>
      </c>
      <c r="F10" s="1">
        <f>IFERROR(__xludf.DUMMYFUNCTION("""COMPUTED_VALUE"""),1380823.0)</f>
        <v>1380823</v>
      </c>
      <c r="G10" s="2" t="s">
        <v>3</v>
      </c>
    </row>
    <row r="11">
      <c r="A11" s="3">
        <f>IFERROR(__xludf.DUMMYFUNCTION("""COMPUTED_VALUE"""),44575.72916666667)</f>
        <v>44575.72917</v>
      </c>
      <c r="B11" s="1">
        <f>IFERROR(__xludf.DUMMYFUNCTION("""COMPUTED_VALUE"""),98.83)</f>
        <v>98.83</v>
      </c>
      <c r="C11" s="1">
        <f>IFERROR(__xludf.DUMMYFUNCTION("""COMPUTED_VALUE"""),100.42)</f>
        <v>100.42</v>
      </c>
      <c r="D11" s="1">
        <f>IFERROR(__xludf.DUMMYFUNCTION("""COMPUTED_VALUE"""),98.72)</f>
        <v>98.72</v>
      </c>
      <c r="E11" s="1">
        <f>IFERROR(__xludf.DUMMYFUNCTION("""COMPUTED_VALUE"""),99.32)</f>
        <v>99.32</v>
      </c>
      <c r="F11" s="1">
        <f>IFERROR(__xludf.DUMMYFUNCTION("""COMPUTED_VALUE"""),1257658.0)</f>
        <v>1257658</v>
      </c>
      <c r="G11" s="2" t="s">
        <v>3</v>
      </c>
    </row>
    <row r="12">
      <c r="A12" s="3">
        <f>IFERROR(__xludf.DUMMYFUNCTION("""COMPUTED_VALUE"""),44578.72916666667)</f>
        <v>44578.72917</v>
      </c>
      <c r="B12" s="1">
        <f>IFERROR(__xludf.DUMMYFUNCTION("""COMPUTED_VALUE"""),99.88)</f>
        <v>99.88</v>
      </c>
      <c r="C12" s="1">
        <f>IFERROR(__xludf.DUMMYFUNCTION("""COMPUTED_VALUE"""),100.06)</f>
        <v>100.06</v>
      </c>
      <c r="D12" s="1">
        <f>IFERROR(__xludf.DUMMYFUNCTION("""COMPUTED_VALUE"""),98.55)</f>
        <v>98.55</v>
      </c>
      <c r="E12" s="1">
        <f>IFERROR(__xludf.DUMMYFUNCTION("""COMPUTED_VALUE"""),99.02)</f>
        <v>99.02</v>
      </c>
      <c r="F12" s="1">
        <f>IFERROR(__xludf.DUMMYFUNCTION("""COMPUTED_VALUE"""),663785.0)</f>
        <v>663785</v>
      </c>
      <c r="G12" s="2" t="s">
        <v>3</v>
      </c>
    </row>
    <row r="13">
      <c r="A13" s="3">
        <f>IFERROR(__xludf.DUMMYFUNCTION("""COMPUTED_VALUE"""),44579.72916666667)</f>
        <v>44579.72917</v>
      </c>
      <c r="B13" s="1">
        <f>IFERROR(__xludf.DUMMYFUNCTION("""COMPUTED_VALUE"""),98.37)</f>
        <v>98.37</v>
      </c>
      <c r="C13" s="1">
        <f>IFERROR(__xludf.DUMMYFUNCTION("""COMPUTED_VALUE"""),99.67)</f>
        <v>99.67</v>
      </c>
      <c r="D13" s="1">
        <f>IFERROR(__xludf.DUMMYFUNCTION("""COMPUTED_VALUE"""),97.34)</f>
        <v>97.34</v>
      </c>
      <c r="E13" s="1">
        <f>IFERROR(__xludf.DUMMYFUNCTION("""COMPUTED_VALUE"""),98.94)</f>
        <v>98.94</v>
      </c>
      <c r="F13" s="1">
        <f>IFERROR(__xludf.DUMMYFUNCTION("""COMPUTED_VALUE"""),930784.0)</f>
        <v>930784</v>
      </c>
      <c r="G13" s="2" t="s">
        <v>3</v>
      </c>
    </row>
    <row r="14">
      <c r="A14" s="3">
        <f>IFERROR(__xludf.DUMMYFUNCTION("""COMPUTED_VALUE"""),44580.72916666667)</f>
        <v>44580.72917</v>
      </c>
      <c r="B14" s="1">
        <f>IFERROR(__xludf.DUMMYFUNCTION("""COMPUTED_VALUE"""),98.39)</f>
        <v>98.39</v>
      </c>
      <c r="C14" s="1">
        <f>IFERROR(__xludf.DUMMYFUNCTION("""COMPUTED_VALUE"""),99.35)</f>
        <v>99.35</v>
      </c>
      <c r="D14" s="1">
        <f>IFERROR(__xludf.DUMMYFUNCTION("""COMPUTED_VALUE"""),97.54)</f>
        <v>97.54</v>
      </c>
      <c r="E14" s="1">
        <f>IFERROR(__xludf.DUMMYFUNCTION("""COMPUTED_VALUE"""),97.86)</f>
        <v>97.86</v>
      </c>
      <c r="F14" s="1">
        <f>IFERROR(__xludf.DUMMYFUNCTION("""COMPUTED_VALUE"""),1133756.0)</f>
        <v>1133756</v>
      </c>
      <c r="G14" s="2" t="s">
        <v>3</v>
      </c>
    </row>
    <row r="15">
      <c r="A15" s="3">
        <f>IFERROR(__xludf.DUMMYFUNCTION("""COMPUTED_VALUE"""),44581.72916666667)</f>
        <v>44581.72917</v>
      </c>
      <c r="B15" s="1">
        <f>IFERROR(__xludf.DUMMYFUNCTION("""COMPUTED_VALUE"""),96.64)</f>
        <v>96.64</v>
      </c>
      <c r="C15" s="1">
        <f>IFERROR(__xludf.DUMMYFUNCTION("""COMPUTED_VALUE"""),98.03)</f>
        <v>98.03</v>
      </c>
      <c r="D15" s="1">
        <f>IFERROR(__xludf.DUMMYFUNCTION("""COMPUTED_VALUE"""),95.8)</f>
        <v>95.8</v>
      </c>
      <c r="E15" s="1">
        <f>IFERROR(__xludf.DUMMYFUNCTION("""COMPUTED_VALUE"""),96.83)</f>
        <v>96.83</v>
      </c>
      <c r="F15" s="1">
        <f>IFERROR(__xludf.DUMMYFUNCTION("""COMPUTED_VALUE"""),1100542.0)</f>
        <v>1100542</v>
      </c>
      <c r="G15" s="2" t="s">
        <v>3</v>
      </c>
    </row>
    <row r="16">
      <c r="A16" s="3">
        <f>IFERROR(__xludf.DUMMYFUNCTION("""COMPUTED_VALUE"""),44582.72916666667)</f>
        <v>44582.72917</v>
      </c>
      <c r="B16" s="1">
        <f>IFERROR(__xludf.DUMMYFUNCTION("""COMPUTED_VALUE"""),95.2)</f>
        <v>95.2</v>
      </c>
      <c r="C16" s="1">
        <f>IFERROR(__xludf.DUMMYFUNCTION("""COMPUTED_VALUE"""),95.56)</f>
        <v>95.56</v>
      </c>
      <c r="D16" s="1">
        <f>IFERROR(__xludf.DUMMYFUNCTION("""COMPUTED_VALUE"""),93.97)</f>
        <v>93.97</v>
      </c>
      <c r="E16" s="1">
        <f>IFERROR(__xludf.DUMMYFUNCTION("""COMPUTED_VALUE"""),95.56)</f>
        <v>95.56</v>
      </c>
      <c r="F16" s="1">
        <f>IFERROR(__xludf.DUMMYFUNCTION("""COMPUTED_VALUE"""),1592557.0)</f>
        <v>1592557</v>
      </c>
      <c r="G16" s="2" t="s">
        <v>3</v>
      </c>
    </row>
    <row r="17">
      <c r="A17" s="3">
        <f>IFERROR(__xludf.DUMMYFUNCTION("""COMPUTED_VALUE"""),44585.72916666667)</f>
        <v>44585.72917</v>
      </c>
      <c r="B17" s="1">
        <f>IFERROR(__xludf.DUMMYFUNCTION("""COMPUTED_VALUE"""),95.0)</f>
        <v>95</v>
      </c>
      <c r="C17" s="1">
        <f>IFERROR(__xludf.DUMMYFUNCTION("""COMPUTED_VALUE"""),96.4)</f>
        <v>96.4</v>
      </c>
      <c r="D17" s="1">
        <f>IFERROR(__xludf.DUMMYFUNCTION("""COMPUTED_VALUE"""),90.8)</f>
        <v>90.8</v>
      </c>
      <c r="E17" s="1">
        <f>IFERROR(__xludf.DUMMYFUNCTION("""COMPUTED_VALUE"""),91.48)</f>
        <v>91.48</v>
      </c>
      <c r="F17" s="1">
        <f>IFERROR(__xludf.DUMMYFUNCTION("""COMPUTED_VALUE"""),2185251.0)</f>
        <v>2185251</v>
      </c>
      <c r="G17" s="2" t="s">
        <v>3</v>
      </c>
    </row>
    <row r="18">
      <c r="A18" s="3">
        <f>IFERROR(__xludf.DUMMYFUNCTION("""COMPUTED_VALUE"""),44586.72916666667)</f>
        <v>44586.72917</v>
      </c>
      <c r="B18" s="1">
        <f>IFERROR(__xludf.DUMMYFUNCTION("""COMPUTED_VALUE"""),92.65)</f>
        <v>92.65</v>
      </c>
      <c r="C18" s="1">
        <f>IFERROR(__xludf.DUMMYFUNCTION("""COMPUTED_VALUE"""),93.2)</f>
        <v>93.2</v>
      </c>
      <c r="D18" s="1">
        <f>IFERROR(__xludf.DUMMYFUNCTION("""COMPUTED_VALUE"""),90.94)</f>
        <v>90.94</v>
      </c>
      <c r="E18" s="1">
        <f>IFERROR(__xludf.DUMMYFUNCTION("""COMPUTED_VALUE"""),92.08)</f>
        <v>92.08</v>
      </c>
      <c r="F18" s="1">
        <f>IFERROR(__xludf.DUMMYFUNCTION("""COMPUTED_VALUE"""),1307184.0)</f>
        <v>1307184</v>
      </c>
      <c r="G18" s="2" t="s">
        <v>3</v>
      </c>
    </row>
    <row r="19">
      <c r="A19" s="3">
        <f>IFERROR(__xludf.DUMMYFUNCTION("""COMPUTED_VALUE"""),44587.72916666667)</f>
        <v>44587.72917</v>
      </c>
      <c r="B19" s="1">
        <f>IFERROR(__xludf.DUMMYFUNCTION("""COMPUTED_VALUE"""),92.84)</f>
        <v>92.84</v>
      </c>
      <c r="C19" s="1">
        <f>IFERROR(__xludf.DUMMYFUNCTION("""COMPUTED_VALUE"""),94.91)</f>
        <v>94.91</v>
      </c>
      <c r="D19" s="1">
        <f>IFERROR(__xludf.DUMMYFUNCTION("""COMPUTED_VALUE"""),92.69)</f>
        <v>92.69</v>
      </c>
      <c r="E19" s="1">
        <f>IFERROR(__xludf.DUMMYFUNCTION("""COMPUTED_VALUE"""),94.17)</f>
        <v>94.17</v>
      </c>
      <c r="F19" s="1">
        <f>IFERROR(__xludf.DUMMYFUNCTION("""COMPUTED_VALUE"""),1274554.0)</f>
        <v>1274554</v>
      </c>
      <c r="G19" s="2" t="s">
        <v>3</v>
      </c>
    </row>
    <row r="20">
      <c r="A20" s="3">
        <f>IFERROR(__xludf.DUMMYFUNCTION("""COMPUTED_VALUE"""),44588.72916666667)</f>
        <v>44588.72917</v>
      </c>
      <c r="B20" s="1">
        <f>IFERROR(__xludf.DUMMYFUNCTION("""COMPUTED_VALUE"""),93.01)</f>
        <v>93.01</v>
      </c>
      <c r="C20" s="1">
        <f>IFERROR(__xludf.DUMMYFUNCTION("""COMPUTED_VALUE"""),95.16)</f>
        <v>95.16</v>
      </c>
      <c r="D20" s="1">
        <f>IFERROR(__xludf.DUMMYFUNCTION("""COMPUTED_VALUE"""),92.91)</f>
        <v>92.91</v>
      </c>
      <c r="E20" s="1">
        <f>IFERROR(__xludf.DUMMYFUNCTION("""COMPUTED_VALUE"""),94.0)</f>
        <v>94</v>
      </c>
      <c r="F20" s="1">
        <f>IFERROR(__xludf.DUMMYFUNCTION("""COMPUTED_VALUE"""),1295354.0)</f>
        <v>1295354</v>
      </c>
      <c r="G20" s="2" t="s">
        <v>3</v>
      </c>
    </row>
    <row r="21">
      <c r="A21" s="3">
        <f>IFERROR(__xludf.DUMMYFUNCTION("""COMPUTED_VALUE"""),44589.72916666667)</f>
        <v>44589.72917</v>
      </c>
      <c r="B21" s="1">
        <f>IFERROR(__xludf.DUMMYFUNCTION("""COMPUTED_VALUE"""),94.0)</f>
        <v>94</v>
      </c>
      <c r="C21" s="1">
        <f>IFERROR(__xludf.DUMMYFUNCTION("""COMPUTED_VALUE"""),94.03)</f>
        <v>94.03</v>
      </c>
      <c r="D21" s="1">
        <f>IFERROR(__xludf.DUMMYFUNCTION("""COMPUTED_VALUE"""),90.19)</f>
        <v>90.19</v>
      </c>
      <c r="E21" s="1">
        <f>IFERROR(__xludf.DUMMYFUNCTION("""COMPUTED_VALUE"""),92.4)</f>
        <v>92.4</v>
      </c>
      <c r="F21" s="1">
        <f>IFERROR(__xludf.DUMMYFUNCTION("""COMPUTED_VALUE"""),1830172.0)</f>
        <v>1830172</v>
      </c>
      <c r="G21" s="2" t="s">
        <v>3</v>
      </c>
    </row>
    <row r="22">
      <c r="A22" s="3">
        <f>IFERROR(__xludf.DUMMYFUNCTION("""COMPUTED_VALUE"""),44592.72916666667)</f>
        <v>44592.72917</v>
      </c>
      <c r="B22" s="1">
        <f>IFERROR(__xludf.DUMMYFUNCTION("""COMPUTED_VALUE"""),93.38)</f>
        <v>93.38</v>
      </c>
      <c r="C22" s="1">
        <f>IFERROR(__xludf.DUMMYFUNCTION("""COMPUTED_VALUE"""),93.71)</f>
        <v>93.71</v>
      </c>
      <c r="D22" s="1">
        <f>IFERROR(__xludf.DUMMYFUNCTION("""COMPUTED_VALUE"""),92.15)</f>
        <v>92.15</v>
      </c>
      <c r="E22" s="1">
        <f>IFERROR(__xludf.DUMMYFUNCTION("""COMPUTED_VALUE"""),92.95)</f>
        <v>92.95</v>
      </c>
      <c r="F22" s="1">
        <f>IFERROR(__xludf.DUMMYFUNCTION("""COMPUTED_VALUE"""),1305196.0)</f>
        <v>1305196</v>
      </c>
      <c r="G22" s="2" t="s">
        <v>3</v>
      </c>
    </row>
    <row r="23">
      <c r="A23" s="3">
        <f>IFERROR(__xludf.DUMMYFUNCTION("""COMPUTED_VALUE"""),44593.72916666667)</f>
        <v>44593.72917</v>
      </c>
      <c r="B23" s="1">
        <f>IFERROR(__xludf.DUMMYFUNCTION("""COMPUTED_VALUE"""),93.21)</f>
        <v>93.21</v>
      </c>
      <c r="C23" s="1">
        <f>IFERROR(__xludf.DUMMYFUNCTION("""COMPUTED_VALUE"""),94.39)</f>
        <v>94.39</v>
      </c>
      <c r="D23" s="1">
        <f>IFERROR(__xludf.DUMMYFUNCTION("""COMPUTED_VALUE"""),93.02)</f>
        <v>93.02</v>
      </c>
      <c r="E23" s="1">
        <f>IFERROR(__xludf.DUMMYFUNCTION("""COMPUTED_VALUE"""),94.29)</f>
        <v>94.29</v>
      </c>
      <c r="F23" s="1">
        <f>IFERROR(__xludf.DUMMYFUNCTION("""COMPUTED_VALUE"""),1033421.0)</f>
        <v>1033421</v>
      </c>
      <c r="G23" s="2" t="s">
        <v>3</v>
      </c>
    </row>
    <row r="24">
      <c r="A24" s="3">
        <f>IFERROR(__xludf.DUMMYFUNCTION("""COMPUTED_VALUE"""),44594.72916666667)</f>
        <v>44594.72917</v>
      </c>
      <c r="B24" s="1">
        <f>IFERROR(__xludf.DUMMYFUNCTION("""COMPUTED_VALUE"""),94.5)</f>
        <v>94.5</v>
      </c>
      <c r="C24" s="1">
        <f>IFERROR(__xludf.DUMMYFUNCTION("""COMPUTED_VALUE"""),94.82)</f>
        <v>94.82</v>
      </c>
      <c r="D24" s="1">
        <f>IFERROR(__xludf.DUMMYFUNCTION("""COMPUTED_VALUE"""),93.41)</f>
        <v>93.41</v>
      </c>
      <c r="E24" s="1">
        <f>IFERROR(__xludf.DUMMYFUNCTION("""COMPUTED_VALUE"""),93.68)</f>
        <v>93.68</v>
      </c>
      <c r="F24" s="1">
        <f>IFERROR(__xludf.DUMMYFUNCTION("""COMPUTED_VALUE"""),890522.0)</f>
        <v>890522</v>
      </c>
      <c r="G24" s="2" t="s">
        <v>3</v>
      </c>
    </row>
    <row r="25">
      <c r="A25" s="3">
        <f>IFERROR(__xludf.DUMMYFUNCTION("""COMPUTED_VALUE"""),44595.72916666667)</f>
        <v>44595.72917</v>
      </c>
      <c r="B25" s="1">
        <f>IFERROR(__xludf.DUMMYFUNCTION("""COMPUTED_VALUE"""),93.37)</f>
        <v>93.37</v>
      </c>
      <c r="C25" s="1">
        <f>IFERROR(__xludf.DUMMYFUNCTION("""COMPUTED_VALUE"""),94.67)</f>
        <v>94.67</v>
      </c>
      <c r="D25" s="1">
        <f>IFERROR(__xludf.DUMMYFUNCTION("""COMPUTED_VALUE"""),93.24)</f>
        <v>93.24</v>
      </c>
      <c r="E25" s="1">
        <f>IFERROR(__xludf.DUMMYFUNCTION("""COMPUTED_VALUE"""),93.76)</f>
        <v>93.76</v>
      </c>
      <c r="F25" s="1">
        <f>IFERROR(__xludf.DUMMYFUNCTION("""COMPUTED_VALUE"""),1101439.0)</f>
        <v>1101439</v>
      </c>
      <c r="G25" s="2" t="s">
        <v>3</v>
      </c>
    </row>
    <row r="26">
      <c r="A26" s="3">
        <f>IFERROR(__xludf.DUMMYFUNCTION("""COMPUTED_VALUE"""),44596.72916666667)</f>
        <v>44596.72917</v>
      </c>
      <c r="B26" s="1">
        <f>IFERROR(__xludf.DUMMYFUNCTION("""COMPUTED_VALUE"""),94.36)</f>
        <v>94.36</v>
      </c>
      <c r="C26" s="1">
        <f>IFERROR(__xludf.DUMMYFUNCTION("""COMPUTED_VALUE"""),94.36)</f>
        <v>94.36</v>
      </c>
      <c r="D26" s="1">
        <f>IFERROR(__xludf.DUMMYFUNCTION("""COMPUTED_VALUE"""),89.06)</f>
        <v>89.06</v>
      </c>
      <c r="E26" s="1">
        <f>IFERROR(__xludf.DUMMYFUNCTION("""COMPUTED_VALUE"""),89.66)</f>
        <v>89.66</v>
      </c>
      <c r="F26" s="1">
        <f>IFERROR(__xludf.DUMMYFUNCTION("""COMPUTED_VALUE"""),1816267.0)</f>
        <v>1816267</v>
      </c>
      <c r="G26" s="2" t="s">
        <v>3</v>
      </c>
    </row>
    <row r="27">
      <c r="A27" s="3">
        <f>IFERROR(__xludf.DUMMYFUNCTION("""COMPUTED_VALUE"""),44599.72916666667)</f>
        <v>44599.72917</v>
      </c>
      <c r="B27" s="1">
        <f>IFERROR(__xludf.DUMMYFUNCTION("""COMPUTED_VALUE"""),90.29)</f>
        <v>90.29</v>
      </c>
      <c r="C27" s="1">
        <f>IFERROR(__xludf.DUMMYFUNCTION("""COMPUTED_VALUE"""),90.9)</f>
        <v>90.9</v>
      </c>
      <c r="D27" s="1">
        <f>IFERROR(__xludf.DUMMYFUNCTION("""COMPUTED_VALUE"""),89.81)</f>
        <v>89.81</v>
      </c>
      <c r="E27" s="1">
        <f>IFERROR(__xludf.DUMMYFUNCTION("""COMPUTED_VALUE"""),89.86)</f>
        <v>89.86</v>
      </c>
      <c r="F27" s="1">
        <f>IFERROR(__xludf.DUMMYFUNCTION("""COMPUTED_VALUE"""),1173288.0)</f>
        <v>1173288</v>
      </c>
      <c r="G27" s="2" t="s">
        <v>3</v>
      </c>
    </row>
    <row r="28">
      <c r="A28" s="3">
        <f>IFERROR(__xludf.DUMMYFUNCTION("""COMPUTED_VALUE"""),44600.72916666667)</f>
        <v>44600.72917</v>
      </c>
      <c r="B28" s="1">
        <f>IFERROR(__xludf.DUMMYFUNCTION("""COMPUTED_VALUE"""),89.76)</f>
        <v>89.76</v>
      </c>
      <c r="C28" s="1">
        <f>IFERROR(__xludf.DUMMYFUNCTION("""COMPUTED_VALUE"""),91.87)</f>
        <v>91.87</v>
      </c>
      <c r="D28" s="1">
        <f>IFERROR(__xludf.DUMMYFUNCTION("""COMPUTED_VALUE"""),89.42)</f>
        <v>89.42</v>
      </c>
      <c r="E28" s="1">
        <f>IFERROR(__xludf.DUMMYFUNCTION("""COMPUTED_VALUE"""),89.91)</f>
        <v>89.91</v>
      </c>
      <c r="F28" s="1">
        <f>IFERROR(__xludf.DUMMYFUNCTION("""COMPUTED_VALUE"""),1229356.0)</f>
        <v>1229356</v>
      </c>
      <c r="G28" s="2" t="s">
        <v>3</v>
      </c>
    </row>
    <row r="29">
      <c r="A29" s="3">
        <f>IFERROR(__xludf.DUMMYFUNCTION("""COMPUTED_VALUE"""),44601.72916666667)</f>
        <v>44601.72917</v>
      </c>
      <c r="B29" s="1">
        <f>IFERROR(__xludf.DUMMYFUNCTION("""COMPUTED_VALUE"""),90.6)</f>
        <v>90.6</v>
      </c>
      <c r="C29" s="1">
        <f>IFERROR(__xludf.DUMMYFUNCTION("""COMPUTED_VALUE"""),93.95)</f>
        <v>93.95</v>
      </c>
      <c r="D29" s="1">
        <f>IFERROR(__xludf.DUMMYFUNCTION("""COMPUTED_VALUE"""),90.2)</f>
        <v>90.2</v>
      </c>
      <c r="E29" s="1">
        <f>IFERROR(__xludf.DUMMYFUNCTION("""COMPUTED_VALUE"""),93.33)</f>
        <v>93.33</v>
      </c>
      <c r="F29" s="1">
        <f>IFERROR(__xludf.DUMMYFUNCTION("""COMPUTED_VALUE"""),1579360.0)</f>
        <v>1579360</v>
      </c>
      <c r="G29" s="2" t="s">
        <v>3</v>
      </c>
    </row>
    <row r="30">
      <c r="A30" s="3">
        <f>IFERROR(__xludf.DUMMYFUNCTION("""COMPUTED_VALUE"""),44602.72916666667)</f>
        <v>44602.72917</v>
      </c>
      <c r="B30" s="1">
        <f>IFERROR(__xludf.DUMMYFUNCTION("""COMPUTED_VALUE"""),93.11)</f>
        <v>93.11</v>
      </c>
      <c r="C30" s="1">
        <f>IFERROR(__xludf.DUMMYFUNCTION("""COMPUTED_VALUE"""),93.65)</f>
        <v>93.65</v>
      </c>
      <c r="D30" s="1">
        <f>IFERROR(__xludf.DUMMYFUNCTION("""COMPUTED_VALUE"""),92.44)</f>
        <v>92.44</v>
      </c>
      <c r="E30" s="1">
        <f>IFERROR(__xludf.DUMMYFUNCTION("""COMPUTED_VALUE"""),92.77)</f>
        <v>92.77</v>
      </c>
      <c r="F30" s="1">
        <f>IFERROR(__xludf.DUMMYFUNCTION("""COMPUTED_VALUE"""),1206489.0)</f>
        <v>1206489</v>
      </c>
      <c r="G30" s="2" t="s">
        <v>3</v>
      </c>
    </row>
    <row r="31">
      <c r="A31" s="3">
        <f>IFERROR(__xludf.DUMMYFUNCTION("""COMPUTED_VALUE"""),44603.72916666667)</f>
        <v>44603.72917</v>
      </c>
      <c r="B31" s="1">
        <f>IFERROR(__xludf.DUMMYFUNCTION("""COMPUTED_VALUE"""),91.59)</f>
        <v>91.59</v>
      </c>
      <c r="C31" s="1">
        <f>IFERROR(__xludf.DUMMYFUNCTION("""COMPUTED_VALUE"""),95.73)</f>
        <v>95.73</v>
      </c>
      <c r="D31" s="1">
        <f>IFERROR(__xludf.DUMMYFUNCTION("""COMPUTED_VALUE"""),90.97)</f>
        <v>90.97</v>
      </c>
      <c r="E31" s="1">
        <f>IFERROR(__xludf.DUMMYFUNCTION("""COMPUTED_VALUE"""),95.3)</f>
        <v>95.3</v>
      </c>
      <c r="F31" s="1">
        <f>IFERROR(__xludf.DUMMYFUNCTION("""COMPUTED_VALUE"""),2746188.0)</f>
        <v>2746188</v>
      </c>
      <c r="G31" s="2" t="s">
        <v>3</v>
      </c>
    </row>
    <row r="32">
      <c r="A32" s="3">
        <f>IFERROR(__xludf.DUMMYFUNCTION("""COMPUTED_VALUE"""),44606.72916666667)</f>
        <v>44606.72917</v>
      </c>
      <c r="B32" s="1">
        <f>IFERROR(__xludf.DUMMYFUNCTION("""COMPUTED_VALUE"""),92.42)</f>
        <v>92.42</v>
      </c>
      <c r="C32" s="1">
        <f>IFERROR(__xludf.DUMMYFUNCTION("""COMPUTED_VALUE"""),93.11)</f>
        <v>93.11</v>
      </c>
      <c r="D32" s="1">
        <f>IFERROR(__xludf.DUMMYFUNCTION("""COMPUTED_VALUE"""),90.79)</f>
        <v>90.79</v>
      </c>
      <c r="E32" s="1">
        <f>IFERROR(__xludf.DUMMYFUNCTION("""COMPUTED_VALUE"""),92.59)</f>
        <v>92.59</v>
      </c>
      <c r="F32" s="1">
        <f>IFERROR(__xludf.DUMMYFUNCTION("""COMPUTED_VALUE"""),2148590.0)</f>
        <v>2148590</v>
      </c>
      <c r="G32" s="2" t="s">
        <v>3</v>
      </c>
    </row>
    <row r="33">
      <c r="A33" s="3">
        <f>IFERROR(__xludf.DUMMYFUNCTION("""COMPUTED_VALUE"""),44607.72916666667)</f>
        <v>44607.72917</v>
      </c>
      <c r="B33" s="1">
        <f>IFERROR(__xludf.DUMMYFUNCTION("""COMPUTED_VALUE"""),92.43)</f>
        <v>92.43</v>
      </c>
      <c r="C33" s="1">
        <f>IFERROR(__xludf.DUMMYFUNCTION("""COMPUTED_VALUE"""),94.99)</f>
        <v>94.99</v>
      </c>
      <c r="D33" s="1">
        <f>IFERROR(__xludf.DUMMYFUNCTION("""COMPUTED_VALUE"""),91.94)</f>
        <v>91.94</v>
      </c>
      <c r="E33" s="1">
        <f>IFERROR(__xludf.DUMMYFUNCTION("""COMPUTED_VALUE"""),94.93)</f>
        <v>94.93</v>
      </c>
      <c r="F33" s="1">
        <f>IFERROR(__xludf.DUMMYFUNCTION("""COMPUTED_VALUE"""),1474671.0)</f>
        <v>1474671</v>
      </c>
      <c r="G33" s="2" t="s">
        <v>3</v>
      </c>
    </row>
    <row r="34">
      <c r="A34" s="3">
        <f>IFERROR(__xludf.DUMMYFUNCTION("""COMPUTED_VALUE"""),44608.72916666667)</f>
        <v>44608.72917</v>
      </c>
      <c r="B34" s="1">
        <f>IFERROR(__xludf.DUMMYFUNCTION("""COMPUTED_VALUE"""),94.92)</f>
        <v>94.92</v>
      </c>
      <c r="C34" s="1">
        <f>IFERROR(__xludf.DUMMYFUNCTION("""COMPUTED_VALUE"""),96.02)</f>
        <v>96.02</v>
      </c>
      <c r="D34" s="1">
        <f>IFERROR(__xludf.DUMMYFUNCTION("""COMPUTED_VALUE"""),93.34)</f>
        <v>93.34</v>
      </c>
      <c r="E34" s="1">
        <f>IFERROR(__xludf.DUMMYFUNCTION("""COMPUTED_VALUE"""),94.05)</f>
        <v>94.05</v>
      </c>
      <c r="F34" s="1">
        <f>IFERROR(__xludf.DUMMYFUNCTION("""COMPUTED_VALUE"""),1496583.0)</f>
        <v>1496583</v>
      </c>
      <c r="G34" s="2" t="s">
        <v>3</v>
      </c>
    </row>
    <row r="35">
      <c r="A35" s="3">
        <f>IFERROR(__xludf.DUMMYFUNCTION("""COMPUTED_VALUE"""),44609.72916666667)</f>
        <v>44609.72917</v>
      </c>
      <c r="B35" s="1">
        <f>IFERROR(__xludf.DUMMYFUNCTION("""COMPUTED_VALUE"""),94.73)</f>
        <v>94.73</v>
      </c>
      <c r="C35" s="1">
        <f>IFERROR(__xludf.DUMMYFUNCTION("""COMPUTED_VALUE"""),97.23)</f>
        <v>97.23</v>
      </c>
      <c r="D35" s="1">
        <f>IFERROR(__xludf.DUMMYFUNCTION("""COMPUTED_VALUE"""),94.57)</f>
        <v>94.57</v>
      </c>
      <c r="E35" s="1">
        <f>IFERROR(__xludf.DUMMYFUNCTION("""COMPUTED_VALUE"""),95.97)</f>
        <v>95.97</v>
      </c>
      <c r="F35" s="1">
        <f>IFERROR(__xludf.DUMMYFUNCTION("""COMPUTED_VALUE"""),1694067.0)</f>
        <v>1694067</v>
      </c>
      <c r="G35" s="2" t="s">
        <v>3</v>
      </c>
    </row>
    <row r="36">
      <c r="A36" s="3">
        <f>IFERROR(__xludf.DUMMYFUNCTION("""COMPUTED_VALUE"""),44610.72916666667)</f>
        <v>44610.72917</v>
      </c>
      <c r="B36" s="1">
        <f>IFERROR(__xludf.DUMMYFUNCTION("""COMPUTED_VALUE"""),96.36)</f>
        <v>96.36</v>
      </c>
      <c r="C36" s="1">
        <f>IFERROR(__xludf.DUMMYFUNCTION("""COMPUTED_VALUE"""),97.6)</f>
        <v>97.6</v>
      </c>
      <c r="D36" s="1">
        <f>IFERROR(__xludf.DUMMYFUNCTION("""COMPUTED_VALUE"""),94.95)</f>
        <v>94.95</v>
      </c>
      <c r="E36" s="1">
        <f>IFERROR(__xludf.DUMMYFUNCTION("""COMPUTED_VALUE"""),95.38)</f>
        <v>95.38</v>
      </c>
      <c r="F36" s="1">
        <f>IFERROR(__xludf.DUMMYFUNCTION("""COMPUTED_VALUE"""),1551295.0)</f>
        <v>1551295</v>
      </c>
      <c r="G36" s="2" t="s">
        <v>3</v>
      </c>
    </row>
    <row r="37">
      <c r="A37" s="3">
        <f>IFERROR(__xludf.DUMMYFUNCTION("""COMPUTED_VALUE"""),44613.72916666667)</f>
        <v>44613.72917</v>
      </c>
      <c r="B37" s="1">
        <f>IFERROR(__xludf.DUMMYFUNCTION("""COMPUTED_VALUE"""),96.61)</f>
        <v>96.61</v>
      </c>
      <c r="C37" s="1">
        <f>IFERROR(__xludf.DUMMYFUNCTION("""COMPUTED_VALUE"""),96.93)</f>
        <v>96.93</v>
      </c>
      <c r="D37" s="1">
        <f>IFERROR(__xludf.DUMMYFUNCTION("""COMPUTED_VALUE"""),91.49)</f>
        <v>91.49</v>
      </c>
      <c r="E37" s="1">
        <f>IFERROR(__xludf.DUMMYFUNCTION("""COMPUTED_VALUE"""),92.29)</f>
        <v>92.29</v>
      </c>
      <c r="F37" s="1">
        <f>IFERROR(__xludf.DUMMYFUNCTION("""COMPUTED_VALUE"""),1644574.0)</f>
        <v>1644574</v>
      </c>
      <c r="G37" s="2" t="s">
        <v>3</v>
      </c>
    </row>
    <row r="38">
      <c r="A38" s="3">
        <f>IFERROR(__xludf.DUMMYFUNCTION("""COMPUTED_VALUE"""),44614.72916666667)</f>
        <v>44614.72917</v>
      </c>
      <c r="B38" s="1">
        <f>IFERROR(__xludf.DUMMYFUNCTION("""COMPUTED_VALUE"""),89.63)</f>
        <v>89.63</v>
      </c>
      <c r="C38" s="1">
        <f>IFERROR(__xludf.DUMMYFUNCTION("""COMPUTED_VALUE"""),92.31)</f>
        <v>92.31</v>
      </c>
      <c r="D38" s="1">
        <f>IFERROR(__xludf.DUMMYFUNCTION("""COMPUTED_VALUE"""),89.44)</f>
        <v>89.44</v>
      </c>
      <c r="E38" s="1">
        <f>IFERROR(__xludf.DUMMYFUNCTION("""COMPUTED_VALUE"""),90.93)</f>
        <v>90.93</v>
      </c>
      <c r="F38" s="1">
        <f>IFERROR(__xludf.DUMMYFUNCTION("""COMPUTED_VALUE"""),2078619.0)</f>
        <v>2078619</v>
      </c>
      <c r="G38" s="2" t="s">
        <v>3</v>
      </c>
    </row>
    <row r="39">
      <c r="A39" s="3">
        <f>IFERROR(__xludf.DUMMYFUNCTION("""COMPUTED_VALUE"""),44615.72916666667)</f>
        <v>44615.72917</v>
      </c>
      <c r="B39" s="1">
        <f>IFERROR(__xludf.DUMMYFUNCTION("""COMPUTED_VALUE"""),91.0)</f>
        <v>91</v>
      </c>
      <c r="C39" s="1">
        <f>IFERROR(__xludf.DUMMYFUNCTION("""COMPUTED_VALUE"""),93.82)</f>
        <v>93.82</v>
      </c>
      <c r="D39" s="1">
        <f>IFERROR(__xludf.DUMMYFUNCTION("""COMPUTED_VALUE"""),90.95)</f>
        <v>90.95</v>
      </c>
      <c r="E39" s="1">
        <f>IFERROR(__xludf.DUMMYFUNCTION("""COMPUTED_VALUE"""),91.62)</f>
        <v>91.62</v>
      </c>
      <c r="F39" s="1">
        <f>IFERROR(__xludf.DUMMYFUNCTION("""COMPUTED_VALUE"""),1489901.0)</f>
        <v>1489901</v>
      </c>
      <c r="G39" s="2" t="s">
        <v>3</v>
      </c>
    </row>
    <row r="40">
      <c r="A40" s="3">
        <f>IFERROR(__xludf.DUMMYFUNCTION("""COMPUTED_VALUE"""),44616.72916666667)</f>
        <v>44616.72917</v>
      </c>
      <c r="B40" s="1">
        <f>IFERROR(__xludf.DUMMYFUNCTION("""COMPUTED_VALUE"""),87.25)</f>
        <v>87.25</v>
      </c>
      <c r="C40" s="1">
        <f>IFERROR(__xludf.DUMMYFUNCTION("""COMPUTED_VALUE"""),88.87)</f>
        <v>88.87</v>
      </c>
      <c r="D40" s="1">
        <f>IFERROR(__xludf.DUMMYFUNCTION("""COMPUTED_VALUE"""),84.15)</f>
        <v>84.15</v>
      </c>
      <c r="E40" s="1">
        <f>IFERROR(__xludf.DUMMYFUNCTION("""COMPUTED_VALUE"""),84.99)</f>
        <v>84.99</v>
      </c>
      <c r="F40" s="1">
        <f>IFERROR(__xludf.DUMMYFUNCTION("""COMPUTED_VALUE"""),4257916.0)</f>
        <v>4257916</v>
      </c>
      <c r="G40" s="2" t="s">
        <v>3</v>
      </c>
    </row>
    <row r="41">
      <c r="A41" s="3">
        <f>IFERROR(__xludf.DUMMYFUNCTION("""COMPUTED_VALUE"""),44617.72916666667)</f>
        <v>44617.72917</v>
      </c>
      <c r="B41" s="1">
        <f>IFERROR(__xludf.DUMMYFUNCTION("""COMPUTED_VALUE"""),86.38)</f>
        <v>86.38</v>
      </c>
      <c r="C41" s="1">
        <f>IFERROR(__xludf.DUMMYFUNCTION("""COMPUTED_VALUE"""),88.14)</f>
        <v>88.14</v>
      </c>
      <c r="D41" s="1">
        <f>IFERROR(__xludf.DUMMYFUNCTION("""COMPUTED_VALUE"""),84.13)</f>
        <v>84.13</v>
      </c>
      <c r="E41" s="1">
        <f>IFERROR(__xludf.DUMMYFUNCTION("""COMPUTED_VALUE"""),88.02)</f>
        <v>88.02</v>
      </c>
      <c r="F41" s="1">
        <f>IFERROR(__xludf.DUMMYFUNCTION("""COMPUTED_VALUE"""),2682262.0)</f>
        <v>2682262</v>
      </c>
      <c r="G41" s="2" t="s">
        <v>3</v>
      </c>
    </row>
    <row r="42">
      <c r="A42" s="3">
        <f>IFERROR(__xludf.DUMMYFUNCTION("""COMPUTED_VALUE"""),44620.72916666667)</f>
        <v>44620.72917</v>
      </c>
      <c r="B42" s="1">
        <f>IFERROR(__xludf.DUMMYFUNCTION("""COMPUTED_VALUE"""),85.04)</f>
        <v>85.04</v>
      </c>
      <c r="C42" s="1">
        <f>IFERROR(__xludf.DUMMYFUNCTION("""COMPUTED_VALUE"""),86.56)</f>
        <v>86.56</v>
      </c>
      <c r="D42" s="1">
        <f>IFERROR(__xludf.DUMMYFUNCTION("""COMPUTED_VALUE"""),83.22)</f>
        <v>83.22</v>
      </c>
      <c r="E42" s="1">
        <f>IFERROR(__xludf.DUMMYFUNCTION("""COMPUTED_VALUE"""),86.56)</f>
        <v>86.56</v>
      </c>
      <c r="F42" s="1">
        <f>IFERROR(__xludf.DUMMYFUNCTION("""COMPUTED_VALUE"""),2667291.0)</f>
        <v>2667291</v>
      </c>
      <c r="G42" s="2" t="s">
        <v>3</v>
      </c>
    </row>
    <row r="43">
      <c r="A43" s="3">
        <f>IFERROR(__xludf.DUMMYFUNCTION("""COMPUTED_VALUE"""),44621.72916666667)</f>
        <v>44621.72917</v>
      </c>
      <c r="B43" s="1">
        <f>IFERROR(__xludf.DUMMYFUNCTION("""COMPUTED_VALUE"""),86.16)</f>
        <v>86.16</v>
      </c>
      <c r="C43" s="1">
        <f>IFERROR(__xludf.DUMMYFUNCTION("""COMPUTED_VALUE"""),87.5)</f>
        <v>87.5</v>
      </c>
      <c r="D43" s="1">
        <f>IFERROR(__xludf.DUMMYFUNCTION("""COMPUTED_VALUE"""),82.07)</f>
        <v>82.07</v>
      </c>
      <c r="E43" s="1">
        <f>IFERROR(__xludf.DUMMYFUNCTION("""COMPUTED_VALUE"""),82.49)</f>
        <v>82.49</v>
      </c>
      <c r="F43" s="1">
        <f>IFERROR(__xludf.DUMMYFUNCTION("""COMPUTED_VALUE"""),2383041.0)</f>
        <v>2383041</v>
      </c>
      <c r="G43" s="2" t="s">
        <v>3</v>
      </c>
    </row>
    <row r="44">
      <c r="A44" s="3">
        <f>IFERROR(__xludf.DUMMYFUNCTION("""COMPUTED_VALUE"""),44622.72916666667)</f>
        <v>44622.72917</v>
      </c>
      <c r="B44" s="1">
        <f>IFERROR(__xludf.DUMMYFUNCTION("""COMPUTED_VALUE"""),80.33)</f>
        <v>80.33</v>
      </c>
      <c r="C44" s="1">
        <f>IFERROR(__xludf.DUMMYFUNCTION("""COMPUTED_VALUE"""),82.07)</f>
        <v>82.07</v>
      </c>
      <c r="D44" s="1">
        <f>IFERROR(__xludf.DUMMYFUNCTION("""COMPUTED_VALUE"""),79.31)</f>
        <v>79.31</v>
      </c>
      <c r="E44" s="1">
        <f>IFERROR(__xludf.DUMMYFUNCTION("""COMPUTED_VALUE"""),80.56)</f>
        <v>80.56</v>
      </c>
      <c r="F44" s="1">
        <f>IFERROR(__xludf.DUMMYFUNCTION("""COMPUTED_VALUE"""),2638366.0)</f>
        <v>2638366</v>
      </c>
      <c r="G44" s="2" t="s">
        <v>3</v>
      </c>
    </row>
    <row r="45">
      <c r="A45" s="3">
        <f>IFERROR(__xludf.DUMMYFUNCTION("""COMPUTED_VALUE"""),44623.72916666667)</f>
        <v>44623.72917</v>
      </c>
      <c r="B45" s="1">
        <f>IFERROR(__xludf.DUMMYFUNCTION("""COMPUTED_VALUE"""),80.6)</f>
        <v>80.6</v>
      </c>
      <c r="C45" s="1">
        <f>IFERROR(__xludf.DUMMYFUNCTION("""COMPUTED_VALUE"""),81.01)</f>
        <v>81.01</v>
      </c>
      <c r="D45" s="1">
        <f>IFERROR(__xludf.DUMMYFUNCTION("""COMPUTED_VALUE"""),76.88)</f>
        <v>76.88</v>
      </c>
      <c r="E45" s="1">
        <f>IFERROR(__xludf.DUMMYFUNCTION("""COMPUTED_VALUE"""),77.51)</f>
        <v>77.51</v>
      </c>
      <c r="F45" s="1">
        <f>IFERROR(__xludf.DUMMYFUNCTION("""COMPUTED_VALUE"""),2480550.0)</f>
        <v>2480550</v>
      </c>
      <c r="G45" s="2" t="s">
        <v>3</v>
      </c>
    </row>
    <row r="46">
      <c r="A46" s="3">
        <f>IFERROR(__xludf.DUMMYFUNCTION("""COMPUTED_VALUE"""),44624.72916666667)</f>
        <v>44624.72917</v>
      </c>
      <c r="B46" s="1">
        <f>IFERROR(__xludf.DUMMYFUNCTION("""COMPUTED_VALUE"""),75.6)</f>
        <v>75.6</v>
      </c>
      <c r="C46" s="1">
        <f>IFERROR(__xludf.DUMMYFUNCTION("""COMPUTED_VALUE"""),76.48)</f>
        <v>76.48</v>
      </c>
      <c r="D46" s="1">
        <f>IFERROR(__xludf.DUMMYFUNCTION("""COMPUTED_VALUE"""),72.49)</f>
        <v>72.49</v>
      </c>
      <c r="E46" s="1">
        <f>IFERROR(__xludf.DUMMYFUNCTION("""COMPUTED_VALUE"""),73.1)</f>
        <v>73.1</v>
      </c>
      <c r="F46" s="1">
        <f>IFERROR(__xludf.DUMMYFUNCTION("""COMPUTED_VALUE"""),3819567.0)</f>
        <v>3819567</v>
      </c>
      <c r="G46" s="2" t="s">
        <v>3</v>
      </c>
    </row>
    <row r="47">
      <c r="A47" s="3">
        <f>IFERROR(__xludf.DUMMYFUNCTION("""COMPUTED_VALUE"""),44627.72916666667)</f>
        <v>44627.72917</v>
      </c>
      <c r="B47" s="1">
        <f>IFERROR(__xludf.DUMMYFUNCTION("""COMPUTED_VALUE"""),69.66)</f>
        <v>69.66</v>
      </c>
      <c r="C47" s="1">
        <f>IFERROR(__xludf.DUMMYFUNCTION("""COMPUTED_VALUE"""),72.87)</f>
        <v>72.87</v>
      </c>
      <c r="D47" s="1">
        <f>IFERROR(__xludf.DUMMYFUNCTION("""COMPUTED_VALUE"""),67.58)</f>
        <v>67.58</v>
      </c>
      <c r="E47" s="1">
        <f>IFERROR(__xludf.DUMMYFUNCTION("""COMPUTED_VALUE"""),70.52)</f>
        <v>70.52</v>
      </c>
      <c r="F47" s="1">
        <f>IFERROR(__xludf.DUMMYFUNCTION("""COMPUTED_VALUE"""),4055547.0)</f>
        <v>4055547</v>
      </c>
      <c r="G47" s="2" t="s">
        <v>3</v>
      </c>
    </row>
    <row r="48">
      <c r="A48" s="3">
        <f>IFERROR(__xludf.DUMMYFUNCTION("""COMPUTED_VALUE"""),44628.72916666667)</f>
        <v>44628.72917</v>
      </c>
      <c r="B48" s="1">
        <f>IFERROR(__xludf.DUMMYFUNCTION("""COMPUTED_VALUE"""),69.3)</f>
        <v>69.3</v>
      </c>
      <c r="C48" s="1">
        <f>IFERROR(__xludf.DUMMYFUNCTION("""COMPUTED_VALUE"""),73.2)</f>
        <v>73.2</v>
      </c>
      <c r="D48" s="1">
        <f>IFERROR(__xludf.DUMMYFUNCTION("""COMPUTED_VALUE"""),68.8)</f>
        <v>68.8</v>
      </c>
      <c r="E48" s="1">
        <f>IFERROR(__xludf.DUMMYFUNCTION("""COMPUTED_VALUE"""),71.05)</f>
        <v>71.05</v>
      </c>
      <c r="F48" s="1">
        <f>IFERROR(__xludf.DUMMYFUNCTION("""COMPUTED_VALUE"""),3481540.0)</f>
        <v>3481540</v>
      </c>
      <c r="G48" s="2" t="s">
        <v>3</v>
      </c>
    </row>
    <row r="49">
      <c r="A49" s="3">
        <f>IFERROR(__xludf.DUMMYFUNCTION("""COMPUTED_VALUE"""),44629.72916666667)</f>
        <v>44629.72917</v>
      </c>
      <c r="B49" s="1">
        <f>IFERROR(__xludf.DUMMYFUNCTION("""COMPUTED_VALUE"""),74.01)</f>
        <v>74.01</v>
      </c>
      <c r="C49" s="1">
        <f>IFERROR(__xludf.DUMMYFUNCTION("""COMPUTED_VALUE"""),76.25)</f>
        <v>76.25</v>
      </c>
      <c r="D49" s="1">
        <f>IFERROR(__xludf.DUMMYFUNCTION("""COMPUTED_VALUE"""),72.45)</f>
        <v>72.45</v>
      </c>
      <c r="E49" s="1">
        <f>IFERROR(__xludf.DUMMYFUNCTION("""COMPUTED_VALUE"""),76.2)</f>
        <v>76.2</v>
      </c>
      <c r="F49" s="1">
        <f>IFERROR(__xludf.DUMMYFUNCTION("""COMPUTED_VALUE"""),3559897.0)</f>
        <v>3559897</v>
      </c>
      <c r="G49" s="2" t="s">
        <v>3</v>
      </c>
    </row>
    <row r="50">
      <c r="A50" s="3">
        <f>IFERROR(__xludf.DUMMYFUNCTION("""COMPUTED_VALUE"""),44630.72916666667)</f>
        <v>44630.72917</v>
      </c>
      <c r="B50" s="1">
        <f>IFERROR(__xludf.DUMMYFUNCTION("""COMPUTED_VALUE"""),76.26)</f>
        <v>76.26</v>
      </c>
      <c r="C50" s="1">
        <f>IFERROR(__xludf.DUMMYFUNCTION("""COMPUTED_VALUE"""),76.74)</f>
        <v>76.74</v>
      </c>
      <c r="D50" s="1">
        <f>IFERROR(__xludf.DUMMYFUNCTION("""COMPUTED_VALUE"""),70.22)</f>
        <v>70.22</v>
      </c>
      <c r="E50" s="1">
        <f>IFERROR(__xludf.DUMMYFUNCTION("""COMPUTED_VALUE"""),72.0)</f>
        <v>72</v>
      </c>
      <c r="F50" s="1">
        <f>IFERROR(__xludf.DUMMYFUNCTION("""COMPUTED_VALUE"""),4329263.0)</f>
        <v>4329263</v>
      </c>
      <c r="G50" s="2" t="s">
        <v>3</v>
      </c>
    </row>
    <row r="51">
      <c r="A51" s="3">
        <f>IFERROR(__xludf.DUMMYFUNCTION("""COMPUTED_VALUE"""),44631.72916666667)</f>
        <v>44631.72917</v>
      </c>
      <c r="B51" s="1">
        <f>IFERROR(__xludf.DUMMYFUNCTION("""COMPUTED_VALUE"""),72.92)</f>
        <v>72.92</v>
      </c>
      <c r="C51" s="1">
        <f>IFERROR(__xludf.DUMMYFUNCTION("""COMPUTED_VALUE"""),75.46)</f>
        <v>75.46</v>
      </c>
      <c r="D51" s="1">
        <f>IFERROR(__xludf.DUMMYFUNCTION("""COMPUTED_VALUE"""),72.0)</f>
        <v>72</v>
      </c>
      <c r="E51" s="1">
        <f>IFERROR(__xludf.DUMMYFUNCTION("""COMPUTED_VALUE"""),72.42)</f>
        <v>72.42</v>
      </c>
      <c r="F51" s="1">
        <f>IFERROR(__xludf.DUMMYFUNCTION("""COMPUTED_VALUE"""),2873113.0)</f>
        <v>2873113</v>
      </c>
      <c r="G51" s="2" t="s">
        <v>3</v>
      </c>
    </row>
    <row r="52">
      <c r="A52" s="3">
        <f>IFERROR(__xludf.DUMMYFUNCTION("""COMPUTED_VALUE"""),44634.72916666667)</f>
        <v>44634.72917</v>
      </c>
      <c r="B52" s="1">
        <f>IFERROR(__xludf.DUMMYFUNCTION("""COMPUTED_VALUE"""),74.64)</f>
        <v>74.64</v>
      </c>
      <c r="C52" s="1">
        <f>IFERROR(__xludf.DUMMYFUNCTION("""COMPUTED_VALUE"""),76.37)</f>
        <v>76.37</v>
      </c>
      <c r="D52" s="1">
        <f>IFERROR(__xludf.DUMMYFUNCTION("""COMPUTED_VALUE"""),73.98)</f>
        <v>73.98</v>
      </c>
      <c r="E52" s="1">
        <f>IFERROR(__xludf.DUMMYFUNCTION("""COMPUTED_VALUE"""),74.43)</f>
        <v>74.43</v>
      </c>
      <c r="F52" s="1">
        <f>IFERROR(__xludf.DUMMYFUNCTION("""COMPUTED_VALUE"""),2514991.0)</f>
        <v>2514991</v>
      </c>
      <c r="G52" s="2" t="s">
        <v>3</v>
      </c>
    </row>
    <row r="53">
      <c r="A53" s="3">
        <f>IFERROR(__xludf.DUMMYFUNCTION("""COMPUTED_VALUE"""),44635.72916666667)</f>
        <v>44635.72917</v>
      </c>
      <c r="B53" s="1">
        <f>IFERROR(__xludf.DUMMYFUNCTION("""COMPUTED_VALUE"""),73.63)</f>
        <v>73.63</v>
      </c>
      <c r="C53" s="1">
        <f>IFERROR(__xludf.DUMMYFUNCTION("""COMPUTED_VALUE"""),75.78)</f>
        <v>75.78</v>
      </c>
      <c r="D53" s="1">
        <f>IFERROR(__xludf.DUMMYFUNCTION("""COMPUTED_VALUE"""),71.7)</f>
        <v>71.7</v>
      </c>
      <c r="E53" s="1">
        <f>IFERROR(__xludf.DUMMYFUNCTION("""COMPUTED_VALUE"""),75.32)</f>
        <v>75.32</v>
      </c>
      <c r="F53" s="1">
        <f>IFERROR(__xludf.DUMMYFUNCTION("""COMPUTED_VALUE"""),2601157.0)</f>
        <v>2601157</v>
      </c>
      <c r="G53" s="2" t="s">
        <v>3</v>
      </c>
    </row>
    <row r="54">
      <c r="A54" s="3">
        <f>IFERROR(__xludf.DUMMYFUNCTION("""COMPUTED_VALUE"""),44636.72916666667)</f>
        <v>44636.72917</v>
      </c>
      <c r="B54" s="1">
        <f>IFERROR(__xludf.DUMMYFUNCTION("""COMPUTED_VALUE"""),77.54)</f>
        <v>77.54</v>
      </c>
      <c r="C54" s="1">
        <f>IFERROR(__xludf.DUMMYFUNCTION("""COMPUTED_VALUE"""),79.28)</f>
        <v>79.28</v>
      </c>
      <c r="D54" s="1">
        <f>IFERROR(__xludf.DUMMYFUNCTION("""COMPUTED_VALUE"""),76.18)</f>
        <v>76.18</v>
      </c>
      <c r="E54" s="1">
        <f>IFERROR(__xludf.DUMMYFUNCTION("""COMPUTED_VALUE"""),78.4)</f>
        <v>78.4</v>
      </c>
      <c r="F54" s="1">
        <f>IFERROR(__xludf.DUMMYFUNCTION("""COMPUTED_VALUE"""),3188590.0)</f>
        <v>3188590</v>
      </c>
      <c r="G54" s="2" t="s">
        <v>3</v>
      </c>
    </row>
    <row r="55">
      <c r="A55" s="3">
        <f>IFERROR(__xludf.DUMMYFUNCTION("""COMPUTED_VALUE"""),44637.72916666667)</f>
        <v>44637.72917</v>
      </c>
      <c r="B55" s="1">
        <f>IFERROR(__xludf.DUMMYFUNCTION("""COMPUTED_VALUE"""),79.34)</f>
        <v>79.34</v>
      </c>
      <c r="C55" s="1">
        <f>IFERROR(__xludf.DUMMYFUNCTION("""COMPUTED_VALUE"""),79.4)</f>
        <v>79.4</v>
      </c>
      <c r="D55" s="1">
        <f>IFERROR(__xludf.DUMMYFUNCTION("""COMPUTED_VALUE"""),75.51)</f>
        <v>75.51</v>
      </c>
      <c r="E55" s="1">
        <f>IFERROR(__xludf.DUMMYFUNCTION("""COMPUTED_VALUE"""),76.67)</f>
        <v>76.67</v>
      </c>
      <c r="F55" s="1">
        <f>IFERROR(__xludf.DUMMYFUNCTION("""COMPUTED_VALUE"""),2207957.0)</f>
        <v>2207957</v>
      </c>
      <c r="G55" s="2" t="s">
        <v>3</v>
      </c>
    </row>
    <row r="56">
      <c r="A56" s="3">
        <f>IFERROR(__xludf.DUMMYFUNCTION("""COMPUTED_VALUE"""),44638.72916666667)</f>
        <v>44638.72917</v>
      </c>
      <c r="B56" s="1">
        <f>IFERROR(__xludf.DUMMYFUNCTION("""COMPUTED_VALUE"""),76.2)</f>
        <v>76.2</v>
      </c>
      <c r="C56" s="1">
        <f>IFERROR(__xludf.DUMMYFUNCTION("""COMPUTED_VALUE"""),76.66)</f>
        <v>76.66</v>
      </c>
      <c r="D56" s="1">
        <f>IFERROR(__xludf.DUMMYFUNCTION("""COMPUTED_VALUE"""),74.75)</f>
        <v>74.75</v>
      </c>
      <c r="E56" s="1">
        <f>IFERROR(__xludf.DUMMYFUNCTION("""COMPUTED_VALUE"""),75.9)</f>
        <v>75.9</v>
      </c>
      <c r="F56" s="1">
        <f>IFERROR(__xludf.DUMMYFUNCTION("""COMPUTED_VALUE"""),4736344.0)</f>
        <v>4736344</v>
      </c>
      <c r="G56" s="2" t="s">
        <v>3</v>
      </c>
    </row>
    <row r="57">
      <c r="A57" s="3">
        <f>IFERROR(__xludf.DUMMYFUNCTION("""COMPUTED_VALUE"""),44641.72916666667)</f>
        <v>44641.72917</v>
      </c>
      <c r="B57" s="1">
        <f>IFERROR(__xludf.DUMMYFUNCTION("""COMPUTED_VALUE"""),76.24)</f>
        <v>76.24</v>
      </c>
      <c r="C57" s="1">
        <f>IFERROR(__xludf.DUMMYFUNCTION("""COMPUTED_VALUE"""),77.97)</f>
        <v>77.97</v>
      </c>
      <c r="D57" s="1">
        <f>IFERROR(__xludf.DUMMYFUNCTION("""COMPUTED_VALUE"""),75.74)</f>
        <v>75.74</v>
      </c>
      <c r="E57" s="1">
        <f>IFERROR(__xludf.DUMMYFUNCTION("""COMPUTED_VALUE"""),77.44)</f>
        <v>77.44</v>
      </c>
      <c r="F57" s="1">
        <f>IFERROR(__xludf.DUMMYFUNCTION("""COMPUTED_VALUE"""),1686583.0)</f>
        <v>1686583</v>
      </c>
      <c r="G57" s="2" t="s">
        <v>3</v>
      </c>
    </row>
    <row r="58">
      <c r="A58" s="3">
        <f>IFERROR(__xludf.DUMMYFUNCTION("""COMPUTED_VALUE"""),44642.72916666667)</f>
        <v>44642.72917</v>
      </c>
      <c r="B58" s="1">
        <f>IFERROR(__xludf.DUMMYFUNCTION("""COMPUTED_VALUE"""),78.35)</f>
        <v>78.35</v>
      </c>
      <c r="C58" s="1">
        <f>IFERROR(__xludf.DUMMYFUNCTION("""COMPUTED_VALUE"""),79.76)</f>
        <v>79.76</v>
      </c>
      <c r="D58" s="1">
        <f>IFERROR(__xludf.DUMMYFUNCTION("""COMPUTED_VALUE"""),77.35)</f>
        <v>77.35</v>
      </c>
      <c r="E58" s="1">
        <f>IFERROR(__xludf.DUMMYFUNCTION("""COMPUTED_VALUE"""),79.06)</f>
        <v>79.06</v>
      </c>
      <c r="F58" s="1">
        <f>IFERROR(__xludf.DUMMYFUNCTION("""COMPUTED_VALUE"""),1732509.0)</f>
        <v>1732509</v>
      </c>
      <c r="G58" s="2" t="s">
        <v>3</v>
      </c>
    </row>
    <row r="59">
      <c r="A59" s="3">
        <f>IFERROR(__xludf.DUMMYFUNCTION("""COMPUTED_VALUE"""),44643.72916666667)</f>
        <v>44643.72917</v>
      </c>
      <c r="B59" s="1">
        <f>IFERROR(__xludf.DUMMYFUNCTION("""COMPUTED_VALUE"""),80.34)</f>
        <v>80.34</v>
      </c>
      <c r="C59" s="1">
        <f>IFERROR(__xludf.DUMMYFUNCTION("""COMPUTED_VALUE"""),80.8)</f>
        <v>80.8</v>
      </c>
      <c r="D59" s="1">
        <f>IFERROR(__xludf.DUMMYFUNCTION("""COMPUTED_VALUE"""),77.85)</f>
        <v>77.85</v>
      </c>
      <c r="E59" s="1">
        <f>IFERROR(__xludf.DUMMYFUNCTION("""COMPUTED_VALUE"""),78.26)</f>
        <v>78.26</v>
      </c>
      <c r="F59" s="1">
        <f>IFERROR(__xludf.DUMMYFUNCTION("""COMPUTED_VALUE"""),1942435.0)</f>
        <v>1942435</v>
      </c>
      <c r="G59" s="2" t="s">
        <v>3</v>
      </c>
    </row>
    <row r="60">
      <c r="A60" s="3">
        <f>IFERROR(__xludf.DUMMYFUNCTION("""COMPUTED_VALUE"""),44644.72916666667)</f>
        <v>44644.72917</v>
      </c>
      <c r="B60" s="1">
        <f>IFERROR(__xludf.DUMMYFUNCTION("""COMPUTED_VALUE"""),78.31)</f>
        <v>78.31</v>
      </c>
      <c r="C60" s="1">
        <f>IFERROR(__xludf.DUMMYFUNCTION("""COMPUTED_VALUE"""),79.01)</f>
        <v>79.01</v>
      </c>
      <c r="D60" s="1">
        <f>IFERROR(__xludf.DUMMYFUNCTION("""COMPUTED_VALUE"""),77.32)</f>
        <v>77.32</v>
      </c>
      <c r="E60" s="1">
        <f>IFERROR(__xludf.DUMMYFUNCTION("""COMPUTED_VALUE"""),78.47)</f>
        <v>78.47</v>
      </c>
      <c r="F60" s="1">
        <f>IFERROR(__xludf.DUMMYFUNCTION("""COMPUTED_VALUE"""),1529917.0)</f>
        <v>1529917</v>
      </c>
      <c r="G60" s="2" t="s">
        <v>3</v>
      </c>
    </row>
    <row r="61">
      <c r="A61" s="3">
        <f>IFERROR(__xludf.DUMMYFUNCTION("""COMPUTED_VALUE"""),44645.72916666667)</f>
        <v>44645.72917</v>
      </c>
      <c r="B61" s="1">
        <f>IFERROR(__xludf.DUMMYFUNCTION("""COMPUTED_VALUE"""),78.0)</f>
        <v>78</v>
      </c>
      <c r="C61" s="1">
        <f>IFERROR(__xludf.DUMMYFUNCTION("""COMPUTED_VALUE"""),78.46)</f>
        <v>78.46</v>
      </c>
      <c r="D61" s="1">
        <f>IFERROR(__xludf.DUMMYFUNCTION("""COMPUTED_VALUE"""),77.2)</f>
        <v>77.2</v>
      </c>
      <c r="E61" s="1">
        <f>IFERROR(__xludf.DUMMYFUNCTION("""COMPUTED_VALUE"""),77.89)</f>
        <v>77.89</v>
      </c>
      <c r="F61" s="1">
        <f>IFERROR(__xludf.DUMMYFUNCTION("""COMPUTED_VALUE"""),1514673.0)</f>
        <v>1514673</v>
      </c>
      <c r="G61" s="2" t="s">
        <v>3</v>
      </c>
    </row>
    <row r="62">
      <c r="A62" s="3">
        <f>IFERROR(__xludf.DUMMYFUNCTION("""COMPUTED_VALUE"""),44648.72916666667)</f>
        <v>44648.72917</v>
      </c>
      <c r="B62" s="1">
        <f>IFERROR(__xludf.DUMMYFUNCTION("""COMPUTED_VALUE"""),78.1)</f>
        <v>78.1</v>
      </c>
      <c r="C62" s="1">
        <f>IFERROR(__xludf.DUMMYFUNCTION("""COMPUTED_VALUE"""),79.95)</f>
        <v>79.95</v>
      </c>
      <c r="D62" s="1">
        <f>IFERROR(__xludf.DUMMYFUNCTION("""COMPUTED_VALUE"""),78.04)</f>
        <v>78.04</v>
      </c>
      <c r="E62" s="1">
        <f>IFERROR(__xludf.DUMMYFUNCTION("""COMPUTED_VALUE"""),78.24)</f>
        <v>78.24</v>
      </c>
      <c r="F62" s="1">
        <f>IFERROR(__xludf.DUMMYFUNCTION("""COMPUTED_VALUE"""),1109020.0)</f>
        <v>1109020</v>
      </c>
      <c r="G62" s="2" t="s">
        <v>3</v>
      </c>
    </row>
    <row r="63">
      <c r="A63" s="3">
        <f>IFERROR(__xludf.DUMMYFUNCTION("""COMPUTED_VALUE"""),44649.72916666667)</f>
        <v>44649.72917</v>
      </c>
      <c r="B63" s="1">
        <f>IFERROR(__xludf.DUMMYFUNCTION("""COMPUTED_VALUE"""),79.83)</f>
        <v>79.83</v>
      </c>
      <c r="C63" s="1">
        <f>IFERROR(__xludf.DUMMYFUNCTION("""COMPUTED_VALUE"""),83.47)</f>
        <v>83.47</v>
      </c>
      <c r="D63" s="1">
        <f>IFERROR(__xludf.DUMMYFUNCTION("""COMPUTED_VALUE"""),79.18)</f>
        <v>79.18</v>
      </c>
      <c r="E63" s="1">
        <f>IFERROR(__xludf.DUMMYFUNCTION("""COMPUTED_VALUE"""),82.63)</f>
        <v>82.63</v>
      </c>
      <c r="F63" s="1">
        <f>IFERROR(__xludf.DUMMYFUNCTION("""COMPUTED_VALUE"""),1967947.0)</f>
        <v>1967947</v>
      </c>
      <c r="G63" s="2" t="s">
        <v>3</v>
      </c>
    </row>
    <row r="64">
      <c r="A64" s="3">
        <f>IFERROR(__xludf.DUMMYFUNCTION("""COMPUTED_VALUE"""),44650.72916666667)</f>
        <v>44650.72917</v>
      </c>
      <c r="B64" s="1">
        <f>IFERROR(__xludf.DUMMYFUNCTION("""COMPUTED_VALUE"""),81.7)</f>
        <v>81.7</v>
      </c>
      <c r="C64" s="1">
        <f>IFERROR(__xludf.DUMMYFUNCTION("""COMPUTED_VALUE"""),82.16)</f>
        <v>82.16</v>
      </c>
      <c r="D64" s="1">
        <f>IFERROR(__xludf.DUMMYFUNCTION("""COMPUTED_VALUE"""),80.12)</f>
        <v>80.12</v>
      </c>
      <c r="E64" s="1">
        <f>IFERROR(__xludf.DUMMYFUNCTION("""COMPUTED_VALUE"""),80.26)</f>
        <v>80.26</v>
      </c>
      <c r="F64" s="1">
        <f>IFERROR(__xludf.DUMMYFUNCTION("""COMPUTED_VALUE"""),1492559.0)</f>
        <v>1492559</v>
      </c>
      <c r="G64" s="2" t="s">
        <v>3</v>
      </c>
    </row>
    <row r="65">
      <c r="A65" s="3">
        <f>IFERROR(__xludf.DUMMYFUNCTION("""COMPUTED_VALUE"""),44651.72916666667)</f>
        <v>44651.72917</v>
      </c>
      <c r="B65" s="1">
        <f>IFERROR(__xludf.DUMMYFUNCTION("""COMPUTED_VALUE"""),81.3)</f>
        <v>81.3</v>
      </c>
      <c r="C65" s="1">
        <f>IFERROR(__xludf.DUMMYFUNCTION("""COMPUTED_VALUE"""),81.71)</f>
        <v>81.71</v>
      </c>
      <c r="D65" s="1">
        <f>IFERROR(__xludf.DUMMYFUNCTION("""COMPUTED_VALUE"""),78.41)</f>
        <v>78.41</v>
      </c>
      <c r="E65" s="1">
        <f>IFERROR(__xludf.DUMMYFUNCTION("""COMPUTED_VALUE"""),78.6)</f>
        <v>78.6</v>
      </c>
      <c r="F65" s="1">
        <f>IFERROR(__xludf.DUMMYFUNCTION("""COMPUTED_VALUE"""),1468453.0)</f>
        <v>1468453</v>
      </c>
      <c r="G65" s="2" t="s">
        <v>3</v>
      </c>
    </row>
    <row r="66">
      <c r="A66" s="3">
        <f>IFERROR(__xludf.DUMMYFUNCTION("""COMPUTED_VALUE"""),44652.72916666667)</f>
        <v>44652.72917</v>
      </c>
      <c r="B66" s="1">
        <f>IFERROR(__xludf.DUMMYFUNCTION("""COMPUTED_VALUE"""),78.51)</f>
        <v>78.51</v>
      </c>
      <c r="C66" s="1">
        <f>IFERROR(__xludf.DUMMYFUNCTION("""COMPUTED_VALUE"""),80.13)</f>
        <v>80.13</v>
      </c>
      <c r="D66" s="1">
        <f>IFERROR(__xludf.DUMMYFUNCTION("""COMPUTED_VALUE"""),78.34)</f>
        <v>78.34</v>
      </c>
      <c r="E66" s="1">
        <f>IFERROR(__xludf.DUMMYFUNCTION("""COMPUTED_VALUE"""),79.0)</f>
        <v>79</v>
      </c>
      <c r="F66" s="1">
        <f>IFERROR(__xludf.DUMMYFUNCTION("""COMPUTED_VALUE"""),1064970.0)</f>
        <v>1064970</v>
      </c>
      <c r="G66" s="2" t="s">
        <v>3</v>
      </c>
    </row>
    <row r="67">
      <c r="A67" s="3">
        <f>IFERROR(__xludf.DUMMYFUNCTION("""COMPUTED_VALUE"""),44655.72916666667)</f>
        <v>44655.72917</v>
      </c>
      <c r="B67" s="1">
        <f>IFERROR(__xludf.DUMMYFUNCTION("""COMPUTED_VALUE"""),79.6)</f>
        <v>79.6</v>
      </c>
      <c r="C67" s="1">
        <f>IFERROR(__xludf.DUMMYFUNCTION("""COMPUTED_VALUE"""),80.17)</f>
        <v>80.17</v>
      </c>
      <c r="D67" s="1">
        <f>IFERROR(__xludf.DUMMYFUNCTION("""COMPUTED_VALUE"""),77.97)</f>
        <v>77.97</v>
      </c>
      <c r="E67" s="1">
        <f>IFERROR(__xludf.DUMMYFUNCTION("""COMPUTED_VALUE"""),79.85)</f>
        <v>79.85</v>
      </c>
      <c r="F67" s="1">
        <f>IFERROR(__xludf.DUMMYFUNCTION("""COMPUTED_VALUE"""),1100335.0)</f>
        <v>1100335</v>
      </c>
      <c r="G67" s="2" t="s">
        <v>3</v>
      </c>
    </row>
    <row r="68">
      <c r="A68" s="3">
        <f>IFERROR(__xludf.DUMMYFUNCTION("""COMPUTED_VALUE"""),44656.72916666667)</f>
        <v>44656.72917</v>
      </c>
      <c r="B68" s="1">
        <f>IFERROR(__xludf.DUMMYFUNCTION("""COMPUTED_VALUE"""),79.74)</f>
        <v>79.74</v>
      </c>
      <c r="C68" s="1">
        <f>IFERROR(__xludf.DUMMYFUNCTION("""COMPUTED_VALUE"""),80.62)</f>
        <v>80.62</v>
      </c>
      <c r="D68" s="1">
        <f>IFERROR(__xludf.DUMMYFUNCTION("""COMPUTED_VALUE"""),77.79)</f>
        <v>77.79</v>
      </c>
      <c r="E68" s="1">
        <f>IFERROR(__xludf.DUMMYFUNCTION("""COMPUTED_VALUE"""),78.18)</f>
        <v>78.18</v>
      </c>
      <c r="F68" s="1">
        <f>IFERROR(__xludf.DUMMYFUNCTION("""COMPUTED_VALUE"""),1523273.0)</f>
        <v>1523273</v>
      </c>
      <c r="G68" s="2" t="s">
        <v>3</v>
      </c>
    </row>
    <row r="69">
      <c r="A69" s="3">
        <f>IFERROR(__xludf.DUMMYFUNCTION("""COMPUTED_VALUE"""),44657.72916666667)</f>
        <v>44657.72917</v>
      </c>
      <c r="B69" s="1">
        <f>IFERROR(__xludf.DUMMYFUNCTION("""COMPUTED_VALUE"""),77.88)</f>
        <v>77.88</v>
      </c>
      <c r="C69" s="1">
        <f>IFERROR(__xludf.DUMMYFUNCTION("""COMPUTED_VALUE"""),78.06)</f>
        <v>78.06</v>
      </c>
      <c r="D69" s="1">
        <f>IFERROR(__xludf.DUMMYFUNCTION("""COMPUTED_VALUE"""),74.85)</f>
        <v>74.85</v>
      </c>
      <c r="E69" s="1">
        <f>IFERROR(__xludf.DUMMYFUNCTION("""COMPUTED_VALUE"""),76.3)</f>
        <v>76.3</v>
      </c>
      <c r="F69" s="1">
        <f>IFERROR(__xludf.DUMMYFUNCTION("""COMPUTED_VALUE"""),1651158.0)</f>
        <v>1651158</v>
      </c>
      <c r="G69" s="2" t="s">
        <v>3</v>
      </c>
    </row>
    <row r="70">
      <c r="A70" s="3">
        <f>IFERROR(__xludf.DUMMYFUNCTION("""COMPUTED_VALUE"""),44658.72916666667)</f>
        <v>44658.72917</v>
      </c>
      <c r="B70" s="1">
        <f>IFERROR(__xludf.DUMMYFUNCTION("""COMPUTED_VALUE"""),76.54)</f>
        <v>76.54</v>
      </c>
      <c r="C70" s="1">
        <f>IFERROR(__xludf.DUMMYFUNCTION("""COMPUTED_VALUE"""),77.92)</f>
        <v>77.92</v>
      </c>
      <c r="D70" s="1">
        <f>IFERROR(__xludf.DUMMYFUNCTION("""COMPUTED_VALUE"""),75.67)</f>
        <v>75.67</v>
      </c>
      <c r="E70" s="1">
        <f>IFERROR(__xludf.DUMMYFUNCTION("""COMPUTED_VALUE"""),75.67)</f>
        <v>75.67</v>
      </c>
      <c r="F70" s="1">
        <f>IFERROR(__xludf.DUMMYFUNCTION("""COMPUTED_VALUE"""),1345977.0)</f>
        <v>1345977</v>
      </c>
      <c r="G70" s="2" t="s">
        <v>3</v>
      </c>
    </row>
    <row r="71">
      <c r="A71" s="3">
        <f>IFERROR(__xludf.DUMMYFUNCTION("""COMPUTED_VALUE"""),44659.72916666667)</f>
        <v>44659.72917</v>
      </c>
      <c r="B71" s="1">
        <f>IFERROR(__xludf.DUMMYFUNCTION("""COMPUTED_VALUE"""),77.2)</f>
        <v>77.2</v>
      </c>
      <c r="C71" s="1">
        <f>IFERROR(__xludf.DUMMYFUNCTION("""COMPUTED_VALUE"""),77.73)</f>
        <v>77.73</v>
      </c>
      <c r="D71" s="1">
        <f>IFERROR(__xludf.DUMMYFUNCTION("""COMPUTED_VALUE"""),76.26)</f>
        <v>76.26</v>
      </c>
      <c r="E71" s="1">
        <f>IFERROR(__xludf.DUMMYFUNCTION("""COMPUTED_VALUE"""),77.0)</f>
        <v>77</v>
      </c>
      <c r="F71" s="1">
        <f>IFERROR(__xludf.DUMMYFUNCTION("""COMPUTED_VALUE"""),1113844.0)</f>
        <v>1113844</v>
      </c>
      <c r="G71" s="2" t="s">
        <v>3</v>
      </c>
    </row>
    <row r="72">
      <c r="A72" s="3">
        <f>IFERROR(__xludf.DUMMYFUNCTION("""COMPUTED_VALUE"""),44662.72916666667)</f>
        <v>44662.72917</v>
      </c>
      <c r="B72" s="1">
        <f>IFERROR(__xludf.DUMMYFUNCTION("""COMPUTED_VALUE"""),76.1)</f>
        <v>76.1</v>
      </c>
      <c r="C72" s="1">
        <f>IFERROR(__xludf.DUMMYFUNCTION("""COMPUTED_VALUE"""),76.93)</f>
        <v>76.93</v>
      </c>
      <c r="D72" s="1">
        <f>IFERROR(__xludf.DUMMYFUNCTION("""COMPUTED_VALUE"""),75.11)</f>
        <v>75.11</v>
      </c>
      <c r="E72" s="1">
        <f>IFERROR(__xludf.DUMMYFUNCTION("""COMPUTED_VALUE"""),75.99)</f>
        <v>75.99</v>
      </c>
      <c r="F72" s="1">
        <f>IFERROR(__xludf.DUMMYFUNCTION("""COMPUTED_VALUE"""),1246230.0)</f>
        <v>1246230</v>
      </c>
      <c r="G72" s="2" t="s">
        <v>3</v>
      </c>
    </row>
    <row r="73">
      <c r="A73" s="3">
        <f>IFERROR(__xludf.DUMMYFUNCTION("""COMPUTED_VALUE"""),44663.72916666667)</f>
        <v>44663.72917</v>
      </c>
      <c r="B73" s="1">
        <f>IFERROR(__xludf.DUMMYFUNCTION("""COMPUTED_VALUE"""),74.85)</f>
        <v>74.85</v>
      </c>
      <c r="C73" s="1">
        <f>IFERROR(__xludf.DUMMYFUNCTION("""COMPUTED_VALUE"""),76.97)</f>
        <v>76.97</v>
      </c>
      <c r="D73" s="1">
        <f>IFERROR(__xludf.DUMMYFUNCTION("""COMPUTED_VALUE"""),74.28)</f>
        <v>74.28</v>
      </c>
      <c r="E73" s="1">
        <f>IFERROR(__xludf.DUMMYFUNCTION("""COMPUTED_VALUE"""),76.09)</f>
        <v>76.09</v>
      </c>
      <c r="F73" s="1">
        <f>IFERROR(__xludf.DUMMYFUNCTION("""COMPUTED_VALUE"""),1364957.0)</f>
        <v>1364957</v>
      </c>
      <c r="G73" s="2" t="s">
        <v>3</v>
      </c>
    </row>
    <row r="74">
      <c r="A74" s="3">
        <f>IFERROR(__xludf.DUMMYFUNCTION("""COMPUTED_VALUE"""),44664.72916666667)</f>
        <v>44664.72917</v>
      </c>
      <c r="B74" s="1">
        <f>IFERROR(__xludf.DUMMYFUNCTION("""COMPUTED_VALUE"""),76.0)</f>
        <v>76</v>
      </c>
      <c r="C74" s="1">
        <f>IFERROR(__xludf.DUMMYFUNCTION("""COMPUTED_VALUE"""),76.3)</f>
        <v>76.3</v>
      </c>
      <c r="D74" s="1">
        <f>IFERROR(__xludf.DUMMYFUNCTION("""COMPUTED_VALUE"""),75.04)</f>
        <v>75.04</v>
      </c>
      <c r="E74" s="1">
        <f>IFERROR(__xludf.DUMMYFUNCTION("""COMPUTED_VALUE"""),76.25)</f>
        <v>76.25</v>
      </c>
      <c r="F74" s="1">
        <f>IFERROR(__xludf.DUMMYFUNCTION("""COMPUTED_VALUE"""),1062598.0)</f>
        <v>1062598</v>
      </c>
      <c r="G74" s="2" t="s">
        <v>3</v>
      </c>
    </row>
    <row r="75">
      <c r="A75" s="3">
        <f>IFERROR(__xludf.DUMMYFUNCTION("""COMPUTED_VALUE"""),44665.72916666667)</f>
        <v>44665.72917</v>
      </c>
      <c r="B75" s="1">
        <f>IFERROR(__xludf.DUMMYFUNCTION("""COMPUTED_VALUE"""),76.36)</f>
        <v>76.36</v>
      </c>
      <c r="C75" s="1">
        <f>IFERROR(__xludf.DUMMYFUNCTION("""COMPUTED_VALUE"""),77.16)</f>
        <v>77.16</v>
      </c>
      <c r="D75" s="1">
        <f>IFERROR(__xludf.DUMMYFUNCTION("""COMPUTED_VALUE"""),75.82)</f>
        <v>75.82</v>
      </c>
      <c r="E75" s="1">
        <f>IFERROR(__xludf.DUMMYFUNCTION("""COMPUTED_VALUE"""),76.24)</f>
        <v>76.24</v>
      </c>
      <c r="F75" s="1">
        <f>IFERROR(__xludf.DUMMYFUNCTION("""COMPUTED_VALUE"""),1418145.0)</f>
        <v>1418145</v>
      </c>
      <c r="G75" s="2" t="s">
        <v>3</v>
      </c>
    </row>
    <row r="76">
      <c r="A76" s="3">
        <f>IFERROR(__xludf.DUMMYFUNCTION("""COMPUTED_VALUE"""),44670.72916666667)</f>
        <v>44670.72917</v>
      </c>
      <c r="B76" s="1">
        <f>IFERROR(__xludf.DUMMYFUNCTION("""COMPUTED_VALUE"""),76.46)</f>
        <v>76.46</v>
      </c>
      <c r="C76" s="1">
        <f>IFERROR(__xludf.DUMMYFUNCTION("""COMPUTED_VALUE"""),78.25)</f>
        <v>78.25</v>
      </c>
      <c r="D76" s="1">
        <f>IFERROR(__xludf.DUMMYFUNCTION("""COMPUTED_VALUE"""),75.89)</f>
        <v>75.89</v>
      </c>
      <c r="E76" s="1">
        <f>IFERROR(__xludf.DUMMYFUNCTION("""COMPUTED_VALUE"""),78.02)</f>
        <v>78.02</v>
      </c>
      <c r="F76" s="1">
        <f>IFERROR(__xludf.DUMMYFUNCTION("""COMPUTED_VALUE"""),1477517.0)</f>
        <v>1477517</v>
      </c>
      <c r="G76" s="2" t="s">
        <v>3</v>
      </c>
    </row>
    <row r="77">
      <c r="A77" s="3">
        <f>IFERROR(__xludf.DUMMYFUNCTION("""COMPUTED_VALUE"""),44671.72916666667)</f>
        <v>44671.72917</v>
      </c>
      <c r="B77" s="1">
        <f>IFERROR(__xludf.DUMMYFUNCTION("""COMPUTED_VALUE"""),78.54)</f>
        <v>78.54</v>
      </c>
      <c r="C77" s="1">
        <f>IFERROR(__xludf.DUMMYFUNCTION("""COMPUTED_VALUE"""),80.19)</f>
        <v>80.19</v>
      </c>
      <c r="D77" s="1">
        <f>IFERROR(__xludf.DUMMYFUNCTION("""COMPUTED_VALUE"""),78.09)</f>
        <v>78.09</v>
      </c>
      <c r="E77" s="1">
        <f>IFERROR(__xludf.DUMMYFUNCTION("""COMPUTED_VALUE"""),79.2)</f>
        <v>79.2</v>
      </c>
      <c r="F77" s="1">
        <f>IFERROR(__xludf.DUMMYFUNCTION("""COMPUTED_VALUE"""),1100786.0)</f>
        <v>1100786</v>
      </c>
      <c r="G77" s="2" t="s">
        <v>3</v>
      </c>
    </row>
    <row r="78">
      <c r="A78" s="3">
        <f>IFERROR(__xludf.DUMMYFUNCTION("""COMPUTED_VALUE"""),44672.72916666667)</f>
        <v>44672.72917</v>
      </c>
      <c r="B78" s="1">
        <f>IFERROR(__xludf.DUMMYFUNCTION("""COMPUTED_VALUE"""),79.39)</f>
        <v>79.39</v>
      </c>
      <c r="C78" s="1">
        <f>IFERROR(__xludf.DUMMYFUNCTION("""COMPUTED_VALUE"""),80.72)</f>
        <v>80.72</v>
      </c>
      <c r="D78" s="1">
        <f>IFERROR(__xludf.DUMMYFUNCTION("""COMPUTED_VALUE"""),78.68)</f>
        <v>78.68</v>
      </c>
      <c r="E78" s="1">
        <f>IFERROR(__xludf.DUMMYFUNCTION("""COMPUTED_VALUE"""),80.08)</f>
        <v>80.08</v>
      </c>
      <c r="F78" s="1">
        <f>IFERROR(__xludf.DUMMYFUNCTION("""COMPUTED_VALUE"""),1269501.0)</f>
        <v>1269501</v>
      </c>
      <c r="G78" s="2" t="s">
        <v>3</v>
      </c>
    </row>
    <row r="79">
      <c r="A79" s="3">
        <f>IFERROR(__xludf.DUMMYFUNCTION("""COMPUTED_VALUE"""),44673.72916666667)</f>
        <v>44673.72917</v>
      </c>
      <c r="B79" s="1">
        <f>IFERROR(__xludf.DUMMYFUNCTION("""COMPUTED_VALUE"""),78.99)</f>
        <v>78.99</v>
      </c>
      <c r="C79" s="1">
        <f>IFERROR(__xludf.DUMMYFUNCTION("""COMPUTED_VALUE"""),79.89)</f>
        <v>79.89</v>
      </c>
      <c r="D79" s="1">
        <f>IFERROR(__xludf.DUMMYFUNCTION("""COMPUTED_VALUE"""),78.52)</f>
        <v>78.52</v>
      </c>
      <c r="E79" s="1">
        <f>IFERROR(__xludf.DUMMYFUNCTION("""COMPUTED_VALUE"""),78.52)</f>
        <v>78.52</v>
      </c>
      <c r="F79" s="1">
        <f>IFERROR(__xludf.DUMMYFUNCTION("""COMPUTED_VALUE"""),1283884.0)</f>
        <v>1283884</v>
      </c>
      <c r="G79" s="2" t="s">
        <v>3</v>
      </c>
    </row>
    <row r="80">
      <c r="A80" s="3">
        <f>IFERROR(__xludf.DUMMYFUNCTION("""COMPUTED_VALUE"""),44676.72916666667)</f>
        <v>44676.72917</v>
      </c>
      <c r="B80" s="1">
        <f>IFERROR(__xludf.DUMMYFUNCTION("""COMPUTED_VALUE"""),76.7)</f>
        <v>76.7</v>
      </c>
      <c r="C80" s="1">
        <f>IFERROR(__xludf.DUMMYFUNCTION("""COMPUTED_VALUE"""),78.31)</f>
        <v>78.31</v>
      </c>
      <c r="D80" s="1">
        <f>IFERROR(__xludf.DUMMYFUNCTION("""COMPUTED_VALUE"""),76.5)</f>
        <v>76.5</v>
      </c>
      <c r="E80" s="1">
        <f>IFERROR(__xludf.DUMMYFUNCTION("""COMPUTED_VALUE"""),77.47)</f>
        <v>77.47</v>
      </c>
      <c r="F80" s="1">
        <f>IFERROR(__xludf.DUMMYFUNCTION("""COMPUTED_VALUE"""),1594771.0)</f>
        <v>1594771</v>
      </c>
      <c r="G80" s="2" t="s">
        <v>3</v>
      </c>
    </row>
    <row r="81">
      <c r="A81" s="3">
        <f>IFERROR(__xludf.DUMMYFUNCTION("""COMPUTED_VALUE"""),44677.72916666667)</f>
        <v>44677.72917</v>
      </c>
      <c r="B81" s="1">
        <f>IFERROR(__xludf.DUMMYFUNCTION("""COMPUTED_VALUE"""),78.56)</f>
        <v>78.56</v>
      </c>
      <c r="C81" s="1">
        <f>IFERROR(__xludf.DUMMYFUNCTION("""COMPUTED_VALUE"""),79.01)</f>
        <v>79.01</v>
      </c>
      <c r="D81" s="1">
        <f>IFERROR(__xludf.DUMMYFUNCTION("""COMPUTED_VALUE"""),76.19)</f>
        <v>76.19</v>
      </c>
      <c r="E81" s="1">
        <f>IFERROR(__xludf.DUMMYFUNCTION("""COMPUTED_VALUE"""),76.27)</f>
        <v>76.27</v>
      </c>
      <c r="F81" s="1">
        <f>IFERROR(__xludf.DUMMYFUNCTION("""COMPUTED_VALUE"""),1785578.0)</f>
        <v>1785578</v>
      </c>
      <c r="G81" s="2" t="s">
        <v>3</v>
      </c>
    </row>
    <row r="82">
      <c r="A82" s="3">
        <f>IFERROR(__xludf.DUMMYFUNCTION("""COMPUTED_VALUE"""),44678.72916666667)</f>
        <v>44678.72917</v>
      </c>
      <c r="B82" s="1">
        <f>IFERROR(__xludf.DUMMYFUNCTION("""COMPUTED_VALUE"""),76.28)</f>
        <v>76.28</v>
      </c>
      <c r="C82" s="1">
        <f>IFERROR(__xludf.DUMMYFUNCTION("""COMPUTED_VALUE"""),77.79)</f>
        <v>77.79</v>
      </c>
      <c r="D82" s="1">
        <f>IFERROR(__xludf.DUMMYFUNCTION("""COMPUTED_VALUE"""),75.46)</f>
        <v>75.46</v>
      </c>
      <c r="E82" s="1">
        <f>IFERROR(__xludf.DUMMYFUNCTION("""COMPUTED_VALUE"""),76.57)</f>
        <v>76.57</v>
      </c>
      <c r="F82" s="1">
        <f>IFERROR(__xludf.DUMMYFUNCTION("""COMPUTED_VALUE"""),1793940.0)</f>
        <v>1793940</v>
      </c>
      <c r="G82" s="2" t="s">
        <v>3</v>
      </c>
    </row>
    <row r="83">
      <c r="A83" s="3">
        <f>IFERROR(__xludf.DUMMYFUNCTION("""COMPUTED_VALUE"""),44679.72916666667)</f>
        <v>44679.72917</v>
      </c>
      <c r="B83" s="1">
        <f>IFERROR(__xludf.DUMMYFUNCTION("""COMPUTED_VALUE"""),77.5)</f>
        <v>77.5</v>
      </c>
      <c r="C83" s="1">
        <f>IFERROR(__xludf.DUMMYFUNCTION("""COMPUTED_VALUE"""),79.08)</f>
        <v>79.08</v>
      </c>
      <c r="D83" s="1">
        <f>IFERROR(__xludf.DUMMYFUNCTION("""COMPUTED_VALUE"""),76.7)</f>
        <v>76.7</v>
      </c>
      <c r="E83" s="1">
        <f>IFERROR(__xludf.DUMMYFUNCTION("""COMPUTED_VALUE"""),77.8)</f>
        <v>77.8</v>
      </c>
      <c r="F83" s="1">
        <f>IFERROR(__xludf.DUMMYFUNCTION("""COMPUTED_VALUE"""),1185773.0)</f>
        <v>1185773</v>
      </c>
      <c r="G83" s="2" t="s">
        <v>3</v>
      </c>
    </row>
    <row r="84">
      <c r="A84" s="3">
        <f>IFERROR(__xludf.DUMMYFUNCTION("""COMPUTED_VALUE"""),44680.72916666667)</f>
        <v>44680.72917</v>
      </c>
      <c r="B84" s="1">
        <f>IFERROR(__xludf.DUMMYFUNCTION("""COMPUTED_VALUE"""),78.58)</f>
        <v>78.58</v>
      </c>
      <c r="C84" s="1">
        <f>IFERROR(__xludf.DUMMYFUNCTION("""COMPUTED_VALUE"""),78.97)</f>
        <v>78.97</v>
      </c>
      <c r="D84" s="1">
        <f>IFERROR(__xludf.DUMMYFUNCTION("""COMPUTED_VALUE"""),77.77)</f>
        <v>77.77</v>
      </c>
      <c r="E84" s="1">
        <f>IFERROR(__xludf.DUMMYFUNCTION("""COMPUTED_VALUE"""),78.51)</f>
        <v>78.51</v>
      </c>
      <c r="F84" s="1">
        <f>IFERROR(__xludf.DUMMYFUNCTION("""COMPUTED_VALUE"""),1337650.0)</f>
        <v>1337650</v>
      </c>
      <c r="G84" s="2" t="s">
        <v>3</v>
      </c>
    </row>
    <row r="85">
      <c r="A85" s="3">
        <f>IFERROR(__xludf.DUMMYFUNCTION("""COMPUTED_VALUE"""),44683.72916666667)</f>
        <v>44683.72917</v>
      </c>
      <c r="B85" s="1">
        <f>IFERROR(__xludf.DUMMYFUNCTION("""COMPUTED_VALUE"""),77.74)</f>
        <v>77.74</v>
      </c>
      <c r="C85" s="1">
        <f>IFERROR(__xludf.DUMMYFUNCTION("""COMPUTED_VALUE"""),78.45)</f>
        <v>78.45</v>
      </c>
      <c r="D85" s="1">
        <f>IFERROR(__xludf.DUMMYFUNCTION("""COMPUTED_VALUE"""),74.36)</f>
        <v>74.36</v>
      </c>
      <c r="E85" s="1">
        <f>IFERROR(__xludf.DUMMYFUNCTION("""COMPUTED_VALUE"""),77.64)</f>
        <v>77.64</v>
      </c>
      <c r="F85" s="1">
        <f>IFERROR(__xludf.DUMMYFUNCTION("""COMPUTED_VALUE"""),1840187.0)</f>
        <v>1840187</v>
      </c>
      <c r="G85" s="2" t="s">
        <v>3</v>
      </c>
    </row>
    <row r="86">
      <c r="A86" s="3">
        <f>IFERROR(__xludf.DUMMYFUNCTION("""COMPUTED_VALUE"""),44684.72916666667)</f>
        <v>44684.72917</v>
      </c>
      <c r="B86" s="1">
        <f>IFERROR(__xludf.DUMMYFUNCTION("""COMPUTED_VALUE"""),78.21)</f>
        <v>78.21</v>
      </c>
      <c r="C86" s="1">
        <f>IFERROR(__xludf.DUMMYFUNCTION("""COMPUTED_VALUE"""),79.98)</f>
        <v>79.98</v>
      </c>
      <c r="D86" s="1">
        <f>IFERROR(__xludf.DUMMYFUNCTION("""COMPUTED_VALUE"""),77.87)</f>
        <v>77.87</v>
      </c>
      <c r="E86" s="1">
        <f>IFERROR(__xludf.DUMMYFUNCTION("""COMPUTED_VALUE"""),79.98)</f>
        <v>79.98</v>
      </c>
      <c r="F86" s="1">
        <f>IFERROR(__xludf.DUMMYFUNCTION("""COMPUTED_VALUE"""),1725794.0)</f>
        <v>1725794</v>
      </c>
      <c r="G86" s="2" t="s">
        <v>3</v>
      </c>
    </row>
    <row r="87">
      <c r="A87" s="3">
        <f>IFERROR(__xludf.DUMMYFUNCTION("""COMPUTED_VALUE"""),44685.72916666667)</f>
        <v>44685.72917</v>
      </c>
      <c r="B87" s="1">
        <f>IFERROR(__xludf.DUMMYFUNCTION("""COMPUTED_VALUE"""),80.27)</f>
        <v>80.27</v>
      </c>
      <c r="C87" s="1">
        <f>IFERROR(__xludf.DUMMYFUNCTION("""COMPUTED_VALUE"""),80.7)</f>
        <v>80.7</v>
      </c>
      <c r="D87" s="1">
        <f>IFERROR(__xludf.DUMMYFUNCTION("""COMPUTED_VALUE"""),79.47)</f>
        <v>79.47</v>
      </c>
      <c r="E87" s="1">
        <f>IFERROR(__xludf.DUMMYFUNCTION("""COMPUTED_VALUE"""),79.47)</f>
        <v>79.47</v>
      </c>
      <c r="F87" s="1">
        <f>IFERROR(__xludf.DUMMYFUNCTION("""COMPUTED_VALUE"""),1633643.0)</f>
        <v>1633643</v>
      </c>
      <c r="G87" s="2" t="s">
        <v>3</v>
      </c>
    </row>
    <row r="88">
      <c r="A88" s="3">
        <f>IFERROR(__xludf.DUMMYFUNCTION("""COMPUTED_VALUE"""),44686.72916666667)</f>
        <v>44686.72917</v>
      </c>
      <c r="B88" s="1">
        <f>IFERROR(__xludf.DUMMYFUNCTION("""COMPUTED_VALUE"""),81.65)</f>
        <v>81.65</v>
      </c>
      <c r="C88" s="1">
        <f>IFERROR(__xludf.DUMMYFUNCTION("""COMPUTED_VALUE"""),83.0)</f>
        <v>83</v>
      </c>
      <c r="D88" s="1">
        <f>IFERROR(__xludf.DUMMYFUNCTION("""COMPUTED_VALUE"""),77.77)</f>
        <v>77.77</v>
      </c>
      <c r="E88" s="1">
        <f>IFERROR(__xludf.DUMMYFUNCTION("""COMPUTED_VALUE"""),78.03)</f>
        <v>78.03</v>
      </c>
      <c r="F88" s="1">
        <f>IFERROR(__xludf.DUMMYFUNCTION("""COMPUTED_VALUE"""),1964186.0)</f>
        <v>1964186</v>
      </c>
      <c r="G88" s="2" t="s">
        <v>3</v>
      </c>
    </row>
    <row r="89">
      <c r="A89" s="3">
        <f>IFERROR(__xludf.DUMMYFUNCTION("""COMPUTED_VALUE"""),44687.72916666667)</f>
        <v>44687.72917</v>
      </c>
      <c r="B89" s="1">
        <f>IFERROR(__xludf.DUMMYFUNCTION("""COMPUTED_VALUE"""),78.3)</f>
        <v>78.3</v>
      </c>
      <c r="C89" s="1">
        <f>IFERROR(__xludf.DUMMYFUNCTION("""COMPUTED_VALUE"""),80.03)</f>
        <v>80.03</v>
      </c>
      <c r="D89" s="1">
        <f>IFERROR(__xludf.DUMMYFUNCTION("""COMPUTED_VALUE"""),77.46)</f>
        <v>77.46</v>
      </c>
      <c r="E89" s="1">
        <f>IFERROR(__xludf.DUMMYFUNCTION("""COMPUTED_VALUE"""),79.06)</f>
        <v>79.06</v>
      </c>
      <c r="F89" s="1">
        <f>IFERROR(__xludf.DUMMYFUNCTION("""COMPUTED_VALUE"""),1978484.0)</f>
        <v>1978484</v>
      </c>
      <c r="G89" s="2" t="s">
        <v>3</v>
      </c>
    </row>
    <row r="90">
      <c r="A90" s="3">
        <f>IFERROR(__xludf.DUMMYFUNCTION("""COMPUTED_VALUE"""),44690.72916666667)</f>
        <v>44690.72917</v>
      </c>
      <c r="B90" s="1">
        <f>IFERROR(__xludf.DUMMYFUNCTION("""COMPUTED_VALUE"""),79.2)</f>
        <v>79.2</v>
      </c>
      <c r="C90" s="1">
        <f>IFERROR(__xludf.DUMMYFUNCTION("""COMPUTED_VALUE"""),79.87)</f>
        <v>79.87</v>
      </c>
      <c r="D90" s="1">
        <f>IFERROR(__xludf.DUMMYFUNCTION("""COMPUTED_VALUE"""),77.62)</f>
        <v>77.62</v>
      </c>
      <c r="E90" s="1">
        <f>IFERROR(__xludf.DUMMYFUNCTION("""COMPUTED_VALUE"""),77.62)</f>
        <v>77.62</v>
      </c>
      <c r="F90" s="1">
        <f>IFERROR(__xludf.DUMMYFUNCTION("""COMPUTED_VALUE"""),1868370.0)</f>
        <v>1868370</v>
      </c>
      <c r="G90" s="2" t="s">
        <v>3</v>
      </c>
    </row>
    <row r="91">
      <c r="A91" s="3">
        <f>IFERROR(__xludf.DUMMYFUNCTION("""COMPUTED_VALUE"""),44691.72916666667)</f>
        <v>44691.72917</v>
      </c>
      <c r="B91" s="1">
        <f>IFERROR(__xludf.DUMMYFUNCTION("""COMPUTED_VALUE"""),78.99)</f>
        <v>78.99</v>
      </c>
      <c r="C91" s="1">
        <f>IFERROR(__xludf.DUMMYFUNCTION("""COMPUTED_VALUE"""),79.73)</f>
        <v>79.73</v>
      </c>
      <c r="D91" s="1">
        <f>IFERROR(__xludf.DUMMYFUNCTION("""COMPUTED_VALUE"""),78.1)</f>
        <v>78.1</v>
      </c>
      <c r="E91" s="1">
        <f>IFERROR(__xludf.DUMMYFUNCTION("""COMPUTED_VALUE"""),78.21)</f>
        <v>78.21</v>
      </c>
      <c r="F91" s="1">
        <f>IFERROR(__xludf.DUMMYFUNCTION("""COMPUTED_VALUE"""),1990542.0)</f>
        <v>1990542</v>
      </c>
      <c r="G91" s="2" t="s">
        <v>3</v>
      </c>
    </row>
    <row r="92">
      <c r="A92" s="3">
        <f>IFERROR(__xludf.DUMMYFUNCTION("""COMPUTED_VALUE"""),44692.72916666667)</f>
        <v>44692.72917</v>
      </c>
      <c r="B92" s="1">
        <f>IFERROR(__xludf.DUMMYFUNCTION("""COMPUTED_VALUE"""),79.02)</f>
        <v>79.02</v>
      </c>
      <c r="C92" s="1">
        <f>IFERROR(__xludf.DUMMYFUNCTION("""COMPUTED_VALUE"""),82.73)</f>
        <v>82.73</v>
      </c>
      <c r="D92" s="1">
        <f>IFERROR(__xludf.DUMMYFUNCTION("""COMPUTED_VALUE"""),78.6)</f>
        <v>78.6</v>
      </c>
      <c r="E92" s="1">
        <f>IFERROR(__xludf.DUMMYFUNCTION("""COMPUTED_VALUE"""),82.26)</f>
        <v>82.26</v>
      </c>
      <c r="F92" s="1">
        <f>IFERROR(__xludf.DUMMYFUNCTION("""COMPUTED_VALUE"""),3703499.0)</f>
        <v>3703499</v>
      </c>
      <c r="G92" s="2" t="s">
        <v>3</v>
      </c>
    </row>
    <row r="93">
      <c r="A93" s="3">
        <f>IFERROR(__xludf.DUMMYFUNCTION("""COMPUTED_VALUE"""),44693.72916666667)</f>
        <v>44693.72917</v>
      </c>
      <c r="B93" s="1">
        <f>IFERROR(__xludf.DUMMYFUNCTION("""COMPUTED_VALUE"""),75.6)</f>
        <v>75.6</v>
      </c>
      <c r="C93" s="1">
        <f>IFERROR(__xludf.DUMMYFUNCTION("""COMPUTED_VALUE"""),76.12)</f>
        <v>76.12</v>
      </c>
      <c r="D93" s="1">
        <f>IFERROR(__xludf.DUMMYFUNCTION("""COMPUTED_VALUE"""),74.26)</f>
        <v>74.26</v>
      </c>
      <c r="E93" s="1">
        <f>IFERROR(__xludf.DUMMYFUNCTION("""COMPUTED_VALUE"""),75.78)</f>
        <v>75.78</v>
      </c>
      <c r="F93" s="1">
        <f>IFERROR(__xludf.DUMMYFUNCTION("""COMPUTED_VALUE"""),2884199.0)</f>
        <v>2884199</v>
      </c>
      <c r="G93" s="2" t="s">
        <v>3</v>
      </c>
    </row>
    <row r="94">
      <c r="A94" s="3">
        <f>IFERROR(__xludf.DUMMYFUNCTION("""COMPUTED_VALUE"""),44694.72916666667)</f>
        <v>44694.72917</v>
      </c>
      <c r="B94" s="1">
        <f>IFERROR(__xludf.DUMMYFUNCTION("""COMPUTED_VALUE"""),76.86)</f>
        <v>76.86</v>
      </c>
      <c r="C94" s="1">
        <f>IFERROR(__xludf.DUMMYFUNCTION("""COMPUTED_VALUE"""),77.87)</f>
        <v>77.87</v>
      </c>
      <c r="D94" s="1">
        <f>IFERROR(__xludf.DUMMYFUNCTION("""COMPUTED_VALUE"""),75.7)</f>
        <v>75.7</v>
      </c>
      <c r="E94" s="1">
        <f>IFERROR(__xludf.DUMMYFUNCTION("""COMPUTED_VALUE"""),77.66)</f>
        <v>77.66</v>
      </c>
      <c r="F94" s="1">
        <f>IFERROR(__xludf.DUMMYFUNCTION("""COMPUTED_VALUE"""),1728649.0)</f>
        <v>1728649</v>
      </c>
      <c r="G94" s="2" t="s">
        <v>3</v>
      </c>
    </row>
    <row r="95">
      <c r="A95" s="3">
        <f>IFERROR(__xludf.DUMMYFUNCTION("""COMPUTED_VALUE"""),44697.72916666667)</f>
        <v>44697.72917</v>
      </c>
      <c r="B95" s="1">
        <f>IFERROR(__xludf.DUMMYFUNCTION("""COMPUTED_VALUE"""),77.43)</f>
        <v>77.43</v>
      </c>
      <c r="C95" s="1">
        <f>IFERROR(__xludf.DUMMYFUNCTION("""COMPUTED_VALUE"""),78.34)</f>
        <v>78.34</v>
      </c>
      <c r="D95" s="1">
        <f>IFERROR(__xludf.DUMMYFUNCTION("""COMPUTED_VALUE"""),76.64)</f>
        <v>76.64</v>
      </c>
      <c r="E95" s="1">
        <f>IFERROR(__xludf.DUMMYFUNCTION("""COMPUTED_VALUE"""),77.66)</f>
        <v>77.66</v>
      </c>
      <c r="F95" s="1">
        <f>IFERROR(__xludf.DUMMYFUNCTION("""COMPUTED_VALUE"""),1135401.0)</f>
        <v>1135401</v>
      </c>
      <c r="G95" s="2" t="s">
        <v>3</v>
      </c>
    </row>
    <row r="96">
      <c r="A96" s="3">
        <f>IFERROR(__xludf.DUMMYFUNCTION("""COMPUTED_VALUE"""),44698.72916666667)</f>
        <v>44698.72917</v>
      </c>
      <c r="B96" s="1">
        <f>IFERROR(__xludf.DUMMYFUNCTION("""COMPUTED_VALUE"""),78.65)</f>
        <v>78.65</v>
      </c>
      <c r="C96" s="1">
        <f>IFERROR(__xludf.DUMMYFUNCTION("""COMPUTED_VALUE"""),79.5)</f>
        <v>79.5</v>
      </c>
      <c r="D96" s="1">
        <f>IFERROR(__xludf.DUMMYFUNCTION("""COMPUTED_VALUE"""),78.06)</f>
        <v>78.06</v>
      </c>
      <c r="E96" s="1">
        <f>IFERROR(__xludf.DUMMYFUNCTION("""COMPUTED_VALUE"""),78.62)</f>
        <v>78.62</v>
      </c>
      <c r="F96" s="1">
        <f>IFERROR(__xludf.DUMMYFUNCTION("""COMPUTED_VALUE"""),1445814.0)</f>
        <v>1445814</v>
      </c>
      <c r="G96" s="2" t="s">
        <v>3</v>
      </c>
    </row>
    <row r="97">
      <c r="A97" s="3">
        <f>IFERROR(__xludf.DUMMYFUNCTION("""COMPUTED_VALUE"""),44699.72916666667)</f>
        <v>44699.72917</v>
      </c>
      <c r="B97" s="1">
        <f>IFERROR(__xludf.DUMMYFUNCTION("""COMPUTED_VALUE"""),78.97)</f>
        <v>78.97</v>
      </c>
      <c r="C97" s="1">
        <f>IFERROR(__xludf.DUMMYFUNCTION("""COMPUTED_VALUE"""),79.61)</f>
        <v>79.61</v>
      </c>
      <c r="D97" s="1">
        <f>IFERROR(__xludf.DUMMYFUNCTION("""COMPUTED_VALUE"""),78.02)</f>
        <v>78.02</v>
      </c>
      <c r="E97" s="1">
        <f>IFERROR(__xludf.DUMMYFUNCTION("""COMPUTED_VALUE"""),78.02)</f>
        <v>78.02</v>
      </c>
      <c r="F97" s="1">
        <f>IFERROR(__xludf.DUMMYFUNCTION("""COMPUTED_VALUE"""),1265657.0)</f>
        <v>1265657</v>
      </c>
      <c r="G97" s="2" t="s">
        <v>3</v>
      </c>
    </row>
    <row r="98">
      <c r="A98" s="3">
        <f>IFERROR(__xludf.DUMMYFUNCTION("""COMPUTED_VALUE"""),44700.72916666667)</f>
        <v>44700.72917</v>
      </c>
      <c r="B98" s="1">
        <f>IFERROR(__xludf.DUMMYFUNCTION("""COMPUTED_VALUE"""),76.6)</f>
        <v>76.6</v>
      </c>
      <c r="C98" s="1">
        <f>IFERROR(__xludf.DUMMYFUNCTION("""COMPUTED_VALUE"""),77.84)</f>
        <v>77.84</v>
      </c>
      <c r="D98" s="1">
        <f>IFERROR(__xludf.DUMMYFUNCTION("""COMPUTED_VALUE"""),75.58)</f>
        <v>75.58</v>
      </c>
      <c r="E98" s="1">
        <f>IFERROR(__xludf.DUMMYFUNCTION("""COMPUTED_VALUE"""),77.84)</f>
        <v>77.84</v>
      </c>
      <c r="F98" s="1">
        <f>IFERROR(__xludf.DUMMYFUNCTION("""COMPUTED_VALUE"""),1689928.0)</f>
        <v>1689928</v>
      </c>
      <c r="G98" s="2" t="s">
        <v>3</v>
      </c>
    </row>
    <row r="99">
      <c r="A99" s="3">
        <f>IFERROR(__xludf.DUMMYFUNCTION("""COMPUTED_VALUE"""),44701.72916666667)</f>
        <v>44701.72917</v>
      </c>
      <c r="B99" s="1">
        <f>IFERROR(__xludf.DUMMYFUNCTION("""COMPUTED_VALUE"""),78.61)</f>
        <v>78.61</v>
      </c>
      <c r="C99" s="1">
        <f>IFERROR(__xludf.DUMMYFUNCTION("""COMPUTED_VALUE"""),79.18)</f>
        <v>79.18</v>
      </c>
      <c r="D99" s="1">
        <f>IFERROR(__xludf.DUMMYFUNCTION("""COMPUTED_VALUE"""),77.24)</f>
        <v>77.24</v>
      </c>
      <c r="E99" s="1">
        <f>IFERROR(__xludf.DUMMYFUNCTION("""COMPUTED_VALUE"""),77.45)</f>
        <v>77.45</v>
      </c>
      <c r="F99" s="1">
        <f>IFERROR(__xludf.DUMMYFUNCTION("""COMPUTED_VALUE"""),1558143.0)</f>
        <v>1558143</v>
      </c>
      <c r="G99" s="2" t="s">
        <v>3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IFERROR(__xludf.DUMMYFUNCTION("""COMPUTED_VALUE"""),78.65)</f>
        <v>78.65</v>
      </c>
      <c r="C100" s="1">
        <f>IFERROR(__xludf.DUMMYFUNCTION("""COMPUTED_VALUE"""),78.83)</f>
        <v>78.83</v>
      </c>
      <c r="D100" s="1">
        <f>IFERROR(__xludf.DUMMYFUNCTION("""COMPUTED_VALUE"""),77.06)</f>
        <v>77.06</v>
      </c>
      <c r="E100" s="1">
        <f>IFERROR(__xludf.DUMMYFUNCTION("""COMPUTED_VALUE"""),78.24)</f>
        <v>78.24</v>
      </c>
      <c r="F100" s="1">
        <f>IFERROR(__xludf.DUMMYFUNCTION("""COMPUTED_VALUE"""),1008391.0)</f>
        <v>1008391</v>
      </c>
      <c r="G100" s="2" t="s">
        <v>3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IFERROR(__xludf.DUMMYFUNCTION("""COMPUTED_VALUE"""),77.34)</f>
        <v>77.34</v>
      </c>
      <c r="C101" s="1">
        <f>IFERROR(__xludf.DUMMYFUNCTION("""COMPUTED_VALUE"""),78.54)</f>
        <v>78.54</v>
      </c>
      <c r="D101" s="1">
        <f>IFERROR(__xludf.DUMMYFUNCTION("""COMPUTED_VALUE"""),77.29)</f>
        <v>77.29</v>
      </c>
      <c r="E101" s="1">
        <f>IFERROR(__xludf.DUMMYFUNCTION("""COMPUTED_VALUE"""),77.79)</f>
        <v>77.79</v>
      </c>
      <c r="F101" s="1">
        <f>IFERROR(__xludf.DUMMYFUNCTION("""COMPUTED_VALUE"""),1028206.0)</f>
        <v>1028206</v>
      </c>
      <c r="G101" s="2" t="s">
        <v>3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IFERROR(__xludf.DUMMYFUNCTION("""COMPUTED_VALUE"""),78.63)</f>
        <v>78.63</v>
      </c>
      <c r="C102" s="1">
        <f>IFERROR(__xludf.DUMMYFUNCTION("""COMPUTED_VALUE"""),78.93)</f>
        <v>78.93</v>
      </c>
      <c r="D102" s="1">
        <f>IFERROR(__xludf.DUMMYFUNCTION("""COMPUTED_VALUE"""),77.39)</f>
        <v>77.39</v>
      </c>
      <c r="E102" s="1">
        <f>IFERROR(__xludf.DUMMYFUNCTION("""COMPUTED_VALUE"""),78.55)</f>
        <v>78.55</v>
      </c>
      <c r="F102" s="1">
        <f>IFERROR(__xludf.DUMMYFUNCTION("""COMPUTED_VALUE"""),907288.0)</f>
        <v>907288</v>
      </c>
      <c r="G102" s="2" t="s">
        <v>3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IFERROR(__xludf.DUMMYFUNCTION("""COMPUTED_VALUE"""),79.19)</f>
        <v>79.19</v>
      </c>
      <c r="C103" s="1">
        <f>IFERROR(__xludf.DUMMYFUNCTION("""COMPUTED_VALUE"""),80.43)</f>
        <v>80.43</v>
      </c>
      <c r="D103" s="1">
        <f>IFERROR(__xludf.DUMMYFUNCTION("""COMPUTED_VALUE"""),78.57)</f>
        <v>78.57</v>
      </c>
      <c r="E103" s="1">
        <f>IFERROR(__xludf.DUMMYFUNCTION("""COMPUTED_VALUE"""),80.25)</f>
        <v>80.25</v>
      </c>
      <c r="F103" s="1">
        <f>IFERROR(__xludf.DUMMYFUNCTION("""COMPUTED_VALUE"""),1068788.0)</f>
        <v>1068788</v>
      </c>
      <c r="G103" s="2" t="s">
        <v>3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IFERROR(__xludf.DUMMYFUNCTION("""COMPUTED_VALUE"""),80.3)</f>
        <v>80.3</v>
      </c>
      <c r="C104" s="1">
        <f>IFERROR(__xludf.DUMMYFUNCTION("""COMPUTED_VALUE"""),80.85)</f>
        <v>80.85</v>
      </c>
      <c r="D104" s="1">
        <f>IFERROR(__xludf.DUMMYFUNCTION("""COMPUTED_VALUE"""),79.49)</f>
        <v>79.49</v>
      </c>
      <c r="E104" s="1">
        <f>IFERROR(__xludf.DUMMYFUNCTION("""COMPUTED_VALUE"""),80.77)</f>
        <v>80.77</v>
      </c>
      <c r="F104" s="1">
        <f>IFERROR(__xludf.DUMMYFUNCTION("""COMPUTED_VALUE"""),1217365.0)</f>
        <v>1217365</v>
      </c>
      <c r="G104" s="2" t="s">
        <v>3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IFERROR(__xludf.DUMMYFUNCTION("""COMPUTED_VALUE"""),81.01)</f>
        <v>81.01</v>
      </c>
      <c r="C105" s="1">
        <f>IFERROR(__xludf.DUMMYFUNCTION("""COMPUTED_VALUE"""),81.79)</f>
        <v>81.79</v>
      </c>
      <c r="D105" s="1">
        <f>IFERROR(__xludf.DUMMYFUNCTION("""COMPUTED_VALUE"""),80.43)</f>
        <v>80.43</v>
      </c>
      <c r="E105" s="1">
        <f>IFERROR(__xludf.DUMMYFUNCTION("""COMPUTED_VALUE"""),81.48)</f>
        <v>81.48</v>
      </c>
      <c r="F105" s="1">
        <f>IFERROR(__xludf.DUMMYFUNCTION("""COMPUTED_VALUE"""),856108.0)</f>
        <v>856108</v>
      </c>
      <c r="G105" s="2" t="s">
        <v>3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IFERROR(__xludf.DUMMYFUNCTION("""COMPUTED_VALUE"""),81.32)</f>
        <v>81.32</v>
      </c>
      <c r="C106" s="1">
        <f>IFERROR(__xludf.DUMMYFUNCTION("""COMPUTED_VALUE"""),81.64)</f>
        <v>81.64</v>
      </c>
      <c r="D106" s="1">
        <f>IFERROR(__xludf.DUMMYFUNCTION("""COMPUTED_VALUE"""),80.17)</f>
        <v>80.17</v>
      </c>
      <c r="E106" s="1">
        <f>IFERROR(__xludf.DUMMYFUNCTION("""COMPUTED_VALUE"""),80.63)</f>
        <v>80.63</v>
      </c>
      <c r="F106" s="1">
        <f>IFERROR(__xludf.DUMMYFUNCTION("""COMPUTED_VALUE"""),1807592.0)</f>
        <v>1807592</v>
      </c>
      <c r="G106" s="2" t="s">
        <v>3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IFERROR(__xludf.DUMMYFUNCTION("""COMPUTED_VALUE"""),81.53)</f>
        <v>81.53</v>
      </c>
      <c r="C107" s="1">
        <f>IFERROR(__xludf.DUMMYFUNCTION("""COMPUTED_VALUE"""),83.18)</f>
        <v>83.18</v>
      </c>
      <c r="D107" s="1">
        <f>IFERROR(__xludf.DUMMYFUNCTION("""COMPUTED_VALUE"""),81.25)</f>
        <v>81.25</v>
      </c>
      <c r="E107" s="1">
        <f>IFERROR(__xludf.DUMMYFUNCTION("""COMPUTED_VALUE"""),82.33)</f>
        <v>82.33</v>
      </c>
      <c r="F107" s="1">
        <f>IFERROR(__xludf.DUMMYFUNCTION("""COMPUTED_VALUE"""),1608890.0)</f>
        <v>1608890</v>
      </c>
      <c r="G107" s="2" t="s">
        <v>3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IFERROR(__xludf.DUMMYFUNCTION("""COMPUTED_VALUE"""),82.87)</f>
        <v>82.87</v>
      </c>
      <c r="C108" s="1">
        <f>IFERROR(__xludf.DUMMYFUNCTION("""COMPUTED_VALUE"""),84.09)</f>
        <v>84.09</v>
      </c>
      <c r="D108" s="1">
        <f>IFERROR(__xludf.DUMMYFUNCTION("""COMPUTED_VALUE"""),82.74)</f>
        <v>82.74</v>
      </c>
      <c r="E108" s="1">
        <f>IFERROR(__xludf.DUMMYFUNCTION("""COMPUTED_VALUE"""),83.82)</f>
        <v>83.82</v>
      </c>
      <c r="F108" s="1">
        <f>IFERROR(__xludf.DUMMYFUNCTION("""COMPUTED_VALUE"""),1105669.0)</f>
        <v>1105669</v>
      </c>
      <c r="G108" s="2" t="s">
        <v>3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IFERROR(__xludf.DUMMYFUNCTION("""COMPUTED_VALUE"""),84.44)</f>
        <v>84.44</v>
      </c>
      <c r="C109" s="1">
        <f>IFERROR(__xludf.DUMMYFUNCTION("""COMPUTED_VALUE"""),84.47)</f>
        <v>84.47</v>
      </c>
      <c r="D109" s="1">
        <f>IFERROR(__xludf.DUMMYFUNCTION("""COMPUTED_VALUE"""),82.63)</f>
        <v>82.63</v>
      </c>
      <c r="E109" s="1">
        <f>IFERROR(__xludf.DUMMYFUNCTION("""COMPUTED_VALUE"""),82.93)</f>
        <v>82.93</v>
      </c>
      <c r="F109" s="1">
        <f>IFERROR(__xludf.DUMMYFUNCTION("""COMPUTED_VALUE"""),1032094.0)</f>
        <v>1032094</v>
      </c>
      <c r="G109" s="2" t="s">
        <v>3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IFERROR(__xludf.DUMMYFUNCTION("""COMPUTED_VALUE"""),83.61)</f>
        <v>83.61</v>
      </c>
      <c r="C110" s="1">
        <f>IFERROR(__xludf.DUMMYFUNCTION("""COMPUTED_VALUE"""),84.05)</f>
        <v>84.05</v>
      </c>
      <c r="D110" s="1">
        <f>IFERROR(__xludf.DUMMYFUNCTION("""COMPUTED_VALUE"""),82.66)</f>
        <v>82.66</v>
      </c>
      <c r="E110" s="1">
        <f>IFERROR(__xludf.DUMMYFUNCTION("""COMPUTED_VALUE"""),83.58)</f>
        <v>83.58</v>
      </c>
      <c r="F110" s="1">
        <f>IFERROR(__xludf.DUMMYFUNCTION("""COMPUTED_VALUE"""),731088.0)</f>
        <v>731088</v>
      </c>
      <c r="G110" s="2" t="s">
        <v>3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IFERROR(__xludf.DUMMYFUNCTION("""COMPUTED_VALUE"""),82.91)</f>
        <v>82.91</v>
      </c>
      <c r="C111" s="1">
        <f>IFERROR(__xludf.DUMMYFUNCTION("""COMPUTED_VALUE"""),83.36)</f>
        <v>83.36</v>
      </c>
      <c r="D111" s="1">
        <f>IFERROR(__xludf.DUMMYFUNCTION("""COMPUTED_VALUE"""),81.84)</f>
        <v>81.84</v>
      </c>
      <c r="E111" s="1">
        <f>IFERROR(__xludf.DUMMYFUNCTION("""COMPUTED_VALUE"""),82.59)</f>
        <v>82.59</v>
      </c>
      <c r="F111" s="1">
        <f>IFERROR(__xludf.DUMMYFUNCTION("""COMPUTED_VALUE"""),944549.0)</f>
        <v>944549</v>
      </c>
      <c r="G111" s="2" t="s">
        <v>3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IFERROR(__xludf.DUMMYFUNCTION("""COMPUTED_VALUE"""),82.68)</f>
        <v>82.68</v>
      </c>
      <c r="C112" s="1">
        <f>IFERROR(__xludf.DUMMYFUNCTION("""COMPUTED_VALUE"""),84.0)</f>
        <v>84</v>
      </c>
      <c r="D112" s="1">
        <f>IFERROR(__xludf.DUMMYFUNCTION("""COMPUTED_VALUE"""),82.62)</f>
        <v>82.62</v>
      </c>
      <c r="E112" s="1">
        <f>IFERROR(__xludf.DUMMYFUNCTION("""COMPUTED_VALUE"""),83.5)</f>
        <v>83.5</v>
      </c>
      <c r="F112" s="1">
        <f>IFERROR(__xludf.DUMMYFUNCTION("""COMPUTED_VALUE"""),1226472.0)</f>
        <v>1226472</v>
      </c>
      <c r="G112" s="2" t="s">
        <v>3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IFERROR(__xludf.DUMMYFUNCTION("""COMPUTED_VALUE"""),83.41)</f>
        <v>83.41</v>
      </c>
      <c r="C113" s="1">
        <f>IFERROR(__xludf.DUMMYFUNCTION("""COMPUTED_VALUE"""),83.46)</f>
        <v>83.46</v>
      </c>
      <c r="D113" s="1">
        <f>IFERROR(__xludf.DUMMYFUNCTION("""COMPUTED_VALUE"""),81.8)</f>
        <v>81.8</v>
      </c>
      <c r="E113" s="1">
        <f>IFERROR(__xludf.DUMMYFUNCTION("""COMPUTED_VALUE"""),82.66)</f>
        <v>82.66</v>
      </c>
      <c r="F113" s="1">
        <f>IFERROR(__xludf.DUMMYFUNCTION("""COMPUTED_VALUE"""),1141726.0)</f>
        <v>1141726</v>
      </c>
      <c r="G113" s="2" t="s">
        <v>3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IFERROR(__xludf.DUMMYFUNCTION("""COMPUTED_VALUE"""),81.96)</f>
        <v>81.96</v>
      </c>
      <c r="C114" s="1">
        <f>IFERROR(__xludf.DUMMYFUNCTION("""COMPUTED_VALUE"""),82.26)</f>
        <v>82.26</v>
      </c>
      <c r="D114" s="1">
        <f>IFERROR(__xludf.DUMMYFUNCTION("""COMPUTED_VALUE"""),80.19)</f>
        <v>80.19</v>
      </c>
      <c r="E114" s="1">
        <f>IFERROR(__xludf.DUMMYFUNCTION("""COMPUTED_VALUE"""),80.54)</f>
        <v>80.54</v>
      </c>
      <c r="F114" s="1">
        <f>IFERROR(__xludf.DUMMYFUNCTION("""COMPUTED_VALUE"""),1775652.0)</f>
        <v>1775652</v>
      </c>
      <c r="G114" s="2" t="s">
        <v>3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IFERROR(__xludf.DUMMYFUNCTION("""COMPUTED_VALUE"""),78.78)</f>
        <v>78.78</v>
      </c>
      <c r="C115" s="1">
        <f>IFERROR(__xludf.DUMMYFUNCTION("""COMPUTED_VALUE"""),79.61)</f>
        <v>79.61</v>
      </c>
      <c r="D115" s="1">
        <f>IFERROR(__xludf.DUMMYFUNCTION("""COMPUTED_VALUE"""),77.36)</f>
        <v>77.36</v>
      </c>
      <c r="E115" s="1">
        <f>IFERROR(__xludf.DUMMYFUNCTION("""COMPUTED_VALUE"""),77.97)</f>
        <v>77.97</v>
      </c>
      <c r="F115" s="1">
        <f>IFERROR(__xludf.DUMMYFUNCTION("""COMPUTED_VALUE"""),1978341.0)</f>
        <v>1978341</v>
      </c>
      <c r="G115" s="2" t="s">
        <v>3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IFERROR(__xludf.DUMMYFUNCTION("""COMPUTED_VALUE"""),78.8)</f>
        <v>78.8</v>
      </c>
      <c r="C116" s="1">
        <f>IFERROR(__xludf.DUMMYFUNCTION("""COMPUTED_VALUE"""),78.8)</f>
        <v>78.8</v>
      </c>
      <c r="D116" s="1">
        <f>IFERROR(__xludf.DUMMYFUNCTION("""COMPUTED_VALUE"""),76.92)</f>
        <v>76.92</v>
      </c>
      <c r="E116" s="1">
        <f>IFERROR(__xludf.DUMMYFUNCTION("""COMPUTED_VALUE"""),77.61)</f>
        <v>77.61</v>
      </c>
      <c r="F116" s="1">
        <f>IFERROR(__xludf.DUMMYFUNCTION("""COMPUTED_VALUE"""),1265598.0)</f>
        <v>1265598</v>
      </c>
      <c r="G116" s="2" t="s">
        <v>3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IFERROR(__xludf.DUMMYFUNCTION("""COMPUTED_VALUE"""),78.88)</f>
        <v>78.88</v>
      </c>
      <c r="C117" s="1">
        <f>IFERROR(__xludf.DUMMYFUNCTION("""COMPUTED_VALUE"""),79.89)</f>
        <v>79.89</v>
      </c>
      <c r="D117" s="1">
        <f>IFERROR(__xludf.DUMMYFUNCTION("""COMPUTED_VALUE"""),78.51)</f>
        <v>78.51</v>
      </c>
      <c r="E117" s="1">
        <f>IFERROR(__xludf.DUMMYFUNCTION("""COMPUTED_VALUE"""),79.54)</f>
        <v>79.54</v>
      </c>
      <c r="F117" s="1">
        <f>IFERROR(__xludf.DUMMYFUNCTION("""COMPUTED_VALUE"""),1659645.0)</f>
        <v>1659645</v>
      </c>
      <c r="G117" s="2" t="s">
        <v>3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IFERROR(__xludf.DUMMYFUNCTION("""COMPUTED_VALUE"""),79.45)</f>
        <v>79.45</v>
      </c>
      <c r="C118" s="1">
        <f>IFERROR(__xludf.DUMMYFUNCTION("""COMPUTED_VALUE"""),79.46)</f>
        <v>79.46</v>
      </c>
      <c r="D118" s="1">
        <f>IFERROR(__xludf.DUMMYFUNCTION("""COMPUTED_VALUE"""),76.54)</f>
        <v>76.54</v>
      </c>
      <c r="E118" s="1">
        <f>IFERROR(__xludf.DUMMYFUNCTION("""COMPUTED_VALUE"""),77.15)</f>
        <v>77.15</v>
      </c>
      <c r="F118" s="1">
        <f>IFERROR(__xludf.DUMMYFUNCTION("""COMPUTED_VALUE"""),1558157.0)</f>
        <v>1558157</v>
      </c>
      <c r="G118" s="2" t="s">
        <v>3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IFERROR(__xludf.DUMMYFUNCTION("""COMPUTED_VALUE"""),77.67)</f>
        <v>77.67</v>
      </c>
      <c r="C119" s="1">
        <f>IFERROR(__xludf.DUMMYFUNCTION("""COMPUTED_VALUE"""),78.17)</f>
        <v>78.17</v>
      </c>
      <c r="D119" s="1">
        <f>IFERROR(__xludf.DUMMYFUNCTION("""COMPUTED_VALUE"""),76.35)</f>
        <v>76.35</v>
      </c>
      <c r="E119" s="1">
        <f>IFERROR(__xludf.DUMMYFUNCTION("""COMPUTED_VALUE"""),77.6)</f>
        <v>77.6</v>
      </c>
      <c r="F119" s="1">
        <f>IFERROR(__xludf.DUMMYFUNCTION("""COMPUTED_VALUE"""),3402960.0)</f>
        <v>3402960</v>
      </c>
      <c r="G119" s="2" t="s">
        <v>3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IFERROR(__xludf.DUMMYFUNCTION("""COMPUTED_VALUE"""),78.0)</f>
        <v>78</v>
      </c>
      <c r="C120" s="1">
        <f>IFERROR(__xludf.DUMMYFUNCTION("""COMPUTED_VALUE"""),78.8)</f>
        <v>78.8</v>
      </c>
      <c r="D120" s="1">
        <f>IFERROR(__xludf.DUMMYFUNCTION("""COMPUTED_VALUE"""),77.21)</f>
        <v>77.21</v>
      </c>
      <c r="E120" s="1">
        <f>IFERROR(__xludf.DUMMYFUNCTION("""COMPUTED_VALUE"""),78.72)</f>
        <v>78.72</v>
      </c>
      <c r="F120" s="1">
        <f>IFERROR(__xludf.DUMMYFUNCTION("""COMPUTED_VALUE"""),822033.0)</f>
        <v>822033</v>
      </c>
      <c r="G120" s="2" t="s">
        <v>3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IFERROR(__xludf.DUMMYFUNCTION("""COMPUTED_VALUE"""),79.13)</f>
        <v>79.13</v>
      </c>
      <c r="C121" s="1">
        <f>IFERROR(__xludf.DUMMYFUNCTION("""COMPUTED_VALUE"""),80.53)</f>
        <v>80.53</v>
      </c>
      <c r="D121" s="1">
        <f>IFERROR(__xludf.DUMMYFUNCTION("""COMPUTED_VALUE"""),78.92)</f>
        <v>78.92</v>
      </c>
      <c r="E121" s="1">
        <f>IFERROR(__xludf.DUMMYFUNCTION("""COMPUTED_VALUE"""),79.66)</f>
        <v>79.66</v>
      </c>
      <c r="F121" s="1">
        <f>IFERROR(__xludf.DUMMYFUNCTION("""COMPUTED_VALUE"""),969834.0)</f>
        <v>969834</v>
      </c>
      <c r="G121" s="2" t="s">
        <v>3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IFERROR(__xludf.DUMMYFUNCTION("""COMPUTED_VALUE"""),78.12)</f>
        <v>78.12</v>
      </c>
      <c r="C122" s="1">
        <f>IFERROR(__xludf.DUMMYFUNCTION("""COMPUTED_VALUE"""),78.84)</f>
        <v>78.84</v>
      </c>
      <c r="D122" s="1">
        <f>IFERROR(__xludf.DUMMYFUNCTION("""COMPUTED_VALUE"""),77.01)</f>
        <v>77.01</v>
      </c>
      <c r="E122" s="1">
        <f>IFERROR(__xludf.DUMMYFUNCTION("""COMPUTED_VALUE"""),78.16)</f>
        <v>78.16</v>
      </c>
      <c r="F122" s="1">
        <f>IFERROR(__xludf.DUMMYFUNCTION("""COMPUTED_VALUE"""),1380068.0)</f>
        <v>1380068</v>
      </c>
      <c r="G122" s="2" t="s">
        <v>3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IFERROR(__xludf.DUMMYFUNCTION("""COMPUTED_VALUE"""),78.05)</f>
        <v>78.05</v>
      </c>
      <c r="C123" s="1">
        <f>IFERROR(__xludf.DUMMYFUNCTION("""COMPUTED_VALUE"""),78.45)</f>
        <v>78.45</v>
      </c>
      <c r="D123" s="1">
        <f>IFERROR(__xludf.DUMMYFUNCTION("""COMPUTED_VALUE"""),74.9)</f>
        <v>74.9</v>
      </c>
      <c r="E123" s="1">
        <f>IFERROR(__xludf.DUMMYFUNCTION("""COMPUTED_VALUE"""),74.9)</f>
        <v>74.9</v>
      </c>
      <c r="F123" s="1">
        <f>IFERROR(__xludf.DUMMYFUNCTION("""COMPUTED_VALUE"""),1828040.0)</f>
        <v>1828040</v>
      </c>
      <c r="G123" s="2" t="s">
        <v>3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IFERROR(__xludf.DUMMYFUNCTION("""COMPUTED_VALUE"""),75.27)</f>
        <v>75.27</v>
      </c>
      <c r="C124" s="1">
        <f>IFERROR(__xludf.DUMMYFUNCTION("""COMPUTED_VALUE"""),75.33)</f>
        <v>75.33</v>
      </c>
      <c r="D124" s="1">
        <f>IFERROR(__xludf.DUMMYFUNCTION("""COMPUTED_VALUE"""),72.57)</f>
        <v>72.57</v>
      </c>
      <c r="E124" s="1">
        <f>IFERROR(__xludf.DUMMYFUNCTION("""COMPUTED_VALUE"""),74.94)</f>
        <v>74.94</v>
      </c>
      <c r="F124" s="1">
        <f>IFERROR(__xludf.DUMMYFUNCTION("""COMPUTED_VALUE"""),1725586.0)</f>
        <v>1725586</v>
      </c>
      <c r="G124" s="2" t="s">
        <v>3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IFERROR(__xludf.DUMMYFUNCTION("""COMPUTED_VALUE"""),75.61)</f>
        <v>75.61</v>
      </c>
      <c r="C125" s="1">
        <f>IFERROR(__xludf.DUMMYFUNCTION("""COMPUTED_VALUE"""),77.29)</f>
        <v>77.29</v>
      </c>
      <c r="D125" s="1">
        <f>IFERROR(__xludf.DUMMYFUNCTION("""COMPUTED_VALUE"""),75.21)</f>
        <v>75.21</v>
      </c>
      <c r="E125" s="1">
        <f>IFERROR(__xludf.DUMMYFUNCTION("""COMPUTED_VALUE"""),75.73)</f>
        <v>75.73</v>
      </c>
      <c r="F125" s="1">
        <f>IFERROR(__xludf.DUMMYFUNCTION("""COMPUTED_VALUE"""),1156996.0)</f>
        <v>1156996</v>
      </c>
      <c r="G125" s="2" t="s">
        <v>3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IFERROR(__xludf.DUMMYFUNCTION("""COMPUTED_VALUE"""),76.63)</f>
        <v>76.63</v>
      </c>
      <c r="C126" s="1">
        <f>IFERROR(__xludf.DUMMYFUNCTION("""COMPUTED_VALUE"""),77.74)</f>
        <v>77.74</v>
      </c>
      <c r="D126" s="1">
        <f>IFERROR(__xludf.DUMMYFUNCTION("""COMPUTED_VALUE"""),76.34)</f>
        <v>76.34</v>
      </c>
      <c r="E126" s="1">
        <f>IFERROR(__xludf.DUMMYFUNCTION("""COMPUTED_VALUE"""),76.48)</f>
        <v>76.48</v>
      </c>
      <c r="F126" s="1">
        <f>IFERROR(__xludf.DUMMYFUNCTION("""COMPUTED_VALUE"""),1016528.0)</f>
        <v>1016528</v>
      </c>
      <c r="G126" s="2" t="s">
        <v>3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IFERROR(__xludf.DUMMYFUNCTION("""COMPUTED_VALUE"""),75.0)</f>
        <v>75</v>
      </c>
      <c r="C127" s="1">
        <f>IFERROR(__xludf.DUMMYFUNCTION("""COMPUTED_VALUE"""),75.63)</f>
        <v>75.63</v>
      </c>
      <c r="D127" s="1">
        <f>IFERROR(__xludf.DUMMYFUNCTION("""COMPUTED_VALUE"""),73.93)</f>
        <v>73.93</v>
      </c>
      <c r="E127" s="1">
        <f>IFERROR(__xludf.DUMMYFUNCTION("""COMPUTED_VALUE"""),74.52)</f>
        <v>74.52</v>
      </c>
      <c r="F127" s="1">
        <f>IFERROR(__xludf.DUMMYFUNCTION("""COMPUTED_VALUE"""),1436429.0)</f>
        <v>1436429</v>
      </c>
      <c r="G127" s="2" t="s">
        <v>3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IFERROR(__xludf.DUMMYFUNCTION("""COMPUTED_VALUE"""),73.22)</f>
        <v>73.22</v>
      </c>
      <c r="C128" s="1">
        <f>IFERROR(__xludf.DUMMYFUNCTION("""COMPUTED_VALUE"""),73.78)</f>
        <v>73.78</v>
      </c>
      <c r="D128" s="1">
        <f>IFERROR(__xludf.DUMMYFUNCTION("""COMPUTED_VALUE"""),70.57)</f>
        <v>70.57</v>
      </c>
      <c r="E128" s="1">
        <f>IFERROR(__xludf.DUMMYFUNCTION("""COMPUTED_VALUE"""),73.46)</f>
        <v>73.46</v>
      </c>
      <c r="F128" s="1">
        <f>IFERROR(__xludf.DUMMYFUNCTION("""COMPUTED_VALUE"""),2801023.0)</f>
        <v>2801023</v>
      </c>
      <c r="G128" s="2" t="s">
        <v>3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IFERROR(__xludf.DUMMYFUNCTION("""COMPUTED_VALUE"""),72.86)</f>
        <v>72.86</v>
      </c>
      <c r="C129" s="1">
        <f>IFERROR(__xludf.DUMMYFUNCTION("""COMPUTED_VALUE"""),74.05)</f>
        <v>74.05</v>
      </c>
      <c r="D129" s="1">
        <f>IFERROR(__xludf.DUMMYFUNCTION("""COMPUTED_VALUE"""),72.15)</f>
        <v>72.15</v>
      </c>
      <c r="E129" s="1">
        <f>IFERROR(__xludf.DUMMYFUNCTION("""COMPUTED_VALUE"""),73.76)</f>
        <v>73.76</v>
      </c>
      <c r="F129" s="1">
        <f>IFERROR(__xludf.DUMMYFUNCTION("""COMPUTED_VALUE"""),1375303.0)</f>
        <v>1375303</v>
      </c>
      <c r="G129" s="2" t="s">
        <v>3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IFERROR(__xludf.DUMMYFUNCTION("""COMPUTED_VALUE"""),74.47)</f>
        <v>74.47</v>
      </c>
      <c r="C130" s="1">
        <f>IFERROR(__xludf.DUMMYFUNCTION("""COMPUTED_VALUE"""),74.57)</f>
        <v>74.57</v>
      </c>
      <c r="D130" s="1">
        <f>IFERROR(__xludf.DUMMYFUNCTION("""COMPUTED_VALUE"""),72.28)</f>
        <v>72.28</v>
      </c>
      <c r="E130" s="1">
        <f>IFERROR(__xludf.DUMMYFUNCTION("""COMPUTED_VALUE"""),72.79)</f>
        <v>72.79</v>
      </c>
      <c r="F130" s="1">
        <f>IFERROR(__xludf.DUMMYFUNCTION("""COMPUTED_VALUE"""),899823.0)</f>
        <v>899823</v>
      </c>
      <c r="G130" s="2" t="s">
        <v>3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IFERROR(__xludf.DUMMYFUNCTION("""COMPUTED_VALUE"""),73.31)</f>
        <v>73.31</v>
      </c>
      <c r="C131" s="1">
        <f>IFERROR(__xludf.DUMMYFUNCTION("""COMPUTED_VALUE"""),73.54)</f>
        <v>73.54</v>
      </c>
      <c r="D131" s="1">
        <f>IFERROR(__xludf.DUMMYFUNCTION("""COMPUTED_VALUE"""),71.22)</f>
        <v>71.22</v>
      </c>
      <c r="E131" s="1">
        <f>IFERROR(__xludf.DUMMYFUNCTION("""COMPUTED_VALUE"""),71.5)</f>
        <v>71.5</v>
      </c>
      <c r="F131" s="1">
        <f>IFERROR(__xludf.DUMMYFUNCTION("""COMPUTED_VALUE"""),2140020.0)</f>
        <v>2140020</v>
      </c>
      <c r="G131" s="2" t="s">
        <v>3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IFERROR(__xludf.DUMMYFUNCTION("""COMPUTED_VALUE"""),72.25)</f>
        <v>72.25</v>
      </c>
      <c r="C132" s="1">
        <f>IFERROR(__xludf.DUMMYFUNCTION("""COMPUTED_VALUE"""),72.9)</f>
        <v>72.9</v>
      </c>
      <c r="D132" s="1">
        <f>IFERROR(__xludf.DUMMYFUNCTION("""COMPUTED_VALUE"""),71.31)</f>
        <v>71.31</v>
      </c>
      <c r="E132" s="1">
        <f>IFERROR(__xludf.DUMMYFUNCTION("""COMPUTED_VALUE"""),71.37)</f>
        <v>71.37</v>
      </c>
      <c r="F132" s="1">
        <f>IFERROR(__xludf.DUMMYFUNCTION("""COMPUTED_VALUE"""),1429700.0)</f>
        <v>1429700</v>
      </c>
      <c r="G132" s="2" t="s">
        <v>3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IFERROR(__xludf.DUMMYFUNCTION("""COMPUTED_VALUE"""),72.55)</f>
        <v>72.55</v>
      </c>
      <c r="C133" s="1">
        <f>IFERROR(__xludf.DUMMYFUNCTION("""COMPUTED_VALUE"""),75.37)</f>
        <v>75.37</v>
      </c>
      <c r="D133" s="1">
        <f>IFERROR(__xludf.DUMMYFUNCTION("""COMPUTED_VALUE"""),72.42)</f>
        <v>72.42</v>
      </c>
      <c r="E133" s="1">
        <f>IFERROR(__xludf.DUMMYFUNCTION("""COMPUTED_VALUE"""),74.78)</f>
        <v>74.78</v>
      </c>
      <c r="F133" s="1">
        <f>IFERROR(__xludf.DUMMYFUNCTION("""COMPUTED_VALUE"""),1872773.0)</f>
        <v>1872773</v>
      </c>
      <c r="G133" s="2" t="s">
        <v>3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IFERROR(__xludf.DUMMYFUNCTION("""COMPUTED_VALUE"""),74.15)</f>
        <v>74.15</v>
      </c>
      <c r="C134" s="1">
        <f>IFERROR(__xludf.DUMMYFUNCTION("""COMPUTED_VALUE"""),76.69)</f>
        <v>76.69</v>
      </c>
      <c r="D134" s="1">
        <f>IFERROR(__xludf.DUMMYFUNCTION("""COMPUTED_VALUE"""),73.6)</f>
        <v>73.6</v>
      </c>
      <c r="E134" s="1">
        <f>IFERROR(__xludf.DUMMYFUNCTION("""COMPUTED_VALUE"""),76.04)</f>
        <v>76.04</v>
      </c>
      <c r="F134" s="1">
        <f>IFERROR(__xludf.DUMMYFUNCTION("""COMPUTED_VALUE"""),1784342.0)</f>
        <v>1784342</v>
      </c>
      <c r="G134" s="2" t="s">
        <v>3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IFERROR(__xludf.DUMMYFUNCTION("""COMPUTED_VALUE"""),74.15)</f>
        <v>74.15</v>
      </c>
      <c r="C135" s="1">
        <f>IFERROR(__xludf.DUMMYFUNCTION("""COMPUTED_VALUE"""),75.29)</f>
        <v>75.29</v>
      </c>
      <c r="D135" s="1">
        <f>IFERROR(__xludf.DUMMYFUNCTION("""COMPUTED_VALUE"""),73.61)</f>
        <v>73.61</v>
      </c>
      <c r="E135" s="1">
        <f>IFERROR(__xludf.DUMMYFUNCTION("""COMPUTED_VALUE"""),73.79)</f>
        <v>73.79</v>
      </c>
      <c r="F135" s="1">
        <f>IFERROR(__xludf.DUMMYFUNCTION("""COMPUTED_VALUE"""),1212743.0)</f>
        <v>1212743</v>
      </c>
      <c r="G135" s="2" t="s">
        <v>3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IFERROR(__xludf.DUMMYFUNCTION("""COMPUTED_VALUE"""),73.1)</f>
        <v>73.1</v>
      </c>
      <c r="C136" s="1">
        <f>IFERROR(__xludf.DUMMYFUNCTION("""COMPUTED_VALUE"""),74.42)</f>
        <v>74.42</v>
      </c>
      <c r="D136" s="1">
        <f>IFERROR(__xludf.DUMMYFUNCTION("""COMPUTED_VALUE"""),72.53)</f>
        <v>72.53</v>
      </c>
      <c r="E136" s="1">
        <f>IFERROR(__xludf.DUMMYFUNCTION("""COMPUTED_VALUE"""),74.42)</f>
        <v>74.42</v>
      </c>
      <c r="F136" s="1">
        <f>IFERROR(__xludf.DUMMYFUNCTION("""COMPUTED_VALUE"""),1263935.0)</f>
        <v>1263935</v>
      </c>
      <c r="G136" s="2" t="s">
        <v>3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IFERROR(__xludf.DUMMYFUNCTION("""COMPUTED_VALUE"""),73.72)</f>
        <v>73.72</v>
      </c>
      <c r="C137" s="1">
        <f>IFERROR(__xludf.DUMMYFUNCTION("""COMPUTED_VALUE"""),73.72)</f>
        <v>73.72</v>
      </c>
      <c r="D137" s="1">
        <f>IFERROR(__xludf.DUMMYFUNCTION("""COMPUTED_VALUE"""),72.01)</f>
        <v>72.01</v>
      </c>
      <c r="E137" s="1">
        <f>IFERROR(__xludf.DUMMYFUNCTION("""COMPUTED_VALUE"""),72.46)</f>
        <v>72.46</v>
      </c>
      <c r="F137" s="1">
        <f>IFERROR(__xludf.DUMMYFUNCTION("""COMPUTED_VALUE"""),1425644.0)</f>
        <v>1425644</v>
      </c>
      <c r="G137" s="2" t="s">
        <v>3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IFERROR(__xludf.DUMMYFUNCTION("""COMPUTED_VALUE"""),72.99)</f>
        <v>72.99</v>
      </c>
      <c r="C138" s="1">
        <f>IFERROR(__xludf.DUMMYFUNCTION("""COMPUTED_VALUE"""),74.13)</f>
        <v>74.13</v>
      </c>
      <c r="D138" s="1">
        <f>IFERROR(__xludf.DUMMYFUNCTION("""COMPUTED_VALUE"""),71.35)</f>
        <v>71.35</v>
      </c>
      <c r="E138" s="1">
        <f>IFERROR(__xludf.DUMMYFUNCTION("""COMPUTED_VALUE"""),72.22)</f>
        <v>72.22</v>
      </c>
      <c r="F138" s="1">
        <f>IFERROR(__xludf.DUMMYFUNCTION("""COMPUTED_VALUE"""),1556778.0)</f>
        <v>1556778</v>
      </c>
      <c r="G138" s="2" t="s">
        <v>3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IFERROR(__xludf.DUMMYFUNCTION("""COMPUTED_VALUE"""),72.53)</f>
        <v>72.53</v>
      </c>
      <c r="C139" s="1">
        <f>IFERROR(__xludf.DUMMYFUNCTION("""COMPUTED_VALUE"""),75.12)</f>
        <v>75.12</v>
      </c>
      <c r="D139" s="1">
        <f>IFERROR(__xludf.DUMMYFUNCTION("""COMPUTED_VALUE"""),72.05)</f>
        <v>72.05</v>
      </c>
      <c r="E139" s="1">
        <f>IFERROR(__xludf.DUMMYFUNCTION("""COMPUTED_VALUE"""),75.12)</f>
        <v>75.12</v>
      </c>
      <c r="F139" s="1">
        <f>IFERROR(__xludf.DUMMYFUNCTION("""COMPUTED_VALUE"""),1766983.0)</f>
        <v>1766983</v>
      </c>
      <c r="G139" s="2" t="s">
        <v>3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IFERROR(__xludf.DUMMYFUNCTION("""COMPUTED_VALUE"""),75.3)</f>
        <v>75.3</v>
      </c>
      <c r="C140" s="1">
        <f>IFERROR(__xludf.DUMMYFUNCTION("""COMPUTED_VALUE"""),76.54)</f>
        <v>76.54</v>
      </c>
      <c r="D140" s="1">
        <f>IFERROR(__xludf.DUMMYFUNCTION("""COMPUTED_VALUE"""),74.87)</f>
        <v>74.87</v>
      </c>
      <c r="E140" s="1">
        <f>IFERROR(__xludf.DUMMYFUNCTION("""COMPUTED_VALUE"""),76.0)</f>
        <v>76</v>
      </c>
      <c r="F140" s="1">
        <f>IFERROR(__xludf.DUMMYFUNCTION("""COMPUTED_VALUE"""),966822.0)</f>
        <v>966822</v>
      </c>
      <c r="G140" s="2" t="s">
        <v>3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IFERROR(__xludf.DUMMYFUNCTION("""COMPUTED_VALUE"""),75.45)</f>
        <v>75.45</v>
      </c>
      <c r="C141" s="1">
        <f>IFERROR(__xludf.DUMMYFUNCTION("""COMPUTED_VALUE"""),79.38)</f>
        <v>79.38</v>
      </c>
      <c r="D141" s="1">
        <f>IFERROR(__xludf.DUMMYFUNCTION("""COMPUTED_VALUE"""),75.06)</f>
        <v>75.06</v>
      </c>
      <c r="E141" s="1">
        <f>IFERROR(__xludf.DUMMYFUNCTION("""COMPUTED_VALUE"""),78.13)</f>
        <v>78.13</v>
      </c>
      <c r="F141" s="1">
        <f>IFERROR(__xludf.DUMMYFUNCTION("""COMPUTED_VALUE"""),1382168.0)</f>
        <v>1382168</v>
      </c>
      <c r="G141" s="2" t="s">
        <v>3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IFERROR(__xludf.DUMMYFUNCTION("""COMPUTED_VALUE"""),78.13)</f>
        <v>78.13</v>
      </c>
      <c r="C142" s="1">
        <f>IFERROR(__xludf.DUMMYFUNCTION("""COMPUTED_VALUE"""),78.6)</f>
        <v>78.6</v>
      </c>
      <c r="D142" s="1">
        <f>IFERROR(__xludf.DUMMYFUNCTION("""COMPUTED_VALUE"""),76.04)</f>
        <v>76.04</v>
      </c>
      <c r="E142" s="1">
        <f>IFERROR(__xludf.DUMMYFUNCTION("""COMPUTED_VALUE"""),77.53)</f>
        <v>77.53</v>
      </c>
      <c r="F142" s="1">
        <f>IFERROR(__xludf.DUMMYFUNCTION("""COMPUTED_VALUE"""),1193454.0)</f>
        <v>1193454</v>
      </c>
      <c r="G142" s="2" t="s">
        <v>3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IFERROR(__xludf.DUMMYFUNCTION("""COMPUTED_VALUE"""),77.21)</f>
        <v>77.21</v>
      </c>
      <c r="C143" s="1">
        <f>IFERROR(__xludf.DUMMYFUNCTION("""COMPUTED_VALUE"""),78.3)</f>
        <v>78.3</v>
      </c>
      <c r="D143" s="1">
        <f>IFERROR(__xludf.DUMMYFUNCTION("""COMPUTED_VALUE"""),75.93)</f>
        <v>75.93</v>
      </c>
      <c r="E143" s="1">
        <f>IFERROR(__xludf.DUMMYFUNCTION("""COMPUTED_VALUE"""),76.89)</f>
        <v>76.89</v>
      </c>
      <c r="F143" s="1">
        <f>IFERROR(__xludf.DUMMYFUNCTION("""COMPUTED_VALUE"""),1072416.0)</f>
        <v>1072416</v>
      </c>
      <c r="G143" s="2" t="s">
        <v>3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IFERROR(__xludf.DUMMYFUNCTION("""COMPUTED_VALUE"""),76.71)</f>
        <v>76.71</v>
      </c>
      <c r="C144" s="1">
        <f>IFERROR(__xludf.DUMMYFUNCTION("""COMPUTED_VALUE"""),77.58)</f>
        <v>77.58</v>
      </c>
      <c r="D144" s="1">
        <f>IFERROR(__xludf.DUMMYFUNCTION("""COMPUTED_VALUE"""),76.29)</f>
        <v>76.29</v>
      </c>
      <c r="E144" s="1">
        <f>IFERROR(__xludf.DUMMYFUNCTION("""COMPUTED_VALUE"""),77.1)</f>
        <v>77.1</v>
      </c>
      <c r="F144" s="1">
        <f>IFERROR(__xludf.DUMMYFUNCTION("""COMPUTED_VALUE"""),939952.0)</f>
        <v>939952</v>
      </c>
      <c r="G144" s="2" t="s">
        <v>3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IFERROR(__xludf.DUMMYFUNCTION("""COMPUTED_VALUE"""),76.99)</f>
        <v>76.99</v>
      </c>
      <c r="C145" s="1">
        <f>IFERROR(__xludf.DUMMYFUNCTION("""COMPUTED_VALUE"""),78.58)</f>
        <v>78.58</v>
      </c>
      <c r="D145" s="1">
        <f>IFERROR(__xludf.DUMMYFUNCTION("""COMPUTED_VALUE"""),76.5)</f>
        <v>76.5</v>
      </c>
      <c r="E145" s="1">
        <f>IFERROR(__xludf.DUMMYFUNCTION("""COMPUTED_VALUE"""),77.97)</f>
        <v>77.97</v>
      </c>
      <c r="F145" s="1">
        <f>IFERROR(__xludf.DUMMYFUNCTION("""COMPUTED_VALUE"""),1002253.0)</f>
        <v>1002253</v>
      </c>
      <c r="G145" s="2" t="s">
        <v>3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IFERROR(__xludf.DUMMYFUNCTION("""COMPUTED_VALUE"""),77.61)</f>
        <v>77.61</v>
      </c>
      <c r="C146" s="1">
        <f>IFERROR(__xludf.DUMMYFUNCTION("""COMPUTED_VALUE"""),77.69)</f>
        <v>77.69</v>
      </c>
      <c r="D146" s="1">
        <f>IFERROR(__xludf.DUMMYFUNCTION("""COMPUTED_VALUE"""),75.44)</f>
        <v>75.44</v>
      </c>
      <c r="E146" s="1">
        <f>IFERROR(__xludf.DUMMYFUNCTION("""COMPUTED_VALUE"""),76.08)</f>
        <v>76.08</v>
      </c>
      <c r="F146" s="1">
        <f>IFERROR(__xludf.DUMMYFUNCTION("""COMPUTED_VALUE"""),1270931.0)</f>
        <v>1270931</v>
      </c>
      <c r="G146" s="2" t="s">
        <v>3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IFERROR(__xludf.DUMMYFUNCTION("""COMPUTED_VALUE"""),76.5)</f>
        <v>76.5</v>
      </c>
      <c r="C147" s="1">
        <f>IFERROR(__xludf.DUMMYFUNCTION("""COMPUTED_VALUE"""),76.98)</f>
        <v>76.98</v>
      </c>
      <c r="D147" s="1">
        <f>IFERROR(__xludf.DUMMYFUNCTION("""COMPUTED_VALUE"""),76.06)</f>
        <v>76.06</v>
      </c>
      <c r="E147" s="1">
        <f>IFERROR(__xludf.DUMMYFUNCTION("""COMPUTED_VALUE"""),76.58)</f>
        <v>76.58</v>
      </c>
      <c r="F147" s="1">
        <f>IFERROR(__xludf.DUMMYFUNCTION("""COMPUTED_VALUE"""),825396.0)</f>
        <v>825396</v>
      </c>
      <c r="G147" s="2" t="s">
        <v>3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IFERROR(__xludf.DUMMYFUNCTION("""COMPUTED_VALUE"""),77.22)</f>
        <v>77.22</v>
      </c>
      <c r="C148" s="1">
        <f>IFERROR(__xludf.DUMMYFUNCTION("""COMPUTED_VALUE"""),78.43)</f>
        <v>78.43</v>
      </c>
      <c r="D148" s="1">
        <f>IFERROR(__xludf.DUMMYFUNCTION("""COMPUTED_VALUE"""),77.21)</f>
        <v>77.21</v>
      </c>
      <c r="E148" s="1">
        <f>IFERROR(__xludf.DUMMYFUNCTION("""COMPUTED_VALUE"""),78.43)</f>
        <v>78.43</v>
      </c>
      <c r="F148" s="1">
        <f>IFERROR(__xludf.DUMMYFUNCTION("""COMPUTED_VALUE"""),1131025.0)</f>
        <v>1131025</v>
      </c>
      <c r="G148" s="2" t="s">
        <v>3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IFERROR(__xludf.DUMMYFUNCTION("""COMPUTED_VALUE"""),78.89)</f>
        <v>78.89</v>
      </c>
      <c r="C149" s="1">
        <f>IFERROR(__xludf.DUMMYFUNCTION("""COMPUTED_VALUE"""),79.81)</f>
        <v>79.81</v>
      </c>
      <c r="D149" s="1">
        <f>IFERROR(__xludf.DUMMYFUNCTION("""COMPUTED_VALUE"""),78.46)</f>
        <v>78.46</v>
      </c>
      <c r="E149" s="1">
        <f>IFERROR(__xludf.DUMMYFUNCTION("""COMPUTED_VALUE"""),79.48)</f>
        <v>79.48</v>
      </c>
      <c r="F149" s="1">
        <f>IFERROR(__xludf.DUMMYFUNCTION("""COMPUTED_VALUE"""),1183673.0)</f>
        <v>1183673</v>
      </c>
      <c r="G149" s="2" t="s">
        <v>3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IFERROR(__xludf.DUMMYFUNCTION("""COMPUTED_VALUE"""),79.93)</f>
        <v>79.93</v>
      </c>
      <c r="C150" s="1">
        <f>IFERROR(__xludf.DUMMYFUNCTION("""COMPUTED_VALUE"""),80.76)</f>
        <v>80.76</v>
      </c>
      <c r="D150" s="1">
        <f>IFERROR(__xludf.DUMMYFUNCTION("""COMPUTED_VALUE"""),79.59)</f>
        <v>79.59</v>
      </c>
      <c r="E150" s="1">
        <f>IFERROR(__xludf.DUMMYFUNCTION("""COMPUTED_VALUE"""),79.89)</f>
        <v>79.89</v>
      </c>
      <c r="F150" s="1">
        <f>IFERROR(__xludf.DUMMYFUNCTION("""COMPUTED_VALUE"""),889242.0)</f>
        <v>889242</v>
      </c>
      <c r="G150" s="2" t="s">
        <v>3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IFERROR(__xludf.DUMMYFUNCTION("""COMPUTED_VALUE"""),79.43)</f>
        <v>79.43</v>
      </c>
      <c r="C151" s="1">
        <f>IFERROR(__xludf.DUMMYFUNCTION("""COMPUTED_VALUE"""),81.13)</f>
        <v>81.13</v>
      </c>
      <c r="D151" s="1">
        <f>IFERROR(__xludf.DUMMYFUNCTION("""COMPUTED_VALUE"""),78.93)</f>
        <v>78.93</v>
      </c>
      <c r="E151" s="1">
        <f>IFERROR(__xludf.DUMMYFUNCTION("""COMPUTED_VALUE"""),81.08)</f>
        <v>81.08</v>
      </c>
      <c r="F151" s="1">
        <f>IFERROR(__xludf.DUMMYFUNCTION("""COMPUTED_VALUE"""),1238271.0)</f>
        <v>1238271</v>
      </c>
      <c r="G151" s="2" t="s">
        <v>3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IFERROR(__xludf.DUMMYFUNCTION("""COMPUTED_VALUE"""),78.93)</f>
        <v>78.93</v>
      </c>
      <c r="C152" s="1">
        <f>IFERROR(__xludf.DUMMYFUNCTION("""COMPUTED_VALUE"""),79.0)</f>
        <v>79</v>
      </c>
      <c r="D152" s="1">
        <f>IFERROR(__xludf.DUMMYFUNCTION("""COMPUTED_VALUE"""),75.46)</f>
        <v>75.46</v>
      </c>
      <c r="E152" s="1">
        <f>IFERROR(__xludf.DUMMYFUNCTION("""COMPUTED_VALUE"""),76.57)</f>
        <v>76.57</v>
      </c>
      <c r="F152" s="1">
        <f>IFERROR(__xludf.DUMMYFUNCTION("""COMPUTED_VALUE"""),3479341.0)</f>
        <v>3479341</v>
      </c>
      <c r="G152" s="2" t="s">
        <v>3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IFERROR(__xludf.DUMMYFUNCTION("""COMPUTED_VALUE"""),77.34)</f>
        <v>77.34</v>
      </c>
      <c r="C153" s="1">
        <f>IFERROR(__xludf.DUMMYFUNCTION("""COMPUTED_VALUE"""),78.11)</f>
        <v>78.11</v>
      </c>
      <c r="D153" s="1">
        <f>IFERROR(__xludf.DUMMYFUNCTION("""COMPUTED_VALUE"""),75.96)</f>
        <v>75.96</v>
      </c>
      <c r="E153" s="1">
        <f>IFERROR(__xludf.DUMMYFUNCTION("""COMPUTED_VALUE"""),76.27)</f>
        <v>76.27</v>
      </c>
      <c r="F153" s="1">
        <f>IFERROR(__xludf.DUMMYFUNCTION("""COMPUTED_VALUE"""),1768831.0)</f>
        <v>1768831</v>
      </c>
      <c r="G153" s="2" t="s">
        <v>3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IFERROR(__xludf.DUMMYFUNCTION("""COMPUTED_VALUE"""),75.84)</f>
        <v>75.84</v>
      </c>
      <c r="C154" s="1">
        <f>IFERROR(__xludf.DUMMYFUNCTION("""COMPUTED_VALUE"""),77.24)</f>
        <v>77.24</v>
      </c>
      <c r="D154" s="1">
        <f>IFERROR(__xludf.DUMMYFUNCTION("""COMPUTED_VALUE"""),75.56)</f>
        <v>75.56</v>
      </c>
      <c r="E154" s="1">
        <f>IFERROR(__xludf.DUMMYFUNCTION("""COMPUTED_VALUE"""),76.61)</f>
        <v>76.61</v>
      </c>
      <c r="F154" s="1">
        <f>IFERROR(__xludf.DUMMYFUNCTION("""COMPUTED_VALUE"""),1460610.0)</f>
        <v>1460610</v>
      </c>
      <c r="G154" s="2" t="s">
        <v>3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IFERROR(__xludf.DUMMYFUNCTION("""COMPUTED_VALUE"""),77.09)</f>
        <v>77.09</v>
      </c>
      <c r="C155" s="1">
        <f>IFERROR(__xludf.DUMMYFUNCTION("""COMPUTED_VALUE"""),78.1)</f>
        <v>78.1</v>
      </c>
      <c r="D155" s="1">
        <f>IFERROR(__xludf.DUMMYFUNCTION("""COMPUTED_VALUE"""),76.91)</f>
        <v>76.91</v>
      </c>
      <c r="E155" s="1">
        <f>IFERROR(__xludf.DUMMYFUNCTION("""COMPUTED_VALUE"""),78.1)</f>
        <v>78.1</v>
      </c>
      <c r="F155" s="1">
        <f>IFERROR(__xludf.DUMMYFUNCTION("""COMPUTED_VALUE"""),969376.0)</f>
        <v>969376</v>
      </c>
      <c r="G155" s="2" t="s">
        <v>3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IFERROR(__xludf.DUMMYFUNCTION("""COMPUTED_VALUE"""),78.0)</f>
        <v>78</v>
      </c>
      <c r="C156" s="1">
        <f>IFERROR(__xludf.DUMMYFUNCTION("""COMPUTED_VALUE"""),78.36)</f>
        <v>78.36</v>
      </c>
      <c r="D156" s="1">
        <f>IFERROR(__xludf.DUMMYFUNCTION("""COMPUTED_VALUE"""),76.93)</f>
        <v>76.93</v>
      </c>
      <c r="E156" s="1">
        <f>IFERROR(__xludf.DUMMYFUNCTION("""COMPUTED_VALUE"""),77.09)</f>
        <v>77.09</v>
      </c>
      <c r="F156" s="1">
        <f>IFERROR(__xludf.DUMMYFUNCTION("""COMPUTED_VALUE"""),1044979.0)</f>
        <v>1044979</v>
      </c>
      <c r="G156" s="2" t="s">
        <v>3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IFERROR(__xludf.DUMMYFUNCTION("""COMPUTED_VALUE"""),76.9)</f>
        <v>76.9</v>
      </c>
      <c r="C157" s="1">
        <f>IFERROR(__xludf.DUMMYFUNCTION("""COMPUTED_VALUE"""),78.15)</f>
        <v>78.15</v>
      </c>
      <c r="D157" s="1">
        <f>IFERROR(__xludf.DUMMYFUNCTION("""COMPUTED_VALUE"""),76.65)</f>
        <v>76.65</v>
      </c>
      <c r="E157" s="1">
        <f>IFERROR(__xludf.DUMMYFUNCTION("""COMPUTED_VALUE"""),77.99)</f>
        <v>77.99</v>
      </c>
      <c r="F157" s="1">
        <f>IFERROR(__xludf.DUMMYFUNCTION("""COMPUTED_VALUE"""),932542.0)</f>
        <v>932542</v>
      </c>
      <c r="G157" s="2" t="s">
        <v>3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IFERROR(__xludf.DUMMYFUNCTION("""COMPUTED_VALUE"""),78.4)</f>
        <v>78.4</v>
      </c>
      <c r="C158" s="1">
        <f>IFERROR(__xludf.DUMMYFUNCTION("""COMPUTED_VALUE"""),78.4)</f>
        <v>78.4</v>
      </c>
      <c r="D158" s="1">
        <f>IFERROR(__xludf.DUMMYFUNCTION("""COMPUTED_VALUE"""),77.02)</f>
        <v>77.02</v>
      </c>
      <c r="E158" s="1">
        <f>IFERROR(__xludf.DUMMYFUNCTION("""COMPUTED_VALUE"""),77.71)</f>
        <v>77.71</v>
      </c>
      <c r="F158" s="1">
        <f>IFERROR(__xludf.DUMMYFUNCTION("""COMPUTED_VALUE"""),824938.0)</f>
        <v>824938</v>
      </c>
      <c r="G158" s="2" t="s">
        <v>3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IFERROR(__xludf.DUMMYFUNCTION("""COMPUTED_VALUE"""),78.24)</f>
        <v>78.24</v>
      </c>
      <c r="C159" s="1">
        <f>IFERROR(__xludf.DUMMYFUNCTION("""COMPUTED_VALUE"""),78.87)</f>
        <v>78.87</v>
      </c>
      <c r="D159" s="1">
        <f>IFERROR(__xludf.DUMMYFUNCTION("""COMPUTED_VALUE"""),77.93)</f>
        <v>77.93</v>
      </c>
      <c r="E159" s="1">
        <f>IFERROR(__xludf.DUMMYFUNCTION("""COMPUTED_VALUE"""),78.55)</f>
        <v>78.55</v>
      </c>
      <c r="F159" s="1">
        <f>IFERROR(__xludf.DUMMYFUNCTION("""COMPUTED_VALUE"""),908982.0)</f>
        <v>908982</v>
      </c>
      <c r="G159" s="2" t="s">
        <v>3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IFERROR(__xludf.DUMMYFUNCTION("""COMPUTED_VALUE"""),78.81)</f>
        <v>78.81</v>
      </c>
      <c r="C160" s="1">
        <f>IFERROR(__xludf.DUMMYFUNCTION("""COMPUTED_VALUE"""),78.92)</f>
        <v>78.92</v>
      </c>
      <c r="D160" s="1">
        <f>IFERROR(__xludf.DUMMYFUNCTION("""COMPUTED_VALUE"""),77.36)</f>
        <v>77.36</v>
      </c>
      <c r="E160" s="1">
        <f>IFERROR(__xludf.DUMMYFUNCTION("""COMPUTED_VALUE"""),78.12)</f>
        <v>78.12</v>
      </c>
      <c r="F160" s="1">
        <f>IFERROR(__xludf.DUMMYFUNCTION("""COMPUTED_VALUE"""),648587.0)</f>
        <v>648587</v>
      </c>
      <c r="G160" s="2" t="s">
        <v>3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IFERROR(__xludf.DUMMYFUNCTION("""COMPUTED_VALUE"""),78.36)</f>
        <v>78.36</v>
      </c>
      <c r="C161" s="1">
        <f>IFERROR(__xludf.DUMMYFUNCTION("""COMPUTED_VALUE"""),79.28)</f>
        <v>79.28</v>
      </c>
      <c r="D161" s="1">
        <f>IFERROR(__xludf.DUMMYFUNCTION("""COMPUTED_VALUE"""),78.3)</f>
        <v>78.3</v>
      </c>
      <c r="E161" s="1">
        <f>IFERROR(__xludf.DUMMYFUNCTION("""COMPUTED_VALUE"""),79.25)</f>
        <v>79.25</v>
      </c>
      <c r="F161" s="1">
        <f>IFERROR(__xludf.DUMMYFUNCTION("""COMPUTED_VALUE"""),882430.0)</f>
        <v>882430</v>
      </c>
      <c r="G161" s="2" t="s">
        <v>3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IFERROR(__xludf.DUMMYFUNCTION("""COMPUTED_VALUE"""),79.4)</f>
        <v>79.4</v>
      </c>
      <c r="C162" s="1">
        <f>IFERROR(__xludf.DUMMYFUNCTION("""COMPUTED_VALUE"""),79.62)</f>
        <v>79.62</v>
      </c>
      <c r="D162" s="1">
        <f>IFERROR(__xludf.DUMMYFUNCTION("""COMPUTED_VALUE"""),77.29)</f>
        <v>77.29</v>
      </c>
      <c r="E162" s="1">
        <f>IFERROR(__xludf.DUMMYFUNCTION("""COMPUTED_VALUE"""),77.29)</f>
        <v>77.29</v>
      </c>
      <c r="F162" s="1">
        <f>IFERROR(__xludf.DUMMYFUNCTION("""COMPUTED_VALUE"""),1123389.0)</f>
        <v>1123389</v>
      </c>
      <c r="G162" s="2" t="s">
        <v>3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IFERROR(__xludf.DUMMYFUNCTION("""COMPUTED_VALUE"""),77.7)</f>
        <v>77.7</v>
      </c>
      <c r="C163" s="1">
        <f>IFERROR(__xludf.DUMMYFUNCTION("""COMPUTED_VALUE"""),78.59)</f>
        <v>78.59</v>
      </c>
      <c r="D163" s="1">
        <f>IFERROR(__xludf.DUMMYFUNCTION("""COMPUTED_VALUE"""),77.54)</f>
        <v>77.54</v>
      </c>
      <c r="E163" s="1">
        <f>IFERROR(__xludf.DUMMYFUNCTION("""COMPUTED_VALUE"""),77.89)</f>
        <v>77.89</v>
      </c>
      <c r="F163" s="1">
        <f>IFERROR(__xludf.DUMMYFUNCTION("""COMPUTED_VALUE"""),801264.0)</f>
        <v>801264</v>
      </c>
      <c r="G163" s="2" t="s">
        <v>3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IFERROR(__xludf.DUMMYFUNCTION("""COMPUTED_VALUE"""),77.3)</f>
        <v>77.3</v>
      </c>
      <c r="C164" s="1">
        <f>IFERROR(__xludf.DUMMYFUNCTION("""COMPUTED_VALUE"""),77.53)</f>
        <v>77.53</v>
      </c>
      <c r="D164" s="1">
        <f>IFERROR(__xludf.DUMMYFUNCTION("""COMPUTED_VALUE"""),75.69)</f>
        <v>75.69</v>
      </c>
      <c r="E164" s="1">
        <f>IFERROR(__xludf.DUMMYFUNCTION("""COMPUTED_VALUE"""),75.81)</f>
        <v>75.81</v>
      </c>
      <c r="F164" s="1">
        <f>IFERROR(__xludf.DUMMYFUNCTION("""COMPUTED_VALUE"""),1726184.0)</f>
        <v>1726184</v>
      </c>
      <c r="G164" s="2" t="s">
        <v>3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IFERROR(__xludf.DUMMYFUNCTION("""COMPUTED_VALUE"""),75.38)</f>
        <v>75.38</v>
      </c>
      <c r="C165" s="1">
        <f>IFERROR(__xludf.DUMMYFUNCTION("""COMPUTED_VALUE"""),75.63)</f>
        <v>75.63</v>
      </c>
      <c r="D165" s="1">
        <f>IFERROR(__xludf.DUMMYFUNCTION("""COMPUTED_VALUE"""),73.0)</f>
        <v>73</v>
      </c>
      <c r="E165" s="1">
        <f>IFERROR(__xludf.DUMMYFUNCTION("""COMPUTED_VALUE"""),73.02)</f>
        <v>73.02</v>
      </c>
      <c r="F165" s="1">
        <f>IFERROR(__xludf.DUMMYFUNCTION("""COMPUTED_VALUE"""),1712957.0)</f>
        <v>1712957</v>
      </c>
      <c r="G165" s="2" t="s">
        <v>3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IFERROR(__xludf.DUMMYFUNCTION("""COMPUTED_VALUE"""),72.82)</f>
        <v>72.82</v>
      </c>
      <c r="C166" s="1">
        <f>IFERROR(__xludf.DUMMYFUNCTION("""COMPUTED_VALUE"""),74.75)</f>
        <v>74.75</v>
      </c>
      <c r="D166" s="1">
        <f>IFERROR(__xludf.DUMMYFUNCTION("""COMPUTED_VALUE"""),72.69)</f>
        <v>72.69</v>
      </c>
      <c r="E166" s="1">
        <f>IFERROR(__xludf.DUMMYFUNCTION("""COMPUTED_VALUE"""),74.52)</f>
        <v>74.52</v>
      </c>
      <c r="F166" s="1">
        <f>IFERROR(__xludf.DUMMYFUNCTION("""COMPUTED_VALUE"""),1383035.0)</f>
        <v>1383035</v>
      </c>
      <c r="G166" s="2" t="s">
        <v>3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IFERROR(__xludf.DUMMYFUNCTION("""COMPUTED_VALUE"""),73.94)</f>
        <v>73.94</v>
      </c>
      <c r="C167" s="1">
        <f>IFERROR(__xludf.DUMMYFUNCTION("""COMPUTED_VALUE"""),74.66)</f>
        <v>74.66</v>
      </c>
      <c r="D167" s="1">
        <f>IFERROR(__xludf.DUMMYFUNCTION("""COMPUTED_VALUE"""),73.43)</f>
        <v>73.43</v>
      </c>
      <c r="E167" s="1">
        <f>IFERROR(__xludf.DUMMYFUNCTION("""COMPUTED_VALUE"""),74.14)</f>
        <v>74.14</v>
      </c>
      <c r="F167" s="1">
        <f>IFERROR(__xludf.DUMMYFUNCTION("""COMPUTED_VALUE"""),966562.0)</f>
        <v>966562</v>
      </c>
      <c r="G167" s="2" t="s">
        <v>3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IFERROR(__xludf.DUMMYFUNCTION("""COMPUTED_VALUE"""),74.91)</f>
        <v>74.91</v>
      </c>
      <c r="C168" s="1">
        <f>IFERROR(__xludf.DUMMYFUNCTION("""COMPUTED_VALUE"""),75.12)</f>
        <v>75.12</v>
      </c>
      <c r="D168" s="1">
        <f>IFERROR(__xludf.DUMMYFUNCTION("""COMPUTED_VALUE"""),73.78)</f>
        <v>73.78</v>
      </c>
      <c r="E168" s="1">
        <f>IFERROR(__xludf.DUMMYFUNCTION("""COMPUTED_VALUE"""),74.47)</f>
        <v>74.47</v>
      </c>
      <c r="F168" s="1">
        <f>IFERROR(__xludf.DUMMYFUNCTION("""COMPUTED_VALUE"""),734876.0)</f>
        <v>734876</v>
      </c>
      <c r="G168" s="2" t="s">
        <v>3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IFERROR(__xludf.DUMMYFUNCTION("""COMPUTED_VALUE"""),74.79)</f>
        <v>74.79</v>
      </c>
      <c r="C169" s="1">
        <f>IFERROR(__xludf.DUMMYFUNCTION("""COMPUTED_VALUE"""),75.34)</f>
        <v>75.34</v>
      </c>
      <c r="D169" s="1">
        <f>IFERROR(__xludf.DUMMYFUNCTION("""COMPUTED_VALUE"""),72.99)</f>
        <v>72.99</v>
      </c>
      <c r="E169" s="1">
        <f>IFERROR(__xludf.DUMMYFUNCTION("""COMPUTED_VALUE"""),73.12)</f>
        <v>73.12</v>
      </c>
      <c r="F169" s="1">
        <f>IFERROR(__xludf.DUMMYFUNCTION("""COMPUTED_VALUE"""),1575240.0)</f>
        <v>1575240</v>
      </c>
      <c r="G169" s="2" t="s">
        <v>3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IFERROR(__xludf.DUMMYFUNCTION("""COMPUTED_VALUE"""),72.63)</f>
        <v>72.63</v>
      </c>
      <c r="C170" s="1">
        <f>IFERROR(__xludf.DUMMYFUNCTION("""COMPUTED_VALUE"""),73.76)</f>
        <v>73.76</v>
      </c>
      <c r="D170" s="1">
        <f>IFERROR(__xludf.DUMMYFUNCTION("""COMPUTED_VALUE"""),72.06)</f>
        <v>72.06</v>
      </c>
      <c r="E170" s="1">
        <f>IFERROR(__xludf.DUMMYFUNCTION("""COMPUTED_VALUE"""),73.51)</f>
        <v>73.51</v>
      </c>
      <c r="F170" s="1">
        <f>IFERROR(__xludf.DUMMYFUNCTION("""COMPUTED_VALUE"""),1128919.0)</f>
        <v>1128919</v>
      </c>
      <c r="G170" s="2" t="s">
        <v>3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IFERROR(__xludf.DUMMYFUNCTION("""COMPUTED_VALUE"""),73.83)</f>
        <v>73.83</v>
      </c>
      <c r="C171" s="1">
        <f>IFERROR(__xludf.DUMMYFUNCTION("""COMPUTED_VALUE"""),75.25)</f>
        <v>75.25</v>
      </c>
      <c r="D171" s="1">
        <f>IFERROR(__xludf.DUMMYFUNCTION("""COMPUTED_VALUE"""),73.38)</f>
        <v>73.38</v>
      </c>
      <c r="E171" s="1">
        <f>IFERROR(__xludf.DUMMYFUNCTION("""COMPUTED_VALUE"""),73.81)</f>
        <v>73.81</v>
      </c>
      <c r="F171" s="1">
        <f>IFERROR(__xludf.DUMMYFUNCTION("""COMPUTED_VALUE"""),1004060.0)</f>
        <v>1004060</v>
      </c>
      <c r="G171" s="2" t="s">
        <v>3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IFERROR(__xludf.DUMMYFUNCTION("""COMPUTED_VALUE"""),74.55)</f>
        <v>74.55</v>
      </c>
      <c r="C172" s="1">
        <f>IFERROR(__xludf.DUMMYFUNCTION("""COMPUTED_VALUE"""),75.09)</f>
        <v>75.09</v>
      </c>
      <c r="D172" s="1">
        <f>IFERROR(__xludf.DUMMYFUNCTION("""COMPUTED_VALUE"""),73.28)</f>
        <v>73.28</v>
      </c>
      <c r="E172" s="1">
        <f>IFERROR(__xludf.DUMMYFUNCTION("""COMPUTED_VALUE"""),73.47)</f>
        <v>73.47</v>
      </c>
      <c r="F172" s="1">
        <f>IFERROR(__xludf.DUMMYFUNCTION("""COMPUTED_VALUE"""),1477983.0)</f>
        <v>1477983</v>
      </c>
      <c r="G172" s="2" t="s">
        <v>3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IFERROR(__xludf.DUMMYFUNCTION("""COMPUTED_VALUE"""),72.9)</f>
        <v>72.9</v>
      </c>
      <c r="C173" s="1">
        <f>IFERROR(__xludf.DUMMYFUNCTION("""COMPUTED_VALUE"""),73.15)</f>
        <v>73.15</v>
      </c>
      <c r="D173" s="1">
        <f>IFERROR(__xludf.DUMMYFUNCTION("""COMPUTED_VALUE"""),72.08)</f>
        <v>72.08</v>
      </c>
      <c r="E173" s="1">
        <f>IFERROR(__xludf.DUMMYFUNCTION("""COMPUTED_VALUE"""),72.81)</f>
        <v>72.81</v>
      </c>
      <c r="F173" s="1">
        <f>IFERROR(__xludf.DUMMYFUNCTION("""COMPUTED_VALUE"""),1208840.0)</f>
        <v>1208840</v>
      </c>
      <c r="G173" s="2" t="s">
        <v>3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IFERROR(__xludf.DUMMYFUNCTION("""COMPUTED_VALUE"""),73.7)</f>
        <v>73.7</v>
      </c>
      <c r="C174" s="1">
        <f>IFERROR(__xludf.DUMMYFUNCTION("""COMPUTED_VALUE"""),75.41)</f>
        <v>75.41</v>
      </c>
      <c r="D174" s="1">
        <f>IFERROR(__xludf.DUMMYFUNCTION("""COMPUTED_VALUE"""),72.96)</f>
        <v>72.96</v>
      </c>
      <c r="E174" s="1">
        <f>IFERROR(__xludf.DUMMYFUNCTION("""COMPUTED_VALUE"""),75.11)</f>
        <v>75.11</v>
      </c>
      <c r="F174" s="1">
        <f>IFERROR(__xludf.DUMMYFUNCTION("""COMPUTED_VALUE"""),1267300.0)</f>
        <v>1267300</v>
      </c>
      <c r="G174" s="2" t="s">
        <v>3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IFERROR(__xludf.DUMMYFUNCTION("""COMPUTED_VALUE"""),72.35)</f>
        <v>72.35</v>
      </c>
      <c r="C175" s="1">
        <f>IFERROR(__xludf.DUMMYFUNCTION("""COMPUTED_VALUE"""),73.13)</f>
        <v>73.13</v>
      </c>
      <c r="D175" s="1">
        <f>IFERROR(__xludf.DUMMYFUNCTION("""COMPUTED_VALUE"""),72.04)</f>
        <v>72.04</v>
      </c>
      <c r="E175" s="1">
        <f>IFERROR(__xludf.DUMMYFUNCTION("""COMPUTED_VALUE"""),72.44)</f>
        <v>72.44</v>
      </c>
      <c r="F175" s="1">
        <f>IFERROR(__xludf.DUMMYFUNCTION("""COMPUTED_VALUE"""),1731330.0)</f>
        <v>1731330</v>
      </c>
      <c r="G175" s="2" t="s">
        <v>3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IFERROR(__xludf.DUMMYFUNCTION("""COMPUTED_VALUE"""),72.7)</f>
        <v>72.7</v>
      </c>
      <c r="C176" s="1">
        <f>IFERROR(__xludf.DUMMYFUNCTION("""COMPUTED_VALUE"""),73.97)</f>
        <v>73.97</v>
      </c>
      <c r="D176" s="1">
        <f>IFERROR(__xludf.DUMMYFUNCTION("""COMPUTED_VALUE"""),72.54)</f>
        <v>72.54</v>
      </c>
      <c r="E176" s="1">
        <f>IFERROR(__xludf.DUMMYFUNCTION("""COMPUTED_VALUE"""),72.82)</f>
        <v>72.82</v>
      </c>
      <c r="F176" s="1">
        <f>IFERROR(__xludf.DUMMYFUNCTION("""COMPUTED_VALUE"""),1607465.0)</f>
        <v>1607465</v>
      </c>
      <c r="G176" s="2" t="s">
        <v>3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IFERROR(__xludf.DUMMYFUNCTION("""COMPUTED_VALUE"""),72.1)</f>
        <v>72.1</v>
      </c>
      <c r="C177" s="1">
        <f>IFERROR(__xludf.DUMMYFUNCTION("""COMPUTED_VALUE"""),74.37)</f>
        <v>74.37</v>
      </c>
      <c r="D177" s="1">
        <f>IFERROR(__xludf.DUMMYFUNCTION("""COMPUTED_VALUE"""),72.1)</f>
        <v>72.1</v>
      </c>
      <c r="E177" s="1">
        <f>IFERROR(__xludf.DUMMYFUNCTION("""COMPUTED_VALUE"""),74.07)</f>
        <v>74.07</v>
      </c>
      <c r="F177" s="1">
        <f>IFERROR(__xludf.DUMMYFUNCTION("""COMPUTED_VALUE"""),1083337.0)</f>
        <v>1083337</v>
      </c>
      <c r="G177" s="2" t="s">
        <v>3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IFERROR(__xludf.DUMMYFUNCTION("""COMPUTED_VALUE"""),74.14)</f>
        <v>74.14</v>
      </c>
      <c r="C178" s="1">
        <f>IFERROR(__xludf.DUMMYFUNCTION("""COMPUTED_VALUE"""),74.44)</f>
        <v>74.44</v>
      </c>
      <c r="D178" s="1">
        <f>IFERROR(__xludf.DUMMYFUNCTION("""COMPUTED_VALUE"""),72.24)</f>
        <v>72.24</v>
      </c>
      <c r="E178" s="1">
        <f>IFERROR(__xludf.DUMMYFUNCTION("""COMPUTED_VALUE"""),72.95)</f>
        <v>72.95</v>
      </c>
      <c r="F178" s="1">
        <f>IFERROR(__xludf.DUMMYFUNCTION("""COMPUTED_VALUE"""),1076804.0)</f>
        <v>1076804</v>
      </c>
      <c r="G178" s="2" t="s">
        <v>3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IFERROR(__xludf.DUMMYFUNCTION("""COMPUTED_VALUE"""),73.09)</f>
        <v>73.09</v>
      </c>
      <c r="C179" s="1">
        <f>IFERROR(__xludf.DUMMYFUNCTION("""COMPUTED_VALUE"""),74.76)</f>
        <v>74.76</v>
      </c>
      <c r="D179" s="1">
        <f>IFERROR(__xludf.DUMMYFUNCTION("""COMPUTED_VALUE"""),73.06)</f>
        <v>73.06</v>
      </c>
      <c r="E179" s="1">
        <f>IFERROR(__xludf.DUMMYFUNCTION("""COMPUTED_VALUE"""),73.51)</f>
        <v>73.51</v>
      </c>
      <c r="F179" s="1">
        <f>IFERROR(__xludf.DUMMYFUNCTION("""COMPUTED_VALUE"""),1288559.0)</f>
        <v>1288559</v>
      </c>
      <c r="G179" s="2" t="s">
        <v>3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IFERROR(__xludf.DUMMYFUNCTION("""COMPUTED_VALUE"""),74.21)</f>
        <v>74.21</v>
      </c>
      <c r="C180" s="1">
        <f>IFERROR(__xludf.DUMMYFUNCTION("""COMPUTED_VALUE"""),75.99)</f>
        <v>75.99</v>
      </c>
      <c r="D180" s="1">
        <f>IFERROR(__xludf.DUMMYFUNCTION("""COMPUTED_VALUE"""),74.21)</f>
        <v>74.21</v>
      </c>
      <c r="E180" s="1">
        <f>IFERROR(__xludf.DUMMYFUNCTION("""COMPUTED_VALUE"""),75.78)</f>
        <v>75.78</v>
      </c>
      <c r="F180" s="1">
        <f>IFERROR(__xludf.DUMMYFUNCTION("""COMPUTED_VALUE"""),1712412.0)</f>
        <v>1712412</v>
      </c>
      <c r="G180" s="2" t="s">
        <v>3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IFERROR(__xludf.DUMMYFUNCTION("""COMPUTED_VALUE"""),75.88)</f>
        <v>75.88</v>
      </c>
      <c r="C181" s="1">
        <f>IFERROR(__xludf.DUMMYFUNCTION("""COMPUTED_VALUE"""),76.72)</f>
        <v>76.72</v>
      </c>
      <c r="D181" s="1">
        <f>IFERROR(__xludf.DUMMYFUNCTION("""COMPUTED_VALUE"""),74.66)</f>
        <v>74.66</v>
      </c>
      <c r="E181" s="1">
        <f>IFERROR(__xludf.DUMMYFUNCTION("""COMPUTED_VALUE"""),74.86)</f>
        <v>74.86</v>
      </c>
      <c r="F181" s="1">
        <f>IFERROR(__xludf.DUMMYFUNCTION("""COMPUTED_VALUE"""),1105326.0)</f>
        <v>1105326</v>
      </c>
      <c r="G181" s="2" t="s">
        <v>3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IFERROR(__xludf.DUMMYFUNCTION("""COMPUTED_VALUE"""),74.6)</f>
        <v>74.6</v>
      </c>
      <c r="C182" s="1">
        <f>IFERROR(__xludf.DUMMYFUNCTION("""COMPUTED_VALUE"""),75.26)</f>
        <v>75.26</v>
      </c>
      <c r="D182" s="1">
        <f>IFERROR(__xludf.DUMMYFUNCTION("""COMPUTED_VALUE"""),73.88)</f>
        <v>73.88</v>
      </c>
      <c r="E182" s="1">
        <f>IFERROR(__xludf.DUMMYFUNCTION("""COMPUTED_VALUE"""),74.65)</f>
        <v>74.65</v>
      </c>
      <c r="F182" s="1">
        <f>IFERROR(__xludf.DUMMYFUNCTION("""COMPUTED_VALUE"""),1236289.0)</f>
        <v>1236289</v>
      </c>
      <c r="G182" s="2" t="s">
        <v>3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IFERROR(__xludf.DUMMYFUNCTION("""COMPUTED_VALUE"""),74.97)</f>
        <v>74.97</v>
      </c>
      <c r="C183" s="1">
        <f>IFERROR(__xludf.DUMMYFUNCTION("""COMPUTED_VALUE"""),75.5)</f>
        <v>75.5</v>
      </c>
      <c r="D183" s="1">
        <f>IFERROR(__xludf.DUMMYFUNCTION("""COMPUTED_VALUE"""),73.86)</f>
        <v>73.86</v>
      </c>
      <c r="E183" s="1">
        <f>IFERROR(__xludf.DUMMYFUNCTION("""COMPUTED_VALUE"""),74.68)</f>
        <v>74.68</v>
      </c>
      <c r="F183" s="1">
        <f>IFERROR(__xludf.DUMMYFUNCTION("""COMPUTED_VALUE"""),953732.0)</f>
        <v>953732</v>
      </c>
      <c r="G183" s="2" t="s">
        <v>3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IFERROR(__xludf.DUMMYFUNCTION("""COMPUTED_VALUE"""),73.94)</f>
        <v>73.94</v>
      </c>
      <c r="C184" s="1">
        <f>IFERROR(__xludf.DUMMYFUNCTION("""COMPUTED_VALUE"""),74.51)</f>
        <v>74.51</v>
      </c>
      <c r="D184" s="1">
        <f>IFERROR(__xludf.DUMMYFUNCTION("""COMPUTED_VALUE"""),72.75)</f>
        <v>72.75</v>
      </c>
      <c r="E184" s="1">
        <f>IFERROR(__xludf.DUMMYFUNCTION("""COMPUTED_VALUE"""),74.39)</f>
        <v>74.39</v>
      </c>
      <c r="F184" s="1">
        <f>IFERROR(__xludf.DUMMYFUNCTION("""COMPUTED_VALUE"""),2297547.0)</f>
        <v>2297547</v>
      </c>
      <c r="G184" s="2" t="s">
        <v>3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IFERROR(__xludf.DUMMYFUNCTION("""COMPUTED_VALUE"""),74.54)</f>
        <v>74.54</v>
      </c>
      <c r="C185" s="1">
        <f>IFERROR(__xludf.DUMMYFUNCTION("""COMPUTED_VALUE"""),76.09)</f>
        <v>76.09</v>
      </c>
      <c r="D185" s="1">
        <f>IFERROR(__xludf.DUMMYFUNCTION("""COMPUTED_VALUE"""),73.83)</f>
        <v>73.83</v>
      </c>
      <c r="E185" s="1">
        <f>IFERROR(__xludf.DUMMYFUNCTION("""COMPUTED_VALUE"""),75.7)</f>
        <v>75.7</v>
      </c>
      <c r="F185" s="1">
        <f>IFERROR(__xludf.DUMMYFUNCTION("""COMPUTED_VALUE"""),857539.0)</f>
        <v>857539</v>
      </c>
      <c r="G185" s="2" t="s">
        <v>3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IFERROR(__xludf.DUMMYFUNCTION("""COMPUTED_VALUE"""),75.84)</f>
        <v>75.84</v>
      </c>
      <c r="C186" s="1">
        <f>IFERROR(__xludf.DUMMYFUNCTION("""COMPUTED_VALUE"""),76.84)</f>
        <v>76.84</v>
      </c>
      <c r="D186" s="1">
        <f>IFERROR(__xludf.DUMMYFUNCTION("""COMPUTED_VALUE"""),74.57)</f>
        <v>74.57</v>
      </c>
      <c r="E186" s="1">
        <f>IFERROR(__xludf.DUMMYFUNCTION("""COMPUTED_VALUE"""),75.07)</f>
        <v>75.07</v>
      </c>
      <c r="F186" s="1">
        <f>IFERROR(__xludf.DUMMYFUNCTION("""COMPUTED_VALUE"""),1112949.0)</f>
        <v>1112949</v>
      </c>
      <c r="G186" s="2" t="s">
        <v>3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IFERROR(__xludf.DUMMYFUNCTION("""COMPUTED_VALUE"""),74.3)</f>
        <v>74.3</v>
      </c>
      <c r="C187" s="1">
        <f>IFERROR(__xludf.DUMMYFUNCTION("""COMPUTED_VALUE"""),75.31)</f>
        <v>75.31</v>
      </c>
      <c r="D187" s="1">
        <f>IFERROR(__xludf.DUMMYFUNCTION("""COMPUTED_VALUE"""),73.46)</f>
        <v>73.46</v>
      </c>
      <c r="E187" s="1">
        <f>IFERROR(__xludf.DUMMYFUNCTION("""COMPUTED_VALUE"""),75.25)</f>
        <v>75.25</v>
      </c>
      <c r="F187" s="1">
        <f>IFERROR(__xludf.DUMMYFUNCTION("""COMPUTED_VALUE"""),764182.0)</f>
        <v>764182</v>
      </c>
      <c r="G187" s="2" t="s">
        <v>3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IFERROR(__xludf.DUMMYFUNCTION("""COMPUTED_VALUE"""),73.97)</f>
        <v>73.97</v>
      </c>
      <c r="C188" s="1">
        <f>IFERROR(__xludf.DUMMYFUNCTION("""COMPUTED_VALUE"""),75.05)</f>
        <v>75.05</v>
      </c>
      <c r="D188" s="1">
        <f>IFERROR(__xludf.DUMMYFUNCTION("""COMPUTED_VALUE"""),73.63)</f>
        <v>73.63</v>
      </c>
      <c r="E188" s="1">
        <f>IFERROR(__xludf.DUMMYFUNCTION("""COMPUTED_VALUE"""),74.17)</f>
        <v>74.17</v>
      </c>
      <c r="F188" s="1">
        <f>IFERROR(__xludf.DUMMYFUNCTION("""COMPUTED_VALUE"""),1008044.0)</f>
        <v>1008044</v>
      </c>
      <c r="G188" s="2" t="s">
        <v>3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IFERROR(__xludf.DUMMYFUNCTION("""COMPUTED_VALUE"""),74.25)</f>
        <v>74.25</v>
      </c>
      <c r="C189" s="1">
        <f>IFERROR(__xludf.DUMMYFUNCTION("""COMPUTED_VALUE"""),74.25)</f>
        <v>74.25</v>
      </c>
      <c r="D189" s="1">
        <f>IFERROR(__xludf.DUMMYFUNCTION("""COMPUTED_VALUE"""),71.12)</f>
        <v>71.12</v>
      </c>
      <c r="E189" s="1">
        <f>IFERROR(__xludf.DUMMYFUNCTION("""COMPUTED_VALUE"""),71.38)</f>
        <v>71.38</v>
      </c>
      <c r="F189" s="1">
        <f>IFERROR(__xludf.DUMMYFUNCTION("""COMPUTED_VALUE"""),1859501.0)</f>
        <v>1859501</v>
      </c>
      <c r="G189" s="2" t="s">
        <v>3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IFERROR(__xludf.DUMMYFUNCTION("""COMPUTED_VALUE"""),70.88)</f>
        <v>70.88</v>
      </c>
      <c r="C190" s="1">
        <f>IFERROR(__xludf.DUMMYFUNCTION("""COMPUTED_VALUE"""),73.25)</f>
        <v>73.25</v>
      </c>
      <c r="D190" s="1">
        <f>IFERROR(__xludf.DUMMYFUNCTION("""COMPUTED_VALUE"""),70.59)</f>
        <v>70.59</v>
      </c>
      <c r="E190" s="1">
        <f>IFERROR(__xludf.DUMMYFUNCTION("""COMPUTED_VALUE"""),72.16)</f>
        <v>72.16</v>
      </c>
      <c r="F190" s="1">
        <f>IFERROR(__xludf.DUMMYFUNCTION("""COMPUTED_VALUE"""),1293187.0)</f>
        <v>1293187</v>
      </c>
      <c r="G190" s="2" t="s">
        <v>3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IFERROR(__xludf.DUMMYFUNCTION("""COMPUTED_VALUE"""),73.16)</f>
        <v>73.16</v>
      </c>
      <c r="C191" s="1">
        <f>IFERROR(__xludf.DUMMYFUNCTION("""COMPUTED_VALUE"""),73.66)</f>
        <v>73.66</v>
      </c>
      <c r="D191" s="1">
        <f>IFERROR(__xludf.DUMMYFUNCTION("""COMPUTED_VALUE"""),71.54)</f>
        <v>71.54</v>
      </c>
      <c r="E191" s="1">
        <f>IFERROR(__xludf.DUMMYFUNCTION("""COMPUTED_VALUE"""),71.76)</f>
        <v>71.76</v>
      </c>
      <c r="F191" s="1">
        <f>IFERROR(__xludf.DUMMYFUNCTION("""COMPUTED_VALUE"""),1268460.0)</f>
        <v>1268460</v>
      </c>
      <c r="G191" s="2" t="s">
        <v>3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IFERROR(__xludf.DUMMYFUNCTION("""COMPUTED_VALUE"""),70.85)</f>
        <v>70.85</v>
      </c>
      <c r="C192" s="1">
        <f>IFERROR(__xludf.DUMMYFUNCTION("""COMPUTED_VALUE"""),71.96)</f>
        <v>71.96</v>
      </c>
      <c r="D192" s="1">
        <f>IFERROR(__xludf.DUMMYFUNCTION("""COMPUTED_VALUE"""),70.25)</f>
        <v>70.25</v>
      </c>
      <c r="E192" s="1">
        <f>IFERROR(__xludf.DUMMYFUNCTION("""COMPUTED_VALUE"""),71.58)</f>
        <v>71.58</v>
      </c>
      <c r="F192" s="1">
        <f>IFERROR(__xludf.DUMMYFUNCTION("""COMPUTED_VALUE"""),1543235.0)</f>
        <v>1543235</v>
      </c>
      <c r="G192" s="2" t="s">
        <v>3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IFERROR(__xludf.DUMMYFUNCTION("""COMPUTED_VALUE"""),71.8)</f>
        <v>71.8</v>
      </c>
      <c r="C193" s="1">
        <f>IFERROR(__xludf.DUMMYFUNCTION("""COMPUTED_VALUE"""),71.82)</f>
        <v>71.82</v>
      </c>
      <c r="D193" s="1">
        <f>IFERROR(__xludf.DUMMYFUNCTION("""COMPUTED_VALUE"""),68.44)</f>
        <v>68.44</v>
      </c>
      <c r="E193" s="1">
        <f>IFERROR(__xludf.DUMMYFUNCTION("""COMPUTED_VALUE"""),69.13)</f>
        <v>69.13</v>
      </c>
      <c r="F193" s="1">
        <f>IFERROR(__xludf.DUMMYFUNCTION("""COMPUTED_VALUE"""),2356566.0)</f>
        <v>2356566</v>
      </c>
      <c r="G193" s="2" t="s">
        <v>3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IFERROR(__xludf.DUMMYFUNCTION("""COMPUTED_VALUE"""),69.83)</f>
        <v>69.83</v>
      </c>
      <c r="C194" s="1">
        <f>IFERROR(__xludf.DUMMYFUNCTION("""COMPUTED_VALUE"""),70.51)</f>
        <v>70.51</v>
      </c>
      <c r="D194" s="1">
        <f>IFERROR(__xludf.DUMMYFUNCTION("""COMPUTED_VALUE"""),68.78)</f>
        <v>68.78</v>
      </c>
      <c r="E194" s="1">
        <f>IFERROR(__xludf.DUMMYFUNCTION("""COMPUTED_VALUE"""),69.99)</f>
        <v>69.99</v>
      </c>
      <c r="F194" s="1">
        <f>IFERROR(__xludf.DUMMYFUNCTION("""COMPUTED_VALUE"""),1693045.0)</f>
        <v>1693045</v>
      </c>
      <c r="G194" s="2" t="s">
        <v>3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IFERROR(__xludf.DUMMYFUNCTION("""COMPUTED_VALUE"""),69.59)</f>
        <v>69.59</v>
      </c>
      <c r="C195" s="1">
        <f>IFERROR(__xludf.DUMMYFUNCTION("""COMPUTED_VALUE"""),71.14)</f>
        <v>71.14</v>
      </c>
      <c r="D195" s="1">
        <f>IFERROR(__xludf.DUMMYFUNCTION("""COMPUTED_VALUE"""),68.61)</f>
        <v>68.61</v>
      </c>
      <c r="E195" s="1">
        <f>IFERROR(__xludf.DUMMYFUNCTION("""COMPUTED_VALUE"""),70.73)</f>
        <v>70.73</v>
      </c>
      <c r="F195" s="1">
        <f>IFERROR(__xludf.DUMMYFUNCTION("""COMPUTED_VALUE"""),1062248.0)</f>
        <v>1062248</v>
      </c>
      <c r="G195" s="2" t="s">
        <v>3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IFERROR(__xludf.DUMMYFUNCTION("""COMPUTED_VALUE"""),72.0)</f>
        <v>72</v>
      </c>
      <c r="C196" s="1">
        <f>IFERROR(__xludf.DUMMYFUNCTION("""COMPUTED_VALUE"""),73.01)</f>
        <v>73.01</v>
      </c>
      <c r="D196" s="1">
        <f>IFERROR(__xludf.DUMMYFUNCTION("""COMPUTED_VALUE"""),71.6)</f>
        <v>71.6</v>
      </c>
      <c r="E196" s="1">
        <f>IFERROR(__xludf.DUMMYFUNCTION("""COMPUTED_VALUE"""),72.85)</f>
        <v>72.85</v>
      </c>
      <c r="F196" s="1">
        <f>IFERROR(__xludf.DUMMYFUNCTION("""COMPUTED_VALUE"""),1105266.0)</f>
        <v>1105266</v>
      </c>
      <c r="G196" s="2" t="s">
        <v>3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IFERROR(__xludf.DUMMYFUNCTION("""COMPUTED_VALUE"""),72.59)</f>
        <v>72.59</v>
      </c>
      <c r="C197" s="1">
        <f>IFERROR(__xludf.DUMMYFUNCTION("""COMPUTED_VALUE"""),72.59)</f>
        <v>72.59</v>
      </c>
      <c r="D197" s="1">
        <f>IFERROR(__xludf.DUMMYFUNCTION("""COMPUTED_VALUE"""),70.64)</f>
        <v>70.64</v>
      </c>
      <c r="E197" s="1">
        <f>IFERROR(__xludf.DUMMYFUNCTION("""COMPUTED_VALUE"""),71.47)</f>
        <v>71.47</v>
      </c>
      <c r="F197" s="1">
        <f>IFERROR(__xludf.DUMMYFUNCTION("""COMPUTED_VALUE"""),1540008.0)</f>
        <v>1540008</v>
      </c>
      <c r="G197" s="2" t="s">
        <v>3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IFERROR(__xludf.DUMMYFUNCTION("""COMPUTED_VALUE"""),72.12)</f>
        <v>72.12</v>
      </c>
      <c r="C198" s="1">
        <f>IFERROR(__xludf.DUMMYFUNCTION("""COMPUTED_VALUE"""),72.95)</f>
        <v>72.95</v>
      </c>
      <c r="D198" s="1">
        <f>IFERROR(__xludf.DUMMYFUNCTION("""COMPUTED_VALUE"""),71.61)</f>
        <v>71.61</v>
      </c>
      <c r="E198" s="1">
        <f>IFERROR(__xludf.DUMMYFUNCTION("""COMPUTED_VALUE"""),71.97)</f>
        <v>71.97</v>
      </c>
      <c r="F198" s="1">
        <f>IFERROR(__xludf.DUMMYFUNCTION("""COMPUTED_VALUE"""),913379.0)</f>
        <v>913379</v>
      </c>
      <c r="G198" s="2" t="s">
        <v>3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IFERROR(__xludf.DUMMYFUNCTION("""COMPUTED_VALUE"""),71.78)</f>
        <v>71.78</v>
      </c>
      <c r="C199" s="1">
        <f>IFERROR(__xludf.DUMMYFUNCTION("""COMPUTED_VALUE"""),72.67)</f>
        <v>72.67</v>
      </c>
      <c r="D199" s="1">
        <f>IFERROR(__xludf.DUMMYFUNCTION("""COMPUTED_VALUE"""),71.47)</f>
        <v>71.47</v>
      </c>
      <c r="E199" s="1">
        <f>IFERROR(__xludf.DUMMYFUNCTION("""COMPUTED_VALUE"""),71.7)</f>
        <v>71.7</v>
      </c>
      <c r="F199" s="1">
        <f>IFERROR(__xludf.DUMMYFUNCTION("""COMPUTED_VALUE"""),745376.0)</f>
        <v>745376</v>
      </c>
      <c r="G199" s="2" t="s">
        <v>3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IFERROR(__xludf.DUMMYFUNCTION("""COMPUTED_VALUE"""),70.6)</f>
        <v>70.6</v>
      </c>
      <c r="C200" s="1">
        <f>IFERROR(__xludf.DUMMYFUNCTION("""COMPUTED_VALUE"""),72.98)</f>
        <v>72.98</v>
      </c>
      <c r="D200" s="1">
        <f>IFERROR(__xludf.DUMMYFUNCTION("""COMPUTED_VALUE"""),70.55)</f>
        <v>70.55</v>
      </c>
      <c r="E200" s="1">
        <f>IFERROR(__xludf.DUMMYFUNCTION("""COMPUTED_VALUE"""),72.03)</f>
        <v>72.03</v>
      </c>
      <c r="F200" s="1">
        <f>IFERROR(__xludf.DUMMYFUNCTION("""COMPUTED_VALUE"""),1402943.0)</f>
        <v>1402943</v>
      </c>
      <c r="G200" s="2" t="s">
        <v>3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IFERROR(__xludf.DUMMYFUNCTION("""COMPUTED_VALUE"""),71.61)</f>
        <v>71.61</v>
      </c>
      <c r="C201" s="1">
        <f>IFERROR(__xludf.DUMMYFUNCTION("""COMPUTED_VALUE"""),72.38)</f>
        <v>72.38</v>
      </c>
      <c r="D201" s="1">
        <f>IFERROR(__xludf.DUMMYFUNCTION("""COMPUTED_VALUE"""),70.3)</f>
        <v>70.3</v>
      </c>
      <c r="E201" s="1">
        <f>IFERROR(__xludf.DUMMYFUNCTION("""COMPUTED_VALUE"""),72.38)</f>
        <v>72.38</v>
      </c>
      <c r="F201" s="1">
        <f>IFERROR(__xludf.DUMMYFUNCTION("""COMPUTED_VALUE"""),1175295.0)</f>
        <v>1175295</v>
      </c>
      <c r="G201" s="2" t="s">
        <v>3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IFERROR(__xludf.DUMMYFUNCTION("""COMPUTED_VALUE"""),72.34)</f>
        <v>72.34</v>
      </c>
      <c r="C202" s="1">
        <f>IFERROR(__xludf.DUMMYFUNCTION("""COMPUTED_VALUE"""),73.34)</f>
        <v>73.34</v>
      </c>
      <c r="D202" s="1">
        <f>IFERROR(__xludf.DUMMYFUNCTION("""COMPUTED_VALUE"""),71.43)</f>
        <v>71.43</v>
      </c>
      <c r="E202" s="1">
        <f>IFERROR(__xludf.DUMMYFUNCTION("""COMPUTED_VALUE"""),73.17)</f>
        <v>73.17</v>
      </c>
      <c r="F202" s="1">
        <f>IFERROR(__xludf.DUMMYFUNCTION("""COMPUTED_VALUE"""),1188223.0)</f>
        <v>1188223</v>
      </c>
      <c r="G202" s="2" t="s">
        <v>3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IFERROR(__xludf.DUMMYFUNCTION("""COMPUTED_VALUE"""),72.88)</f>
        <v>72.88</v>
      </c>
      <c r="C203" s="1">
        <f>IFERROR(__xludf.DUMMYFUNCTION("""COMPUTED_VALUE"""),74.51)</f>
        <v>74.51</v>
      </c>
      <c r="D203" s="1">
        <f>IFERROR(__xludf.DUMMYFUNCTION("""COMPUTED_VALUE"""),72.19)</f>
        <v>72.19</v>
      </c>
      <c r="E203" s="1">
        <f>IFERROR(__xludf.DUMMYFUNCTION("""COMPUTED_VALUE"""),74.24)</f>
        <v>74.24</v>
      </c>
      <c r="F203" s="1">
        <f>IFERROR(__xludf.DUMMYFUNCTION("""COMPUTED_VALUE"""),1410582.0)</f>
        <v>1410582</v>
      </c>
      <c r="G203" s="2" t="s">
        <v>3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IFERROR(__xludf.DUMMYFUNCTION("""COMPUTED_VALUE"""),75.56)</f>
        <v>75.56</v>
      </c>
      <c r="C204" s="1">
        <f>IFERROR(__xludf.DUMMYFUNCTION("""COMPUTED_VALUE"""),76.05)</f>
        <v>76.05</v>
      </c>
      <c r="D204" s="1">
        <f>IFERROR(__xludf.DUMMYFUNCTION("""COMPUTED_VALUE"""),74.42)</f>
        <v>74.42</v>
      </c>
      <c r="E204" s="1">
        <f>IFERROR(__xludf.DUMMYFUNCTION("""COMPUTED_VALUE"""),75.02)</f>
        <v>75.02</v>
      </c>
      <c r="F204" s="1">
        <f>IFERROR(__xludf.DUMMYFUNCTION("""COMPUTED_VALUE"""),1123755.0)</f>
        <v>1123755</v>
      </c>
      <c r="G204" s="2" t="s">
        <v>3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IFERROR(__xludf.DUMMYFUNCTION("""COMPUTED_VALUE"""),75.11)</f>
        <v>75.11</v>
      </c>
      <c r="C205" s="1">
        <f>IFERROR(__xludf.DUMMYFUNCTION("""COMPUTED_VALUE"""),76.99)</f>
        <v>76.99</v>
      </c>
      <c r="D205" s="1">
        <f>IFERROR(__xludf.DUMMYFUNCTION("""COMPUTED_VALUE"""),74.8)</f>
        <v>74.8</v>
      </c>
      <c r="E205" s="1">
        <f>IFERROR(__xludf.DUMMYFUNCTION("""COMPUTED_VALUE"""),76.53)</f>
        <v>76.53</v>
      </c>
      <c r="F205" s="1">
        <f>IFERROR(__xludf.DUMMYFUNCTION("""COMPUTED_VALUE"""),957252.0)</f>
        <v>957252</v>
      </c>
      <c r="G205" s="2" t="s">
        <v>3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IFERROR(__xludf.DUMMYFUNCTION("""COMPUTED_VALUE"""),77.0)</f>
        <v>77</v>
      </c>
      <c r="C206" s="1">
        <f>IFERROR(__xludf.DUMMYFUNCTION("""COMPUTED_VALUE"""),78.86)</f>
        <v>78.86</v>
      </c>
      <c r="D206" s="1">
        <f>IFERROR(__xludf.DUMMYFUNCTION("""COMPUTED_VALUE"""),76.5)</f>
        <v>76.5</v>
      </c>
      <c r="E206" s="1">
        <f>IFERROR(__xludf.DUMMYFUNCTION("""COMPUTED_VALUE"""),77.62)</f>
        <v>77.62</v>
      </c>
      <c r="F206" s="1">
        <f>IFERROR(__xludf.DUMMYFUNCTION("""COMPUTED_VALUE"""),1347975.0)</f>
        <v>1347975</v>
      </c>
      <c r="G206" s="2" t="s">
        <v>3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IFERROR(__xludf.DUMMYFUNCTION("""COMPUTED_VALUE"""),78.26)</f>
        <v>78.26</v>
      </c>
      <c r="C207" s="1">
        <f>IFERROR(__xludf.DUMMYFUNCTION("""COMPUTED_VALUE"""),78.64)</f>
        <v>78.64</v>
      </c>
      <c r="D207" s="1">
        <f>IFERROR(__xludf.DUMMYFUNCTION("""COMPUTED_VALUE"""),77.15)</f>
        <v>77.15</v>
      </c>
      <c r="E207" s="1">
        <f>IFERROR(__xludf.DUMMYFUNCTION("""COMPUTED_VALUE"""),77.66)</f>
        <v>77.66</v>
      </c>
      <c r="F207" s="1">
        <f>IFERROR(__xludf.DUMMYFUNCTION("""COMPUTED_VALUE"""),924802.0)</f>
        <v>924802</v>
      </c>
      <c r="G207" s="2" t="s">
        <v>3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IFERROR(__xludf.DUMMYFUNCTION("""COMPUTED_VALUE"""),77.5)</f>
        <v>77.5</v>
      </c>
      <c r="C208" s="1">
        <f>IFERROR(__xludf.DUMMYFUNCTION("""COMPUTED_VALUE"""),78.4)</f>
        <v>78.4</v>
      </c>
      <c r="D208" s="1">
        <f>IFERROR(__xludf.DUMMYFUNCTION("""COMPUTED_VALUE"""),76.83)</f>
        <v>76.83</v>
      </c>
      <c r="E208" s="1">
        <f>IFERROR(__xludf.DUMMYFUNCTION("""COMPUTED_VALUE"""),77.53)</f>
        <v>77.53</v>
      </c>
      <c r="F208" s="1">
        <f>IFERROR(__xludf.DUMMYFUNCTION("""COMPUTED_VALUE"""),1016645.0)</f>
        <v>1016645</v>
      </c>
      <c r="G208" s="2" t="s">
        <v>3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IFERROR(__xludf.DUMMYFUNCTION("""COMPUTED_VALUE"""),77.0)</f>
        <v>77</v>
      </c>
      <c r="C209" s="1">
        <f>IFERROR(__xludf.DUMMYFUNCTION("""COMPUTED_VALUE"""),77.6)</f>
        <v>77.6</v>
      </c>
      <c r="D209" s="1">
        <f>IFERROR(__xludf.DUMMYFUNCTION("""COMPUTED_VALUE"""),76.33)</f>
        <v>76.33</v>
      </c>
      <c r="E209" s="1">
        <f>IFERROR(__xludf.DUMMYFUNCTION("""COMPUTED_VALUE"""),77.43)</f>
        <v>77.43</v>
      </c>
      <c r="F209" s="1">
        <f>IFERROR(__xludf.DUMMYFUNCTION("""COMPUTED_VALUE"""),1618320.0)</f>
        <v>1618320</v>
      </c>
      <c r="G209" s="2" t="s">
        <v>3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IFERROR(__xludf.DUMMYFUNCTION("""COMPUTED_VALUE"""),77.99)</f>
        <v>77.99</v>
      </c>
      <c r="C210" s="1">
        <f>IFERROR(__xludf.DUMMYFUNCTION("""COMPUTED_VALUE"""),78.66)</f>
        <v>78.66</v>
      </c>
      <c r="D210" s="1">
        <f>IFERROR(__xludf.DUMMYFUNCTION("""COMPUTED_VALUE"""),75.74)</f>
        <v>75.74</v>
      </c>
      <c r="E210" s="1">
        <f>IFERROR(__xludf.DUMMYFUNCTION("""COMPUTED_VALUE"""),77.91)</f>
        <v>77.91</v>
      </c>
      <c r="F210" s="1">
        <f>IFERROR(__xludf.DUMMYFUNCTION("""COMPUTED_VALUE"""),1458093.0)</f>
        <v>1458093</v>
      </c>
      <c r="G210" s="2" t="s">
        <v>3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IFERROR(__xludf.DUMMYFUNCTION("""COMPUTED_VALUE"""),78.4)</f>
        <v>78.4</v>
      </c>
      <c r="C211" s="1">
        <f>IFERROR(__xludf.DUMMYFUNCTION("""COMPUTED_VALUE"""),78.84)</f>
        <v>78.84</v>
      </c>
      <c r="D211" s="1">
        <f>IFERROR(__xludf.DUMMYFUNCTION("""COMPUTED_VALUE"""),77.27)</f>
        <v>77.27</v>
      </c>
      <c r="E211" s="1">
        <f>IFERROR(__xludf.DUMMYFUNCTION("""COMPUTED_VALUE"""),78.22)</f>
        <v>78.22</v>
      </c>
      <c r="F211" s="1">
        <f>IFERROR(__xludf.DUMMYFUNCTION("""COMPUTED_VALUE"""),1075479.0)</f>
        <v>1075479</v>
      </c>
      <c r="G211" s="2" t="s">
        <v>3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IFERROR(__xludf.DUMMYFUNCTION("""COMPUTED_VALUE"""),78.22)</f>
        <v>78.22</v>
      </c>
      <c r="C212" s="1">
        <f>IFERROR(__xludf.DUMMYFUNCTION("""COMPUTED_VALUE"""),79.14)</f>
        <v>79.14</v>
      </c>
      <c r="D212" s="1">
        <f>IFERROR(__xludf.DUMMYFUNCTION("""COMPUTED_VALUE"""),77.53)</f>
        <v>77.53</v>
      </c>
      <c r="E212" s="1">
        <f>IFERROR(__xludf.DUMMYFUNCTION("""COMPUTED_VALUE"""),79.07)</f>
        <v>79.07</v>
      </c>
      <c r="F212" s="1">
        <f>IFERROR(__xludf.DUMMYFUNCTION("""COMPUTED_VALUE"""),995479.0)</f>
        <v>995479</v>
      </c>
      <c r="G212" s="2" t="s">
        <v>3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IFERROR(__xludf.DUMMYFUNCTION("""COMPUTED_VALUE"""),79.11)</f>
        <v>79.11</v>
      </c>
      <c r="C213" s="1">
        <f>IFERROR(__xludf.DUMMYFUNCTION("""COMPUTED_VALUE"""),79.88)</f>
        <v>79.88</v>
      </c>
      <c r="D213" s="1">
        <f>IFERROR(__xludf.DUMMYFUNCTION("""COMPUTED_VALUE"""),78.71)</f>
        <v>78.71</v>
      </c>
      <c r="E213" s="1">
        <f>IFERROR(__xludf.DUMMYFUNCTION("""COMPUTED_VALUE"""),79.57)</f>
        <v>79.57</v>
      </c>
      <c r="F213" s="1">
        <f>IFERROR(__xludf.DUMMYFUNCTION("""COMPUTED_VALUE"""),899804.0)</f>
        <v>899804</v>
      </c>
      <c r="G213" s="2" t="s">
        <v>3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IFERROR(__xludf.DUMMYFUNCTION("""COMPUTED_VALUE"""),78.54)</f>
        <v>78.54</v>
      </c>
      <c r="C214" s="1">
        <f>IFERROR(__xludf.DUMMYFUNCTION("""COMPUTED_VALUE"""),79.73)</f>
        <v>79.73</v>
      </c>
      <c r="D214" s="1">
        <f>IFERROR(__xludf.DUMMYFUNCTION("""COMPUTED_VALUE"""),78.12)</f>
        <v>78.12</v>
      </c>
      <c r="E214" s="1">
        <f>IFERROR(__xludf.DUMMYFUNCTION("""COMPUTED_VALUE"""),79.56)</f>
        <v>79.56</v>
      </c>
      <c r="F214" s="1">
        <f>IFERROR(__xludf.DUMMYFUNCTION("""COMPUTED_VALUE"""),922600.0)</f>
        <v>922600</v>
      </c>
      <c r="G214" s="2" t="s">
        <v>3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IFERROR(__xludf.DUMMYFUNCTION("""COMPUTED_VALUE"""),79.53)</f>
        <v>79.53</v>
      </c>
      <c r="C215" s="1">
        <f>IFERROR(__xludf.DUMMYFUNCTION("""COMPUTED_VALUE"""),79.94)</f>
        <v>79.94</v>
      </c>
      <c r="D215" s="1">
        <f>IFERROR(__xludf.DUMMYFUNCTION("""COMPUTED_VALUE"""),78.84)</f>
        <v>78.84</v>
      </c>
      <c r="E215" s="1">
        <f>IFERROR(__xludf.DUMMYFUNCTION("""COMPUTED_VALUE"""),79.52)</f>
        <v>79.52</v>
      </c>
      <c r="F215" s="1">
        <f>IFERROR(__xludf.DUMMYFUNCTION("""COMPUTED_VALUE"""),863920.0)</f>
        <v>863920</v>
      </c>
      <c r="G215" s="2" t="s">
        <v>3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IFERROR(__xludf.DUMMYFUNCTION("""COMPUTED_VALUE"""),79.98)</f>
        <v>79.98</v>
      </c>
      <c r="C216" s="1">
        <f>IFERROR(__xludf.DUMMYFUNCTION("""COMPUTED_VALUE"""),81.12)</f>
        <v>81.12</v>
      </c>
      <c r="D216" s="1">
        <f>IFERROR(__xludf.DUMMYFUNCTION("""COMPUTED_VALUE"""),79.8)</f>
        <v>79.8</v>
      </c>
      <c r="E216" s="1">
        <f>IFERROR(__xludf.DUMMYFUNCTION("""COMPUTED_VALUE"""),80.28)</f>
        <v>80.28</v>
      </c>
      <c r="F216" s="1">
        <f>IFERROR(__xludf.DUMMYFUNCTION("""COMPUTED_VALUE"""),902999.0)</f>
        <v>902999</v>
      </c>
      <c r="G216" s="2" t="s">
        <v>3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IFERROR(__xludf.DUMMYFUNCTION("""COMPUTED_VALUE"""),80.51)</f>
        <v>80.51</v>
      </c>
      <c r="C217" s="1">
        <f>IFERROR(__xludf.DUMMYFUNCTION("""COMPUTED_VALUE"""),80.87)</f>
        <v>80.87</v>
      </c>
      <c r="D217" s="1">
        <f>IFERROR(__xludf.DUMMYFUNCTION("""COMPUTED_VALUE"""),79.52)</f>
        <v>79.52</v>
      </c>
      <c r="E217" s="1">
        <f>IFERROR(__xludf.DUMMYFUNCTION("""COMPUTED_VALUE"""),80.24)</f>
        <v>80.24</v>
      </c>
      <c r="F217" s="1">
        <f>IFERROR(__xludf.DUMMYFUNCTION("""COMPUTED_VALUE"""),1157247.0)</f>
        <v>1157247</v>
      </c>
      <c r="G217" s="2" t="s">
        <v>3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IFERROR(__xludf.DUMMYFUNCTION("""COMPUTED_VALUE"""),78.31)</f>
        <v>78.31</v>
      </c>
      <c r="C218" s="1">
        <f>IFERROR(__xludf.DUMMYFUNCTION("""COMPUTED_VALUE"""),78.5)</f>
        <v>78.5</v>
      </c>
      <c r="D218" s="1">
        <f>IFERROR(__xludf.DUMMYFUNCTION("""COMPUTED_VALUE"""),75.06)</f>
        <v>75.06</v>
      </c>
      <c r="E218" s="1">
        <f>IFERROR(__xludf.DUMMYFUNCTION("""COMPUTED_VALUE"""),76.5)</f>
        <v>76.5</v>
      </c>
      <c r="F218" s="1">
        <f>IFERROR(__xludf.DUMMYFUNCTION("""COMPUTED_VALUE"""),2132408.0)</f>
        <v>2132408</v>
      </c>
      <c r="G218" s="2" t="s">
        <v>3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IFERROR(__xludf.DUMMYFUNCTION("""COMPUTED_VALUE"""),76.89)</f>
        <v>76.89</v>
      </c>
      <c r="C219" s="1">
        <f>IFERROR(__xludf.DUMMYFUNCTION("""COMPUTED_VALUE"""),80.04)</f>
        <v>80.04</v>
      </c>
      <c r="D219" s="1">
        <f>IFERROR(__xludf.DUMMYFUNCTION("""COMPUTED_VALUE"""),76.22)</f>
        <v>76.22</v>
      </c>
      <c r="E219" s="1">
        <f>IFERROR(__xludf.DUMMYFUNCTION("""COMPUTED_VALUE"""),79.8)</f>
        <v>79.8</v>
      </c>
      <c r="F219" s="1">
        <f>IFERROR(__xludf.DUMMYFUNCTION("""COMPUTED_VALUE"""),1569808.0)</f>
        <v>1569808</v>
      </c>
      <c r="G219" s="2" t="s">
        <v>3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IFERROR(__xludf.DUMMYFUNCTION("""COMPUTED_VALUE"""),79.53)</f>
        <v>79.53</v>
      </c>
      <c r="C220" s="1">
        <f>IFERROR(__xludf.DUMMYFUNCTION("""COMPUTED_VALUE"""),81.14)</f>
        <v>81.14</v>
      </c>
      <c r="D220" s="1">
        <f>IFERROR(__xludf.DUMMYFUNCTION("""COMPUTED_VALUE"""),79.21)</f>
        <v>79.21</v>
      </c>
      <c r="E220" s="1">
        <f>IFERROR(__xludf.DUMMYFUNCTION("""COMPUTED_VALUE"""),81.03)</f>
        <v>81.03</v>
      </c>
      <c r="F220" s="1">
        <f>IFERROR(__xludf.DUMMYFUNCTION("""COMPUTED_VALUE"""),1351929.0)</f>
        <v>1351929</v>
      </c>
      <c r="G220" s="2" t="s">
        <v>3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IFERROR(__xludf.DUMMYFUNCTION("""COMPUTED_VALUE"""),81.0)</f>
        <v>81</v>
      </c>
      <c r="C221" s="1">
        <f>IFERROR(__xludf.DUMMYFUNCTION("""COMPUTED_VALUE"""),81.19)</f>
        <v>81.19</v>
      </c>
      <c r="D221" s="1">
        <f>IFERROR(__xludf.DUMMYFUNCTION("""COMPUTED_VALUE"""),80.39)</f>
        <v>80.39</v>
      </c>
      <c r="E221" s="1">
        <f>IFERROR(__xludf.DUMMYFUNCTION("""COMPUTED_VALUE"""),80.49)</f>
        <v>80.49</v>
      </c>
      <c r="F221" s="1">
        <f>IFERROR(__xludf.DUMMYFUNCTION("""COMPUTED_VALUE"""),1326961.0)</f>
        <v>1326961</v>
      </c>
      <c r="G221" s="2" t="s">
        <v>3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IFERROR(__xludf.DUMMYFUNCTION("""COMPUTED_VALUE"""),80.79)</f>
        <v>80.79</v>
      </c>
      <c r="C222" s="1">
        <f>IFERROR(__xludf.DUMMYFUNCTION("""COMPUTED_VALUE"""),80.87)</f>
        <v>80.87</v>
      </c>
      <c r="D222" s="1">
        <f>IFERROR(__xludf.DUMMYFUNCTION("""COMPUTED_VALUE"""),79.37)</f>
        <v>79.37</v>
      </c>
      <c r="E222" s="1">
        <f>IFERROR(__xludf.DUMMYFUNCTION("""COMPUTED_VALUE"""),80.25)</f>
        <v>80.25</v>
      </c>
      <c r="F222" s="1">
        <f>IFERROR(__xludf.DUMMYFUNCTION("""COMPUTED_VALUE"""),1161232.0)</f>
        <v>1161232</v>
      </c>
      <c r="G222" s="2" t="s">
        <v>3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IFERROR(__xludf.DUMMYFUNCTION("""COMPUTED_VALUE"""),80.0)</f>
        <v>80</v>
      </c>
      <c r="C223" s="1">
        <f>IFERROR(__xludf.DUMMYFUNCTION("""COMPUTED_VALUE"""),83.3)</f>
        <v>83.3</v>
      </c>
      <c r="D223" s="1">
        <f>IFERROR(__xludf.DUMMYFUNCTION("""COMPUTED_VALUE"""),79.9)</f>
        <v>79.9</v>
      </c>
      <c r="E223" s="1">
        <f>IFERROR(__xludf.DUMMYFUNCTION("""COMPUTED_VALUE"""),82.85)</f>
        <v>82.85</v>
      </c>
      <c r="F223" s="1">
        <f>IFERROR(__xludf.DUMMYFUNCTION("""COMPUTED_VALUE"""),1726552.0)</f>
        <v>1726552</v>
      </c>
      <c r="G223" s="2" t="s">
        <v>3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IFERROR(__xludf.DUMMYFUNCTION("""COMPUTED_VALUE"""),83.73)</f>
        <v>83.73</v>
      </c>
      <c r="C224" s="1">
        <f>IFERROR(__xludf.DUMMYFUNCTION("""COMPUTED_VALUE"""),84.33)</f>
        <v>84.33</v>
      </c>
      <c r="D224" s="1">
        <f>IFERROR(__xludf.DUMMYFUNCTION("""COMPUTED_VALUE"""),83.26)</f>
        <v>83.26</v>
      </c>
      <c r="E224" s="1">
        <f>IFERROR(__xludf.DUMMYFUNCTION("""COMPUTED_VALUE"""),84.24)</f>
        <v>84.24</v>
      </c>
      <c r="F224" s="1">
        <f>IFERROR(__xludf.DUMMYFUNCTION("""COMPUTED_VALUE"""),1457198.0)</f>
        <v>1457198</v>
      </c>
      <c r="G224" s="2" t="s">
        <v>3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IFERROR(__xludf.DUMMYFUNCTION("""COMPUTED_VALUE"""),84.76)</f>
        <v>84.76</v>
      </c>
      <c r="C225" s="1">
        <f>IFERROR(__xludf.DUMMYFUNCTION("""COMPUTED_VALUE"""),85.84)</f>
        <v>85.84</v>
      </c>
      <c r="D225" s="1">
        <f>IFERROR(__xludf.DUMMYFUNCTION("""COMPUTED_VALUE"""),84.13)</f>
        <v>84.13</v>
      </c>
      <c r="E225" s="1">
        <f>IFERROR(__xludf.DUMMYFUNCTION("""COMPUTED_VALUE"""),85.03)</f>
        <v>85.03</v>
      </c>
      <c r="F225" s="1">
        <f>IFERROR(__xludf.DUMMYFUNCTION("""COMPUTED_VALUE"""),934839.0)</f>
        <v>934839</v>
      </c>
      <c r="G225" s="2" t="s">
        <v>3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IFERROR(__xludf.DUMMYFUNCTION("""COMPUTED_VALUE"""),85.27)</f>
        <v>85.27</v>
      </c>
      <c r="C226" s="1">
        <f>IFERROR(__xludf.DUMMYFUNCTION("""COMPUTED_VALUE"""),85.44)</f>
        <v>85.44</v>
      </c>
      <c r="D226" s="1">
        <f>IFERROR(__xludf.DUMMYFUNCTION("""COMPUTED_VALUE"""),84.3)</f>
        <v>84.3</v>
      </c>
      <c r="E226" s="1">
        <f>IFERROR(__xludf.DUMMYFUNCTION("""COMPUTED_VALUE"""),85.18)</f>
        <v>85.18</v>
      </c>
      <c r="F226" s="1">
        <f>IFERROR(__xludf.DUMMYFUNCTION("""COMPUTED_VALUE"""),1169537.0)</f>
        <v>1169537</v>
      </c>
      <c r="G226" s="2" t="s">
        <v>3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IFERROR(__xludf.DUMMYFUNCTION("""COMPUTED_VALUE"""),84.94)</f>
        <v>84.94</v>
      </c>
      <c r="C227" s="1">
        <f>IFERROR(__xludf.DUMMYFUNCTION("""COMPUTED_VALUE"""),85.0)</f>
        <v>85</v>
      </c>
      <c r="D227" s="1">
        <f>IFERROR(__xludf.DUMMYFUNCTION("""COMPUTED_VALUE"""),81.36)</f>
        <v>81.36</v>
      </c>
      <c r="E227" s="1">
        <f>IFERROR(__xludf.DUMMYFUNCTION("""COMPUTED_VALUE"""),82.53)</f>
        <v>82.53</v>
      </c>
      <c r="F227" s="1">
        <f>IFERROR(__xludf.DUMMYFUNCTION("""COMPUTED_VALUE"""),1654373.0)</f>
        <v>1654373</v>
      </c>
      <c r="G227" s="2" t="s">
        <v>3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IFERROR(__xludf.DUMMYFUNCTION("""COMPUTED_VALUE"""),83.0)</f>
        <v>83</v>
      </c>
      <c r="C228" s="1">
        <f>IFERROR(__xludf.DUMMYFUNCTION("""COMPUTED_VALUE"""),83.52)</f>
        <v>83.52</v>
      </c>
      <c r="D228" s="1">
        <f>IFERROR(__xludf.DUMMYFUNCTION("""COMPUTED_VALUE"""),81.53)</f>
        <v>81.53</v>
      </c>
      <c r="E228" s="1">
        <f>IFERROR(__xludf.DUMMYFUNCTION("""COMPUTED_VALUE"""),82.27)</f>
        <v>82.27</v>
      </c>
      <c r="F228" s="1">
        <f>IFERROR(__xludf.DUMMYFUNCTION("""COMPUTED_VALUE"""),938764.0)</f>
        <v>938764</v>
      </c>
      <c r="G228" s="2" t="s">
        <v>3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IFERROR(__xludf.DUMMYFUNCTION("""COMPUTED_VALUE"""),82.77)</f>
        <v>82.77</v>
      </c>
      <c r="C229" s="1">
        <f>IFERROR(__xludf.DUMMYFUNCTION("""COMPUTED_VALUE"""),84.19)</f>
        <v>84.19</v>
      </c>
      <c r="D229" s="1">
        <f>IFERROR(__xludf.DUMMYFUNCTION("""COMPUTED_VALUE"""),82.69)</f>
        <v>82.69</v>
      </c>
      <c r="E229" s="1">
        <f>IFERROR(__xludf.DUMMYFUNCTION("""COMPUTED_VALUE"""),84.15)</f>
        <v>84.15</v>
      </c>
      <c r="F229" s="1">
        <f>IFERROR(__xludf.DUMMYFUNCTION("""COMPUTED_VALUE"""),1502840.0)</f>
        <v>1502840</v>
      </c>
      <c r="G229" s="2" t="s">
        <v>3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IFERROR(__xludf.DUMMYFUNCTION("""COMPUTED_VALUE"""),83.91)</f>
        <v>83.91</v>
      </c>
      <c r="C230" s="1">
        <f>IFERROR(__xludf.DUMMYFUNCTION("""COMPUTED_VALUE"""),84.3)</f>
        <v>84.3</v>
      </c>
      <c r="D230" s="1">
        <f>IFERROR(__xludf.DUMMYFUNCTION("""COMPUTED_VALUE"""),83.53)</f>
        <v>83.53</v>
      </c>
      <c r="E230" s="1">
        <f>IFERROR(__xludf.DUMMYFUNCTION("""COMPUTED_VALUE"""),83.6)</f>
        <v>83.6</v>
      </c>
      <c r="F230" s="1">
        <f>IFERROR(__xludf.DUMMYFUNCTION("""COMPUTED_VALUE"""),686990.0)</f>
        <v>686990</v>
      </c>
      <c r="G230" s="2" t="s">
        <v>3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IFERROR(__xludf.DUMMYFUNCTION("""COMPUTED_VALUE"""),83.44)</f>
        <v>83.44</v>
      </c>
      <c r="C231" s="1">
        <f>IFERROR(__xludf.DUMMYFUNCTION("""COMPUTED_VALUE"""),84.41)</f>
        <v>84.41</v>
      </c>
      <c r="D231" s="1">
        <f>IFERROR(__xludf.DUMMYFUNCTION("""COMPUTED_VALUE"""),82.94)</f>
        <v>82.94</v>
      </c>
      <c r="E231" s="1">
        <f>IFERROR(__xludf.DUMMYFUNCTION("""COMPUTED_VALUE"""),84.1)</f>
        <v>84.1</v>
      </c>
      <c r="F231" s="1">
        <f>IFERROR(__xludf.DUMMYFUNCTION("""COMPUTED_VALUE"""),770553.0)</f>
        <v>770553</v>
      </c>
      <c r="G231" s="2" t="s">
        <v>3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IFERROR(__xludf.DUMMYFUNCTION("""COMPUTED_VALUE"""),84.34)</f>
        <v>84.34</v>
      </c>
      <c r="C232" s="1">
        <f>IFERROR(__xludf.DUMMYFUNCTION("""COMPUTED_VALUE"""),84.4)</f>
        <v>84.4</v>
      </c>
      <c r="D232" s="1">
        <f>IFERROR(__xludf.DUMMYFUNCTION("""COMPUTED_VALUE"""),82.8)</f>
        <v>82.8</v>
      </c>
      <c r="E232" s="1">
        <f>IFERROR(__xludf.DUMMYFUNCTION("""COMPUTED_VALUE"""),83.77)</f>
        <v>83.77</v>
      </c>
      <c r="F232" s="1">
        <f>IFERROR(__xludf.DUMMYFUNCTION("""COMPUTED_VALUE"""),780003.0)</f>
        <v>780003</v>
      </c>
      <c r="G232" s="2" t="s">
        <v>3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IFERROR(__xludf.DUMMYFUNCTION("""COMPUTED_VALUE"""),84.3)</f>
        <v>84.3</v>
      </c>
      <c r="C233" s="1">
        <f>IFERROR(__xludf.DUMMYFUNCTION("""COMPUTED_VALUE"""),84.82)</f>
        <v>84.82</v>
      </c>
      <c r="D233" s="1">
        <f>IFERROR(__xludf.DUMMYFUNCTION("""COMPUTED_VALUE"""),83.78)</f>
        <v>83.78</v>
      </c>
      <c r="E233" s="1">
        <f>IFERROR(__xludf.DUMMYFUNCTION("""COMPUTED_VALUE"""),84.01)</f>
        <v>84.01</v>
      </c>
      <c r="F233" s="1">
        <f>IFERROR(__xludf.DUMMYFUNCTION("""COMPUTED_VALUE"""),849772.0)</f>
        <v>849772</v>
      </c>
      <c r="G233" s="2" t="s">
        <v>3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IFERROR(__xludf.DUMMYFUNCTION("""COMPUTED_VALUE"""),84.52)</f>
        <v>84.52</v>
      </c>
      <c r="C234" s="1">
        <f>IFERROR(__xludf.DUMMYFUNCTION("""COMPUTED_VALUE"""),84.52)</f>
        <v>84.52</v>
      </c>
      <c r="D234" s="1">
        <f>IFERROR(__xludf.DUMMYFUNCTION("""COMPUTED_VALUE"""),83.51)</f>
        <v>83.51</v>
      </c>
      <c r="E234" s="1">
        <f>IFERROR(__xludf.DUMMYFUNCTION("""COMPUTED_VALUE"""),83.96)</f>
        <v>83.96</v>
      </c>
      <c r="F234" s="1">
        <f>IFERROR(__xludf.DUMMYFUNCTION("""COMPUTED_VALUE"""),933054.0)</f>
        <v>933054</v>
      </c>
      <c r="G234" s="2" t="s">
        <v>3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IFERROR(__xludf.DUMMYFUNCTION("""COMPUTED_VALUE"""),83.27)</f>
        <v>83.27</v>
      </c>
      <c r="C235" s="1">
        <f>IFERROR(__xludf.DUMMYFUNCTION("""COMPUTED_VALUE"""),83.7)</f>
        <v>83.7</v>
      </c>
      <c r="D235" s="1">
        <f>IFERROR(__xludf.DUMMYFUNCTION("""COMPUTED_VALUE"""),83.04)</f>
        <v>83.04</v>
      </c>
      <c r="E235" s="1">
        <f>IFERROR(__xludf.DUMMYFUNCTION("""COMPUTED_VALUE"""),83.44)</f>
        <v>83.44</v>
      </c>
      <c r="F235" s="1">
        <f>IFERROR(__xludf.DUMMYFUNCTION("""COMPUTED_VALUE"""),1222091.0)</f>
        <v>1222091</v>
      </c>
      <c r="G235" s="2" t="s">
        <v>3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IFERROR(__xludf.DUMMYFUNCTION("""COMPUTED_VALUE"""),83.83)</f>
        <v>83.83</v>
      </c>
      <c r="C236" s="1">
        <f>IFERROR(__xludf.DUMMYFUNCTION("""COMPUTED_VALUE"""),84.99)</f>
        <v>84.99</v>
      </c>
      <c r="D236" s="1">
        <f>IFERROR(__xludf.DUMMYFUNCTION("""COMPUTED_VALUE"""),83.37)</f>
        <v>83.37</v>
      </c>
      <c r="E236" s="1">
        <f>IFERROR(__xludf.DUMMYFUNCTION("""COMPUTED_VALUE"""),84.75)</f>
        <v>84.75</v>
      </c>
      <c r="F236" s="1">
        <f>IFERROR(__xludf.DUMMYFUNCTION("""COMPUTED_VALUE"""),1274432.0)</f>
        <v>1274432</v>
      </c>
      <c r="G236" s="2" t="s">
        <v>3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IFERROR(__xludf.DUMMYFUNCTION("""COMPUTED_VALUE"""),85.0)</f>
        <v>85</v>
      </c>
      <c r="C237" s="1">
        <f>IFERROR(__xludf.DUMMYFUNCTION("""COMPUTED_VALUE"""),86.37)</f>
        <v>86.37</v>
      </c>
      <c r="D237" s="1">
        <f>IFERROR(__xludf.DUMMYFUNCTION("""COMPUTED_VALUE"""),84.8)</f>
        <v>84.8</v>
      </c>
      <c r="E237" s="1">
        <f>IFERROR(__xludf.DUMMYFUNCTION("""COMPUTED_VALUE"""),86.31)</f>
        <v>86.31</v>
      </c>
      <c r="F237" s="1">
        <f>IFERROR(__xludf.DUMMYFUNCTION("""COMPUTED_VALUE"""),2224421.0)</f>
        <v>2224421</v>
      </c>
      <c r="G237" s="2" t="s">
        <v>3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IFERROR(__xludf.DUMMYFUNCTION("""COMPUTED_VALUE"""),86.62)</f>
        <v>86.62</v>
      </c>
      <c r="C238" s="1">
        <f>IFERROR(__xludf.DUMMYFUNCTION("""COMPUTED_VALUE"""),86.71)</f>
        <v>86.71</v>
      </c>
      <c r="D238" s="1">
        <f>IFERROR(__xludf.DUMMYFUNCTION("""COMPUTED_VALUE"""),84.42)</f>
        <v>84.42</v>
      </c>
      <c r="E238" s="1">
        <f>IFERROR(__xludf.DUMMYFUNCTION("""COMPUTED_VALUE"""),85.14)</f>
        <v>85.14</v>
      </c>
      <c r="F238" s="1">
        <f>IFERROR(__xludf.DUMMYFUNCTION("""COMPUTED_VALUE"""),1084490.0)</f>
        <v>1084490</v>
      </c>
      <c r="G238" s="2" t="s">
        <v>3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IFERROR(__xludf.DUMMYFUNCTION("""COMPUTED_VALUE"""),84.89)</f>
        <v>84.89</v>
      </c>
      <c r="C239" s="1">
        <f>IFERROR(__xludf.DUMMYFUNCTION("""COMPUTED_VALUE"""),85.95)</f>
        <v>85.95</v>
      </c>
      <c r="D239" s="1">
        <f>IFERROR(__xludf.DUMMYFUNCTION("""COMPUTED_VALUE"""),84.63)</f>
        <v>84.63</v>
      </c>
      <c r="E239" s="1">
        <f>IFERROR(__xludf.DUMMYFUNCTION("""COMPUTED_VALUE"""),85.26)</f>
        <v>85.26</v>
      </c>
      <c r="F239" s="1">
        <f>IFERROR(__xludf.DUMMYFUNCTION("""COMPUTED_VALUE"""),921996.0)</f>
        <v>921996</v>
      </c>
      <c r="G239" s="2" t="s">
        <v>3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IFERROR(__xludf.DUMMYFUNCTION("""COMPUTED_VALUE"""),85.31)</f>
        <v>85.31</v>
      </c>
      <c r="C240" s="1">
        <f>IFERROR(__xludf.DUMMYFUNCTION("""COMPUTED_VALUE"""),86.06)</f>
        <v>86.06</v>
      </c>
      <c r="D240" s="1">
        <f>IFERROR(__xludf.DUMMYFUNCTION("""COMPUTED_VALUE"""),85.04)</f>
        <v>85.04</v>
      </c>
      <c r="E240" s="1">
        <f>IFERROR(__xludf.DUMMYFUNCTION("""COMPUTED_VALUE"""),85.86)</f>
        <v>85.86</v>
      </c>
      <c r="F240" s="1">
        <f>IFERROR(__xludf.DUMMYFUNCTION("""COMPUTED_VALUE"""),870971.0)</f>
        <v>870971</v>
      </c>
      <c r="G240" s="2" t="s">
        <v>3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IFERROR(__xludf.DUMMYFUNCTION("""COMPUTED_VALUE"""),85.65)</f>
        <v>85.65</v>
      </c>
      <c r="C241" s="1">
        <f>IFERROR(__xludf.DUMMYFUNCTION("""COMPUTED_VALUE"""),86.05)</f>
        <v>86.05</v>
      </c>
      <c r="D241" s="1">
        <f>IFERROR(__xludf.DUMMYFUNCTION("""COMPUTED_VALUE"""),84.91)</f>
        <v>84.91</v>
      </c>
      <c r="E241" s="1">
        <f>IFERROR(__xludf.DUMMYFUNCTION("""COMPUTED_VALUE"""),85.19)</f>
        <v>85.19</v>
      </c>
      <c r="F241" s="1">
        <f>IFERROR(__xludf.DUMMYFUNCTION("""COMPUTED_VALUE"""),766946.0)</f>
        <v>766946</v>
      </c>
      <c r="G241" s="2" t="s">
        <v>3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IFERROR(__xludf.DUMMYFUNCTION("""COMPUTED_VALUE"""),84.9)</f>
        <v>84.9</v>
      </c>
      <c r="C242" s="1">
        <f>IFERROR(__xludf.DUMMYFUNCTION("""COMPUTED_VALUE"""),85.79)</f>
        <v>85.79</v>
      </c>
      <c r="D242" s="1">
        <f>IFERROR(__xludf.DUMMYFUNCTION("""COMPUTED_VALUE"""),84.36)</f>
        <v>84.36</v>
      </c>
      <c r="E242" s="1">
        <f>IFERROR(__xludf.DUMMYFUNCTION("""COMPUTED_VALUE"""),84.56)</f>
        <v>84.56</v>
      </c>
      <c r="F242" s="1">
        <f>IFERROR(__xludf.DUMMYFUNCTION("""COMPUTED_VALUE"""),1024766.0)</f>
        <v>1024766</v>
      </c>
      <c r="G242" s="2" t="s">
        <v>3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IFERROR(__xludf.DUMMYFUNCTION("""COMPUTED_VALUE"""),82.95)</f>
        <v>82.95</v>
      </c>
      <c r="C243" s="1">
        <f>IFERROR(__xludf.DUMMYFUNCTION("""COMPUTED_VALUE"""),83.69)</f>
        <v>83.69</v>
      </c>
      <c r="D243" s="1">
        <f>IFERROR(__xludf.DUMMYFUNCTION("""COMPUTED_VALUE"""),82.4)</f>
        <v>82.4</v>
      </c>
      <c r="E243" s="1">
        <f>IFERROR(__xludf.DUMMYFUNCTION("""COMPUTED_VALUE"""),82.96)</f>
        <v>82.96</v>
      </c>
      <c r="F243" s="1">
        <f>IFERROR(__xludf.DUMMYFUNCTION("""COMPUTED_VALUE"""),2234059.0)</f>
        <v>2234059</v>
      </c>
      <c r="G243" s="2" t="s">
        <v>3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IFERROR(__xludf.DUMMYFUNCTION("""COMPUTED_VALUE"""),83.32)</f>
        <v>83.32</v>
      </c>
      <c r="C244" s="1">
        <f>IFERROR(__xludf.DUMMYFUNCTION("""COMPUTED_VALUE"""),84.78)</f>
        <v>84.78</v>
      </c>
      <c r="D244" s="1">
        <f>IFERROR(__xludf.DUMMYFUNCTION("""COMPUTED_VALUE"""),82.8)</f>
        <v>82.8</v>
      </c>
      <c r="E244" s="1">
        <f>IFERROR(__xludf.DUMMYFUNCTION("""COMPUTED_VALUE"""),84.54)</f>
        <v>84.54</v>
      </c>
      <c r="F244" s="1">
        <f>IFERROR(__xludf.DUMMYFUNCTION("""COMPUTED_VALUE"""),1020500.0)</f>
        <v>1020500</v>
      </c>
      <c r="G244" s="2" t="s">
        <v>3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IFERROR(__xludf.DUMMYFUNCTION("""COMPUTED_VALUE"""),84.31)</f>
        <v>84.31</v>
      </c>
      <c r="C245" s="1">
        <f>IFERROR(__xludf.DUMMYFUNCTION("""COMPUTED_VALUE"""),84.6)</f>
        <v>84.6</v>
      </c>
      <c r="D245" s="1">
        <f>IFERROR(__xludf.DUMMYFUNCTION("""COMPUTED_VALUE"""),83.8)</f>
        <v>83.8</v>
      </c>
      <c r="E245" s="1">
        <f>IFERROR(__xludf.DUMMYFUNCTION("""COMPUTED_VALUE"""),84.43)</f>
        <v>84.43</v>
      </c>
      <c r="F245" s="1">
        <f>IFERROR(__xludf.DUMMYFUNCTION("""COMPUTED_VALUE"""),836876.0)</f>
        <v>836876</v>
      </c>
      <c r="G245" s="2" t="s">
        <v>3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IFERROR(__xludf.DUMMYFUNCTION("""COMPUTED_VALUE"""),84.76)</f>
        <v>84.76</v>
      </c>
      <c r="C246" s="1">
        <f>IFERROR(__xludf.DUMMYFUNCTION("""COMPUTED_VALUE"""),86.25)</f>
        <v>86.25</v>
      </c>
      <c r="D246" s="1">
        <f>IFERROR(__xludf.DUMMYFUNCTION("""COMPUTED_VALUE"""),83.73)</f>
        <v>83.73</v>
      </c>
      <c r="E246" s="1">
        <f>IFERROR(__xludf.DUMMYFUNCTION("""COMPUTED_VALUE"""),84.01)</f>
        <v>84.01</v>
      </c>
      <c r="F246" s="1">
        <f>IFERROR(__xludf.DUMMYFUNCTION("""COMPUTED_VALUE"""),1321576.0)</f>
        <v>1321576</v>
      </c>
      <c r="G246" s="2" t="s">
        <v>3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IFERROR(__xludf.DUMMYFUNCTION("""COMPUTED_VALUE"""),83.8)</f>
        <v>83.8</v>
      </c>
      <c r="C247" s="1">
        <f>IFERROR(__xludf.DUMMYFUNCTION("""COMPUTED_VALUE"""),84.44)</f>
        <v>84.44</v>
      </c>
      <c r="D247" s="1">
        <f>IFERROR(__xludf.DUMMYFUNCTION("""COMPUTED_VALUE"""),83.51)</f>
        <v>83.51</v>
      </c>
      <c r="E247" s="1">
        <f>IFERROR(__xludf.DUMMYFUNCTION("""COMPUTED_VALUE"""),83.85)</f>
        <v>83.85</v>
      </c>
      <c r="F247" s="1">
        <f>IFERROR(__xludf.DUMMYFUNCTION("""COMPUTED_VALUE"""),1131896.0)</f>
        <v>1131896</v>
      </c>
      <c r="G247" s="2" t="s">
        <v>3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IFERROR(__xludf.DUMMYFUNCTION("""COMPUTED_VALUE"""),83.31)</f>
        <v>83.31</v>
      </c>
      <c r="C248" s="1">
        <f>IFERROR(__xludf.DUMMYFUNCTION("""COMPUTED_VALUE"""),83.9)</f>
        <v>83.9</v>
      </c>
      <c r="D248" s="1">
        <f>IFERROR(__xludf.DUMMYFUNCTION("""COMPUTED_VALUE"""),82.41)</f>
        <v>82.41</v>
      </c>
      <c r="E248" s="1">
        <f>IFERROR(__xludf.DUMMYFUNCTION("""COMPUTED_VALUE"""),82.8)</f>
        <v>82.8</v>
      </c>
      <c r="F248" s="1">
        <f>IFERROR(__xludf.DUMMYFUNCTION("""COMPUTED_VALUE"""),1648528.0)</f>
        <v>1648528</v>
      </c>
      <c r="G248" s="2" t="s">
        <v>3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IFERROR(__xludf.DUMMYFUNCTION("""COMPUTED_VALUE"""),82.79)</f>
        <v>82.79</v>
      </c>
      <c r="C249" s="1">
        <f>IFERROR(__xludf.DUMMYFUNCTION("""COMPUTED_VALUE"""),83.5)</f>
        <v>83.5</v>
      </c>
      <c r="D249" s="1">
        <f>IFERROR(__xludf.DUMMYFUNCTION("""COMPUTED_VALUE"""),82.16)</f>
        <v>82.16</v>
      </c>
      <c r="E249" s="1">
        <f>IFERROR(__xludf.DUMMYFUNCTION("""COMPUTED_VALUE"""),82.62)</f>
        <v>82.62</v>
      </c>
      <c r="F249" s="1">
        <f>IFERROR(__xludf.DUMMYFUNCTION("""COMPUTED_VALUE"""),2832220.0)</f>
        <v>2832220</v>
      </c>
      <c r="G249" s="2" t="s">
        <v>3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IFERROR(__xludf.DUMMYFUNCTION("""COMPUTED_VALUE"""),82.97)</f>
        <v>82.97</v>
      </c>
      <c r="C250" s="1">
        <f>IFERROR(__xludf.DUMMYFUNCTION("""COMPUTED_VALUE"""),83.96)</f>
        <v>83.96</v>
      </c>
      <c r="D250" s="1">
        <f>IFERROR(__xludf.DUMMYFUNCTION("""COMPUTED_VALUE"""),82.92)</f>
        <v>82.92</v>
      </c>
      <c r="E250" s="1">
        <f>IFERROR(__xludf.DUMMYFUNCTION("""COMPUTED_VALUE"""),83.62)</f>
        <v>83.62</v>
      </c>
      <c r="F250" s="1">
        <f>IFERROR(__xludf.DUMMYFUNCTION("""COMPUTED_VALUE"""),908154.0)</f>
        <v>908154</v>
      </c>
      <c r="G250" s="2" t="s">
        <v>3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IFERROR(__xludf.DUMMYFUNCTION("""COMPUTED_VALUE"""),83.14)</f>
        <v>83.14</v>
      </c>
      <c r="C251" s="1">
        <f>IFERROR(__xludf.DUMMYFUNCTION("""COMPUTED_VALUE"""),83.6)</f>
        <v>83.6</v>
      </c>
      <c r="D251" s="1">
        <f>IFERROR(__xludf.DUMMYFUNCTION("""COMPUTED_VALUE"""),82.7)</f>
        <v>82.7</v>
      </c>
      <c r="E251" s="1">
        <f>IFERROR(__xludf.DUMMYFUNCTION("""COMPUTED_VALUE"""),83.35)</f>
        <v>83.35</v>
      </c>
      <c r="F251" s="1">
        <f>IFERROR(__xludf.DUMMYFUNCTION("""COMPUTED_VALUE"""),915769.0)</f>
        <v>915769</v>
      </c>
      <c r="G251" s="2" t="s">
        <v>3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IFERROR(__xludf.DUMMYFUNCTION("""COMPUTED_VALUE"""),83.51)</f>
        <v>83.51</v>
      </c>
      <c r="C252" s="1">
        <f>IFERROR(__xludf.DUMMYFUNCTION("""COMPUTED_VALUE"""),84.33)</f>
        <v>84.33</v>
      </c>
      <c r="D252" s="1">
        <f>IFERROR(__xludf.DUMMYFUNCTION("""COMPUTED_VALUE"""),82.94)</f>
        <v>82.94</v>
      </c>
      <c r="E252" s="1">
        <f>IFERROR(__xludf.DUMMYFUNCTION("""COMPUTED_VALUE"""),84.15)</f>
        <v>84.15</v>
      </c>
      <c r="F252" s="1">
        <f>IFERROR(__xludf.DUMMYFUNCTION("""COMPUTED_VALUE"""),764068.0)</f>
        <v>764068</v>
      </c>
      <c r="G252" s="2" t="s">
        <v>3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IFERROR(__xludf.DUMMYFUNCTION("""COMPUTED_VALUE"""),84.37)</f>
        <v>84.37</v>
      </c>
      <c r="C253" s="1">
        <f>IFERROR(__xludf.DUMMYFUNCTION("""COMPUTED_VALUE"""),84.56)</f>
        <v>84.56</v>
      </c>
      <c r="D253" s="1">
        <f>IFERROR(__xludf.DUMMYFUNCTION("""COMPUTED_VALUE"""),82.94)</f>
        <v>82.94</v>
      </c>
      <c r="E253" s="1">
        <f>IFERROR(__xludf.DUMMYFUNCTION("""COMPUTED_VALUE"""),83.3)</f>
        <v>83.3</v>
      </c>
      <c r="F253" s="1">
        <f>IFERROR(__xludf.DUMMYFUNCTION("""COMPUTED_VALUE"""),1129869.0)</f>
        <v>1129869</v>
      </c>
      <c r="G253" s="2" t="s">
        <v>3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IFERROR(__xludf.DUMMYFUNCTION("""COMPUTED_VALUE"""),83.36)</f>
        <v>83.36</v>
      </c>
      <c r="C254" s="1">
        <f>IFERROR(__xludf.DUMMYFUNCTION("""COMPUTED_VALUE"""),84.03)</f>
        <v>84.03</v>
      </c>
      <c r="D254" s="1">
        <f>IFERROR(__xludf.DUMMYFUNCTION("""COMPUTED_VALUE"""),83.08)</f>
        <v>83.08</v>
      </c>
      <c r="E254" s="1">
        <f>IFERROR(__xludf.DUMMYFUNCTION("""COMPUTED_VALUE"""),83.5)</f>
        <v>83.5</v>
      </c>
      <c r="F254" s="1">
        <f>IFERROR(__xludf.DUMMYFUNCTION("""COMPUTED_VALUE"""),432251.0)</f>
        <v>432251</v>
      </c>
      <c r="G254" s="2" t="s">
        <v>3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IFERROR(__xludf.DUMMYFUNCTION("""COMPUTED_VALUE"""),84.05)</f>
        <v>84.05</v>
      </c>
      <c r="C255" s="1">
        <f>IFERROR(__xludf.DUMMYFUNCTION("""COMPUTED_VALUE"""),84.35)</f>
        <v>84.35</v>
      </c>
      <c r="D255" s="1">
        <f>IFERROR(__xludf.DUMMYFUNCTION("""COMPUTED_VALUE"""),83.5)</f>
        <v>83.5</v>
      </c>
      <c r="E255" s="1">
        <f>IFERROR(__xludf.DUMMYFUNCTION("""COMPUTED_VALUE"""),83.65)</f>
        <v>83.65</v>
      </c>
      <c r="F255" s="1">
        <f>IFERROR(__xludf.DUMMYFUNCTION("""COMPUTED_VALUE"""),358295.0)</f>
        <v>358295</v>
      </c>
      <c r="G255" s="2" t="s">
        <v>3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IFERROR(__xludf.DUMMYFUNCTION("""COMPUTED_VALUE"""),84.0)</f>
        <v>84</v>
      </c>
      <c r="C256" s="1">
        <f>IFERROR(__xludf.DUMMYFUNCTION("""COMPUTED_VALUE"""),84.0)</f>
        <v>84</v>
      </c>
      <c r="D256" s="1">
        <f>IFERROR(__xludf.DUMMYFUNCTION("""COMPUTED_VALUE"""),82.99)</f>
        <v>82.99</v>
      </c>
      <c r="E256" s="1">
        <f>IFERROR(__xludf.DUMMYFUNCTION("""COMPUTED_VALUE"""),83.26)</f>
        <v>83.26</v>
      </c>
      <c r="F256" s="1">
        <f>IFERROR(__xludf.DUMMYFUNCTION("""COMPUTED_VALUE"""),642514.0)</f>
        <v>642514</v>
      </c>
      <c r="G256" s="2" t="s">
        <v>3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IFERROR(__xludf.DUMMYFUNCTION("""COMPUTED_VALUE"""),82.96)</f>
        <v>82.96</v>
      </c>
      <c r="C257" s="1">
        <f>IFERROR(__xludf.DUMMYFUNCTION("""COMPUTED_VALUE"""),84.07)</f>
        <v>84.07</v>
      </c>
      <c r="D257" s="1">
        <f>IFERROR(__xludf.DUMMYFUNCTION("""COMPUTED_VALUE"""),82.94)</f>
        <v>82.94</v>
      </c>
      <c r="E257" s="1">
        <f>IFERROR(__xludf.DUMMYFUNCTION("""COMPUTED_VALUE"""),83.83)</f>
        <v>83.83</v>
      </c>
      <c r="F257" s="1">
        <f>IFERROR(__xludf.DUMMYFUNCTION("""COMPUTED_VALUE"""),466540.0)</f>
        <v>466540</v>
      </c>
      <c r="G257" s="2" t="s">
        <v>3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IFERROR(__xludf.DUMMYFUNCTION("""COMPUTED_VALUE"""),83.55)</f>
        <v>83.55</v>
      </c>
      <c r="C258" s="1">
        <f>IFERROR(__xludf.DUMMYFUNCTION("""COMPUTED_VALUE"""),83.79)</f>
        <v>83.79</v>
      </c>
      <c r="D258" s="1">
        <f>IFERROR(__xludf.DUMMYFUNCTION("""COMPUTED_VALUE"""),83.24)</f>
        <v>83.24</v>
      </c>
      <c r="E258" s="1">
        <f>IFERROR(__xludf.DUMMYFUNCTION("""COMPUTED_VALUE"""),83.38)</f>
        <v>83.38</v>
      </c>
      <c r="F258" s="1">
        <f>IFERROR(__xludf.DUMMYFUNCTION("""COMPUTED_VALUE"""),532248.0)</f>
        <v>532248</v>
      </c>
      <c r="G258" s="2" t="s">
        <v>3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IFERROR(__xludf.DUMMYFUNCTION("""COMPUTED_VALUE"""),83.6)</f>
        <v>83.6</v>
      </c>
      <c r="C259" s="1">
        <f>IFERROR(__xludf.DUMMYFUNCTION("""COMPUTED_VALUE"""),85.92)</f>
        <v>85.92</v>
      </c>
      <c r="D259" s="1">
        <f>IFERROR(__xludf.DUMMYFUNCTION("""COMPUTED_VALUE"""),83.6)</f>
        <v>83.6</v>
      </c>
      <c r="E259" s="1">
        <f>IFERROR(__xludf.DUMMYFUNCTION("""COMPUTED_VALUE"""),85.8)</f>
        <v>85.8</v>
      </c>
      <c r="F259" s="1">
        <f>IFERROR(__xludf.DUMMYFUNCTION("""COMPUTED_VALUE"""),789996.0)</f>
        <v>789996</v>
      </c>
      <c r="G259" s="2" t="s">
        <v>3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IFERROR(__xludf.DUMMYFUNCTION("""COMPUTED_VALUE"""),85.99)</f>
        <v>85.99</v>
      </c>
      <c r="C260" s="1">
        <f>IFERROR(__xludf.DUMMYFUNCTION("""COMPUTED_VALUE"""),87.18)</f>
        <v>87.18</v>
      </c>
      <c r="D260" s="1">
        <f>IFERROR(__xludf.DUMMYFUNCTION("""COMPUTED_VALUE"""),85.71)</f>
        <v>85.71</v>
      </c>
      <c r="E260" s="1">
        <f>IFERROR(__xludf.DUMMYFUNCTION("""COMPUTED_VALUE"""),85.83)</f>
        <v>85.83</v>
      </c>
      <c r="F260" s="1">
        <f>IFERROR(__xludf.DUMMYFUNCTION("""COMPUTED_VALUE"""),862444.0)</f>
        <v>862444</v>
      </c>
      <c r="G260" s="2" t="s">
        <v>3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IFERROR(__xludf.DUMMYFUNCTION("""COMPUTED_VALUE"""),86.05)</f>
        <v>86.05</v>
      </c>
      <c r="C261" s="1">
        <f>IFERROR(__xludf.DUMMYFUNCTION("""COMPUTED_VALUE"""),87.98)</f>
        <v>87.98</v>
      </c>
      <c r="D261" s="1">
        <f>IFERROR(__xludf.DUMMYFUNCTION("""COMPUTED_VALUE"""),86.01)</f>
        <v>86.01</v>
      </c>
      <c r="E261" s="1">
        <f>IFERROR(__xludf.DUMMYFUNCTION("""COMPUTED_VALUE"""),87.88)</f>
        <v>87.88</v>
      </c>
      <c r="F261" s="1">
        <f>IFERROR(__xludf.DUMMYFUNCTION("""COMPUTED_VALUE"""),1054287.0)</f>
        <v>1054287</v>
      </c>
      <c r="G261" s="2" t="s">
        <v>3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IFERROR(__xludf.DUMMYFUNCTION("""COMPUTED_VALUE"""),88.0)</f>
        <v>88</v>
      </c>
      <c r="C262" s="1">
        <f>IFERROR(__xludf.DUMMYFUNCTION("""COMPUTED_VALUE"""),89.28)</f>
        <v>89.28</v>
      </c>
      <c r="D262" s="1">
        <f>IFERROR(__xludf.DUMMYFUNCTION("""COMPUTED_VALUE"""),87.56)</f>
        <v>87.56</v>
      </c>
      <c r="E262" s="1">
        <f>IFERROR(__xludf.DUMMYFUNCTION("""COMPUTED_VALUE"""),88.95)</f>
        <v>88.95</v>
      </c>
      <c r="F262" s="1">
        <f>IFERROR(__xludf.DUMMYFUNCTION("""COMPUTED_VALUE"""),960298.0)</f>
        <v>960298</v>
      </c>
      <c r="G262" s="2" t="s">
        <v>3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IFERROR(__xludf.DUMMYFUNCTION("""COMPUTED_VALUE"""),88.85)</f>
        <v>88.85</v>
      </c>
      <c r="C263" s="1">
        <f>IFERROR(__xludf.DUMMYFUNCTION("""COMPUTED_VALUE"""),89.71)</f>
        <v>89.71</v>
      </c>
      <c r="D263" s="1">
        <f>IFERROR(__xludf.DUMMYFUNCTION("""COMPUTED_VALUE"""),87.08)</f>
        <v>87.08</v>
      </c>
      <c r="E263" s="1">
        <f>IFERROR(__xludf.DUMMYFUNCTION("""COMPUTED_VALUE"""),89.53)</f>
        <v>89.53</v>
      </c>
      <c r="F263" s="1">
        <f>IFERROR(__xludf.DUMMYFUNCTION("""COMPUTED_VALUE"""),944058.0)</f>
        <v>944058</v>
      </c>
      <c r="G263" s="2" t="s">
        <v>3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IFERROR(__xludf.DUMMYFUNCTION("""COMPUTED_VALUE"""),89.84)</f>
        <v>89.84</v>
      </c>
      <c r="C264" s="1">
        <f>IFERROR(__xludf.DUMMYFUNCTION("""COMPUTED_VALUE"""),90.41)</f>
        <v>90.41</v>
      </c>
      <c r="D264" s="1">
        <f>IFERROR(__xludf.DUMMYFUNCTION("""COMPUTED_VALUE"""),89.48)</f>
        <v>89.48</v>
      </c>
      <c r="E264" s="1">
        <f>IFERROR(__xludf.DUMMYFUNCTION("""COMPUTED_VALUE"""),89.98)</f>
        <v>89.98</v>
      </c>
      <c r="F264" s="1">
        <f>IFERROR(__xludf.DUMMYFUNCTION("""COMPUTED_VALUE"""),959129.0)</f>
        <v>959129</v>
      </c>
      <c r="G264" s="2" t="s">
        <v>3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IFERROR(__xludf.DUMMYFUNCTION("""COMPUTED_VALUE"""),90.14)</f>
        <v>90.14</v>
      </c>
      <c r="C265" s="1">
        <f>IFERROR(__xludf.DUMMYFUNCTION("""COMPUTED_VALUE"""),90.95)</f>
        <v>90.95</v>
      </c>
      <c r="D265" s="1">
        <f>IFERROR(__xludf.DUMMYFUNCTION("""COMPUTED_VALUE"""),89.84)</f>
        <v>89.84</v>
      </c>
      <c r="E265" s="1">
        <f>IFERROR(__xludf.DUMMYFUNCTION("""COMPUTED_VALUE"""),90.52)</f>
        <v>90.52</v>
      </c>
      <c r="F265" s="1">
        <f>IFERROR(__xludf.DUMMYFUNCTION("""COMPUTED_VALUE"""),1263650.0)</f>
        <v>1263650</v>
      </c>
      <c r="G265" s="2" t="s">
        <v>3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IFERROR(__xludf.DUMMYFUNCTION("""COMPUTED_VALUE"""),90.7)</f>
        <v>90.7</v>
      </c>
      <c r="C266" s="1">
        <f>IFERROR(__xludf.DUMMYFUNCTION("""COMPUTED_VALUE"""),91.78)</f>
        <v>91.78</v>
      </c>
      <c r="D266" s="1">
        <f>IFERROR(__xludf.DUMMYFUNCTION("""COMPUTED_VALUE"""),90.33)</f>
        <v>90.33</v>
      </c>
      <c r="E266" s="1">
        <f>IFERROR(__xludf.DUMMYFUNCTION("""COMPUTED_VALUE"""),91.78)</f>
        <v>91.78</v>
      </c>
      <c r="F266" s="1">
        <f>IFERROR(__xludf.DUMMYFUNCTION("""COMPUTED_VALUE"""),1303118.0)</f>
        <v>1303118</v>
      </c>
      <c r="G266" s="2" t="s">
        <v>3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IFERROR(__xludf.DUMMYFUNCTION("""COMPUTED_VALUE"""),91.95)</f>
        <v>91.95</v>
      </c>
      <c r="C267" s="1">
        <f>IFERROR(__xludf.DUMMYFUNCTION("""COMPUTED_VALUE"""),93.36)</f>
        <v>93.36</v>
      </c>
      <c r="D267" s="1">
        <f>IFERROR(__xludf.DUMMYFUNCTION("""COMPUTED_VALUE"""),91.64)</f>
        <v>91.64</v>
      </c>
      <c r="E267" s="1">
        <f>IFERROR(__xludf.DUMMYFUNCTION("""COMPUTED_VALUE"""),93.22)</f>
        <v>93.22</v>
      </c>
      <c r="F267" s="1">
        <f>IFERROR(__xludf.DUMMYFUNCTION("""COMPUTED_VALUE"""),1550323.0)</f>
        <v>1550323</v>
      </c>
      <c r="G267" s="2" t="s">
        <v>3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IFERROR(__xludf.DUMMYFUNCTION("""COMPUTED_VALUE"""),92.49)</f>
        <v>92.49</v>
      </c>
      <c r="C268" s="1">
        <f>IFERROR(__xludf.DUMMYFUNCTION("""COMPUTED_VALUE"""),92.49)</f>
        <v>92.49</v>
      </c>
      <c r="D268" s="1">
        <f>IFERROR(__xludf.DUMMYFUNCTION("""COMPUTED_VALUE"""),90.73)</f>
        <v>90.73</v>
      </c>
      <c r="E268" s="1">
        <f>IFERROR(__xludf.DUMMYFUNCTION("""COMPUTED_VALUE"""),91.74)</f>
        <v>91.74</v>
      </c>
      <c r="F268" s="1">
        <f>IFERROR(__xludf.DUMMYFUNCTION("""COMPUTED_VALUE"""),1701596.0)</f>
        <v>1701596</v>
      </c>
      <c r="G268" s="2" t="s">
        <v>3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IFERROR(__xludf.DUMMYFUNCTION("""COMPUTED_VALUE"""),91.99)</f>
        <v>91.99</v>
      </c>
      <c r="C269" s="1">
        <f>IFERROR(__xludf.DUMMYFUNCTION("""COMPUTED_VALUE"""),92.22)</f>
        <v>92.22</v>
      </c>
      <c r="D269" s="1">
        <f>IFERROR(__xludf.DUMMYFUNCTION("""COMPUTED_VALUE"""),91.31)</f>
        <v>91.31</v>
      </c>
      <c r="E269" s="1">
        <f>IFERROR(__xludf.DUMMYFUNCTION("""COMPUTED_VALUE"""),91.84)</f>
        <v>91.84</v>
      </c>
      <c r="F269" s="1">
        <f>IFERROR(__xludf.DUMMYFUNCTION("""COMPUTED_VALUE"""),481523.0)</f>
        <v>481523</v>
      </c>
      <c r="G269" s="2" t="s">
        <v>3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IFERROR(__xludf.DUMMYFUNCTION("""COMPUTED_VALUE"""),91.99)</f>
        <v>91.99</v>
      </c>
      <c r="C270" s="1">
        <f>IFERROR(__xludf.DUMMYFUNCTION("""COMPUTED_VALUE"""),92.56)</f>
        <v>92.56</v>
      </c>
      <c r="D270" s="1">
        <f>IFERROR(__xludf.DUMMYFUNCTION("""COMPUTED_VALUE"""),90.52)</f>
        <v>90.52</v>
      </c>
      <c r="E270" s="1">
        <f>IFERROR(__xludf.DUMMYFUNCTION("""COMPUTED_VALUE"""),91.98)</f>
        <v>91.98</v>
      </c>
      <c r="F270" s="1">
        <f>IFERROR(__xludf.DUMMYFUNCTION("""COMPUTED_VALUE"""),1224348.0)</f>
        <v>1224348</v>
      </c>
      <c r="G270" s="2" t="s">
        <v>3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IFERROR(__xludf.DUMMYFUNCTION("""COMPUTED_VALUE"""),91.64)</f>
        <v>91.64</v>
      </c>
      <c r="C271" s="1">
        <f>IFERROR(__xludf.DUMMYFUNCTION("""COMPUTED_VALUE"""),92.15)</f>
        <v>92.15</v>
      </c>
      <c r="D271" s="1">
        <f>IFERROR(__xludf.DUMMYFUNCTION("""COMPUTED_VALUE"""),91.13)</f>
        <v>91.13</v>
      </c>
      <c r="E271" s="1">
        <f>IFERROR(__xludf.DUMMYFUNCTION("""COMPUTED_VALUE"""),91.43)</f>
        <v>91.43</v>
      </c>
      <c r="F271" s="1">
        <f>IFERROR(__xludf.DUMMYFUNCTION("""COMPUTED_VALUE"""),826430.0)</f>
        <v>826430</v>
      </c>
      <c r="G271" s="2" t="s">
        <v>3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IFERROR(__xludf.DUMMYFUNCTION("""COMPUTED_VALUE"""),90.68)</f>
        <v>90.68</v>
      </c>
      <c r="C272" s="1">
        <f>IFERROR(__xludf.DUMMYFUNCTION("""COMPUTED_VALUE"""),90.97)</f>
        <v>90.97</v>
      </c>
      <c r="D272" s="1">
        <f>IFERROR(__xludf.DUMMYFUNCTION("""COMPUTED_VALUE"""),89.58)</f>
        <v>89.58</v>
      </c>
      <c r="E272" s="1">
        <f>IFERROR(__xludf.DUMMYFUNCTION("""COMPUTED_VALUE"""),90.02)</f>
        <v>90.02</v>
      </c>
      <c r="F272" s="1">
        <f>IFERROR(__xludf.DUMMYFUNCTION("""COMPUTED_VALUE"""),1434384.0)</f>
        <v>1434384</v>
      </c>
      <c r="G272" s="2" t="s">
        <v>3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IFERROR(__xludf.DUMMYFUNCTION("""COMPUTED_VALUE"""),90.0)</f>
        <v>90</v>
      </c>
      <c r="C273" s="1">
        <f>IFERROR(__xludf.DUMMYFUNCTION("""COMPUTED_VALUE"""),90.66)</f>
        <v>90.66</v>
      </c>
      <c r="D273" s="1">
        <f>IFERROR(__xludf.DUMMYFUNCTION("""COMPUTED_VALUE"""),89.32)</f>
        <v>89.32</v>
      </c>
      <c r="E273" s="1">
        <f>IFERROR(__xludf.DUMMYFUNCTION("""COMPUTED_VALUE"""),89.97)</f>
        <v>89.97</v>
      </c>
      <c r="F273" s="1">
        <f>IFERROR(__xludf.DUMMYFUNCTION("""COMPUTED_VALUE"""),1219938.0)</f>
        <v>1219938</v>
      </c>
      <c r="G273" s="2" t="s">
        <v>3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IFERROR(__xludf.DUMMYFUNCTION("""COMPUTED_VALUE"""),90.31)</f>
        <v>90.31</v>
      </c>
      <c r="C274" s="1">
        <f>IFERROR(__xludf.DUMMYFUNCTION("""COMPUTED_VALUE"""),91.68)</f>
        <v>91.68</v>
      </c>
      <c r="D274" s="1">
        <f>IFERROR(__xludf.DUMMYFUNCTION("""COMPUTED_VALUE"""),90.02)</f>
        <v>90.02</v>
      </c>
      <c r="E274" s="1">
        <f>IFERROR(__xludf.DUMMYFUNCTION("""COMPUTED_VALUE"""),91.53)</f>
        <v>91.53</v>
      </c>
      <c r="F274" s="1">
        <f>IFERROR(__xludf.DUMMYFUNCTION("""COMPUTED_VALUE"""),779097.0)</f>
        <v>779097</v>
      </c>
      <c r="G274" s="2" t="s">
        <v>3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IFERROR(__xludf.DUMMYFUNCTION("""COMPUTED_VALUE"""),91.76)</f>
        <v>91.76</v>
      </c>
      <c r="C275" s="1">
        <f>IFERROR(__xludf.DUMMYFUNCTION("""COMPUTED_VALUE"""),91.98)</f>
        <v>91.98</v>
      </c>
      <c r="D275" s="1">
        <f>IFERROR(__xludf.DUMMYFUNCTION("""COMPUTED_VALUE"""),90.89)</f>
        <v>90.89</v>
      </c>
      <c r="E275" s="1">
        <f>IFERROR(__xludf.DUMMYFUNCTION("""COMPUTED_VALUE"""),91.79)</f>
        <v>91.79</v>
      </c>
      <c r="F275" s="1">
        <f>IFERROR(__xludf.DUMMYFUNCTION("""COMPUTED_VALUE"""),781646.0)</f>
        <v>781646</v>
      </c>
      <c r="G275" s="2" t="s">
        <v>3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IFERROR(__xludf.DUMMYFUNCTION("""COMPUTED_VALUE"""),91.51)</f>
        <v>91.51</v>
      </c>
      <c r="C276" s="1">
        <f>IFERROR(__xludf.DUMMYFUNCTION("""COMPUTED_VALUE"""),91.95)</f>
        <v>91.95</v>
      </c>
      <c r="D276" s="1">
        <f>IFERROR(__xludf.DUMMYFUNCTION("""COMPUTED_VALUE"""),91.1)</f>
        <v>91.1</v>
      </c>
      <c r="E276" s="1">
        <f>IFERROR(__xludf.DUMMYFUNCTION("""COMPUTED_VALUE"""),91.79)</f>
        <v>91.79</v>
      </c>
      <c r="F276" s="1">
        <f>IFERROR(__xludf.DUMMYFUNCTION("""COMPUTED_VALUE"""),816744.0)</f>
        <v>816744</v>
      </c>
      <c r="G276" s="2" t="s">
        <v>3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IFERROR(__xludf.DUMMYFUNCTION("""COMPUTED_VALUE"""),92.26)</f>
        <v>92.26</v>
      </c>
      <c r="C277" s="1">
        <f>IFERROR(__xludf.DUMMYFUNCTION("""COMPUTED_VALUE"""),92.56)</f>
        <v>92.56</v>
      </c>
      <c r="D277" s="1">
        <f>IFERROR(__xludf.DUMMYFUNCTION("""COMPUTED_VALUE"""),91.89)</f>
        <v>91.89</v>
      </c>
      <c r="E277" s="1">
        <f>IFERROR(__xludf.DUMMYFUNCTION("""COMPUTED_VALUE"""),92.35)</f>
        <v>92.35</v>
      </c>
      <c r="F277" s="1">
        <f>IFERROR(__xludf.DUMMYFUNCTION("""COMPUTED_VALUE"""),956741.0)</f>
        <v>956741</v>
      </c>
      <c r="G277" s="2" t="s">
        <v>3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IFERROR(__xludf.DUMMYFUNCTION("""COMPUTED_VALUE"""),92.79)</f>
        <v>92.79</v>
      </c>
      <c r="C278" s="1">
        <f>IFERROR(__xludf.DUMMYFUNCTION("""COMPUTED_VALUE"""),93.32)</f>
        <v>93.32</v>
      </c>
      <c r="D278" s="1">
        <f>IFERROR(__xludf.DUMMYFUNCTION("""COMPUTED_VALUE"""),92.39)</f>
        <v>92.39</v>
      </c>
      <c r="E278" s="1">
        <f>IFERROR(__xludf.DUMMYFUNCTION("""COMPUTED_VALUE"""),92.94)</f>
        <v>92.94</v>
      </c>
      <c r="F278" s="1">
        <f>IFERROR(__xludf.DUMMYFUNCTION("""COMPUTED_VALUE"""),1186379.0)</f>
        <v>1186379</v>
      </c>
      <c r="G278" s="2" t="s">
        <v>3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IFERROR(__xludf.DUMMYFUNCTION("""COMPUTED_VALUE"""),91.47)</f>
        <v>91.47</v>
      </c>
      <c r="C279" s="1">
        <f>IFERROR(__xludf.DUMMYFUNCTION("""COMPUTED_VALUE"""),92.5)</f>
        <v>92.5</v>
      </c>
      <c r="D279" s="1">
        <f>IFERROR(__xludf.DUMMYFUNCTION("""COMPUTED_VALUE"""),91.32)</f>
        <v>91.32</v>
      </c>
      <c r="E279" s="1">
        <f>IFERROR(__xludf.DUMMYFUNCTION("""COMPUTED_VALUE"""),91.48)</f>
        <v>91.48</v>
      </c>
      <c r="F279" s="1">
        <f>IFERROR(__xludf.DUMMYFUNCTION("""COMPUTED_VALUE"""),1404194.0)</f>
        <v>1404194</v>
      </c>
      <c r="G279" s="2" t="s">
        <v>3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IFERROR(__xludf.DUMMYFUNCTION("""COMPUTED_VALUE"""),91.53)</f>
        <v>91.53</v>
      </c>
      <c r="C280" s="1">
        <f>IFERROR(__xludf.DUMMYFUNCTION("""COMPUTED_VALUE"""),93.24)</f>
        <v>93.24</v>
      </c>
      <c r="D280" s="1">
        <f>IFERROR(__xludf.DUMMYFUNCTION("""COMPUTED_VALUE"""),91.13)</f>
        <v>91.13</v>
      </c>
      <c r="E280" s="1">
        <f>IFERROR(__xludf.DUMMYFUNCTION("""COMPUTED_VALUE"""),93.23)</f>
        <v>93.23</v>
      </c>
      <c r="F280" s="1">
        <f>IFERROR(__xludf.DUMMYFUNCTION("""COMPUTED_VALUE"""),1503395.0)</f>
        <v>1503395</v>
      </c>
      <c r="G280" s="2" t="s">
        <v>3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IFERROR(__xludf.DUMMYFUNCTION("""COMPUTED_VALUE"""),93.92)</f>
        <v>93.92</v>
      </c>
      <c r="C281" s="1">
        <f>IFERROR(__xludf.DUMMYFUNCTION("""COMPUTED_VALUE"""),95.27)</f>
        <v>95.27</v>
      </c>
      <c r="D281" s="1">
        <f>IFERROR(__xludf.DUMMYFUNCTION("""COMPUTED_VALUE"""),93.06)</f>
        <v>93.06</v>
      </c>
      <c r="E281" s="1">
        <f>IFERROR(__xludf.DUMMYFUNCTION("""COMPUTED_VALUE"""),95.27)</f>
        <v>95.27</v>
      </c>
      <c r="F281" s="1">
        <f>IFERROR(__xludf.DUMMYFUNCTION("""COMPUTED_VALUE"""),1585474.0)</f>
        <v>1585474</v>
      </c>
      <c r="G281" s="2" t="s">
        <v>3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IFERROR(__xludf.DUMMYFUNCTION("""COMPUTED_VALUE"""),95.08)</f>
        <v>95.08</v>
      </c>
      <c r="C282" s="1">
        <f>IFERROR(__xludf.DUMMYFUNCTION("""COMPUTED_VALUE"""),98.49)</f>
        <v>98.49</v>
      </c>
      <c r="D282" s="1">
        <f>IFERROR(__xludf.DUMMYFUNCTION("""COMPUTED_VALUE"""),94.58)</f>
        <v>94.58</v>
      </c>
      <c r="E282" s="1">
        <f>IFERROR(__xludf.DUMMYFUNCTION("""COMPUTED_VALUE"""),97.79)</f>
        <v>97.79</v>
      </c>
      <c r="F282" s="1">
        <f>IFERROR(__xludf.DUMMYFUNCTION("""COMPUTED_VALUE"""),1947245.0)</f>
        <v>1947245</v>
      </c>
      <c r="G282" s="2" t="s">
        <v>3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IFERROR(__xludf.DUMMYFUNCTION("""COMPUTED_VALUE"""),97.09)</f>
        <v>97.09</v>
      </c>
      <c r="C283" s="1">
        <f>IFERROR(__xludf.DUMMYFUNCTION("""COMPUTED_VALUE"""),97.96)</f>
        <v>97.96</v>
      </c>
      <c r="D283" s="1">
        <f>IFERROR(__xludf.DUMMYFUNCTION("""COMPUTED_VALUE"""),96.5)</f>
        <v>96.5</v>
      </c>
      <c r="E283" s="1">
        <f>IFERROR(__xludf.DUMMYFUNCTION("""COMPUTED_VALUE"""),97.58)</f>
        <v>97.58</v>
      </c>
      <c r="F283" s="1">
        <f>IFERROR(__xludf.DUMMYFUNCTION("""COMPUTED_VALUE"""),1797070.0)</f>
        <v>1797070</v>
      </c>
      <c r="G283" s="2" t="s">
        <v>3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IFERROR(__xludf.DUMMYFUNCTION("""COMPUTED_VALUE"""),97.11)</f>
        <v>97.11</v>
      </c>
      <c r="C284" s="1">
        <f>IFERROR(__xludf.DUMMYFUNCTION("""COMPUTED_VALUE"""),98.02)</f>
        <v>98.02</v>
      </c>
      <c r="D284" s="1">
        <f>IFERROR(__xludf.DUMMYFUNCTION("""COMPUTED_VALUE"""),96.22)</f>
        <v>96.22</v>
      </c>
      <c r="E284" s="1">
        <f>IFERROR(__xludf.DUMMYFUNCTION("""COMPUTED_VALUE"""),97.06)</f>
        <v>97.06</v>
      </c>
      <c r="F284" s="1">
        <f>IFERROR(__xludf.DUMMYFUNCTION("""COMPUTED_VALUE"""),962405.0)</f>
        <v>962405</v>
      </c>
      <c r="G284" s="2" t="s">
        <v>3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IFERROR(__xludf.DUMMYFUNCTION("""COMPUTED_VALUE"""),97.26)</f>
        <v>97.26</v>
      </c>
      <c r="C285" s="1">
        <f>IFERROR(__xludf.DUMMYFUNCTION("""COMPUTED_VALUE"""),97.97)</f>
        <v>97.97</v>
      </c>
      <c r="D285" s="1">
        <f>IFERROR(__xludf.DUMMYFUNCTION("""COMPUTED_VALUE"""),96.78)</f>
        <v>96.78</v>
      </c>
      <c r="E285" s="1">
        <f>IFERROR(__xludf.DUMMYFUNCTION("""COMPUTED_VALUE"""),97.4)</f>
        <v>97.4</v>
      </c>
      <c r="F285" s="1">
        <f>IFERROR(__xludf.DUMMYFUNCTION("""COMPUTED_VALUE"""),937028.0)</f>
        <v>937028</v>
      </c>
      <c r="G285" s="2" t="s">
        <v>3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IFERROR(__xludf.DUMMYFUNCTION("""COMPUTED_VALUE"""),97.5)</f>
        <v>97.5</v>
      </c>
      <c r="C286" s="1">
        <f>IFERROR(__xludf.DUMMYFUNCTION("""COMPUTED_VALUE"""),98.47)</f>
        <v>98.47</v>
      </c>
      <c r="D286" s="1">
        <f>IFERROR(__xludf.DUMMYFUNCTION("""COMPUTED_VALUE"""),96.55)</f>
        <v>96.55</v>
      </c>
      <c r="E286" s="1">
        <f>IFERROR(__xludf.DUMMYFUNCTION("""COMPUTED_VALUE"""),97.57)</f>
        <v>97.57</v>
      </c>
      <c r="F286" s="1">
        <f>IFERROR(__xludf.DUMMYFUNCTION("""COMPUTED_VALUE"""),907809.0)</f>
        <v>907809</v>
      </c>
      <c r="G286" s="2" t="s">
        <v>3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IFERROR(__xludf.DUMMYFUNCTION("""COMPUTED_VALUE"""),98.09)</f>
        <v>98.09</v>
      </c>
      <c r="C287" s="1">
        <f>IFERROR(__xludf.DUMMYFUNCTION("""COMPUTED_VALUE"""),99.46)</f>
        <v>99.46</v>
      </c>
      <c r="D287" s="1">
        <f>IFERROR(__xludf.DUMMYFUNCTION("""COMPUTED_VALUE"""),97.99)</f>
        <v>97.99</v>
      </c>
      <c r="E287" s="1">
        <f>IFERROR(__xludf.DUMMYFUNCTION("""COMPUTED_VALUE"""),99.46)</f>
        <v>99.46</v>
      </c>
      <c r="F287" s="1">
        <f>IFERROR(__xludf.DUMMYFUNCTION("""COMPUTED_VALUE"""),1272174.0)</f>
        <v>1272174</v>
      </c>
      <c r="G287" s="2" t="s">
        <v>3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IFERROR(__xludf.DUMMYFUNCTION("""COMPUTED_VALUE"""),99.26)</f>
        <v>99.26</v>
      </c>
      <c r="C288" s="1">
        <f>IFERROR(__xludf.DUMMYFUNCTION("""COMPUTED_VALUE"""),99.49)</f>
        <v>99.49</v>
      </c>
      <c r="D288" s="1">
        <f>IFERROR(__xludf.DUMMYFUNCTION("""COMPUTED_VALUE"""),97.42)</f>
        <v>97.42</v>
      </c>
      <c r="E288" s="1">
        <f>IFERROR(__xludf.DUMMYFUNCTION("""COMPUTED_VALUE"""),97.77)</f>
        <v>97.77</v>
      </c>
      <c r="F288" s="1">
        <f>IFERROR(__xludf.DUMMYFUNCTION("""COMPUTED_VALUE"""),1088196.0)</f>
        <v>1088196</v>
      </c>
      <c r="G288" s="2" t="s">
        <v>3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IFERROR(__xludf.DUMMYFUNCTION("""COMPUTED_VALUE"""),98.3)</f>
        <v>98.3</v>
      </c>
      <c r="C289" s="1">
        <f>IFERROR(__xludf.DUMMYFUNCTION("""COMPUTED_VALUE"""),98.83)</f>
        <v>98.83</v>
      </c>
      <c r="D289" s="1">
        <f>IFERROR(__xludf.DUMMYFUNCTION("""COMPUTED_VALUE"""),97.61)</f>
        <v>97.61</v>
      </c>
      <c r="E289" s="1">
        <f>IFERROR(__xludf.DUMMYFUNCTION("""COMPUTED_VALUE"""),97.61)</f>
        <v>97.61</v>
      </c>
      <c r="F289" s="1">
        <f>IFERROR(__xludf.DUMMYFUNCTION("""COMPUTED_VALUE"""),788382.0)</f>
        <v>788382</v>
      </c>
      <c r="G289" s="2" t="s">
        <v>3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IFERROR(__xludf.DUMMYFUNCTION("""COMPUTED_VALUE"""),97.95)</f>
        <v>97.95</v>
      </c>
      <c r="C290" s="1">
        <f>IFERROR(__xludf.DUMMYFUNCTION("""COMPUTED_VALUE"""),98.52)</f>
        <v>98.52</v>
      </c>
      <c r="D290" s="1">
        <f>IFERROR(__xludf.DUMMYFUNCTION("""COMPUTED_VALUE"""),97.4)</f>
        <v>97.4</v>
      </c>
      <c r="E290" s="1">
        <f>IFERROR(__xludf.DUMMYFUNCTION("""COMPUTED_VALUE"""),97.74)</f>
        <v>97.74</v>
      </c>
      <c r="F290" s="1">
        <f>IFERROR(__xludf.DUMMYFUNCTION("""COMPUTED_VALUE"""),977868.0)</f>
        <v>977868</v>
      </c>
      <c r="G290" s="2" t="s">
        <v>3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IFERROR(__xludf.DUMMYFUNCTION("""COMPUTED_VALUE"""),97.76)</f>
        <v>97.76</v>
      </c>
      <c r="C291" s="1">
        <f>IFERROR(__xludf.DUMMYFUNCTION("""COMPUTED_VALUE"""),99.23)</f>
        <v>99.23</v>
      </c>
      <c r="D291" s="1">
        <f>IFERROR(__xludf.DUMMYFUNCTION("""COMPUTED_VALUE"""),97.63)</f>
        <v>97.63</v>
      </c>
      <c r="E291" s="1">
        <f>IFERROR(__xludf.DUMMYFUNCTION("""COMPUTED_VALUE"""),99.18)</f>
        <v>99.18</v>
      </c>
      <c r="F291" s="1">
        <f>IFERROR(__xludf.DUMMYFUNCTION("""COMPUTED_VALUE"""),839076.0)</f>
        <v>839076</v>
      </c>
      <c r="G291" s="2" t="s">
        <v>3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IFERROR(__xludf.DUMMYFUNCTION("""COMPUTED_VALUE"""),99.6)</f>
        <v>99.6</v>
      </c>
      <c r="C292" s="1">
        <f>IFERROR(__xludf.DUMMYFUNCTION("""COMPUTED_VALUE"""),99.97)</f>
        <v>99.97</v>
      </c>
      <c r="D292" s="1">
        <f>IFERROR(__xludf.DUMMYFUNCTION("""COMPUTED_VALUE"""),98.29)</f>
        <v>98.29</v>
      </c>
      <c r="E292" s="1">
        <f>IFERROR(__xludf.DUMMYFUNCTION("""COMPUTED_VALUE"""),99.24)</f>
        <v>99.24</v>
      </c>
      <c r="F292" s="1">
        <f>IFERROR(__xludf.DUMMYFUNCTION("""COMPUTED_VALUE"""),932204.0)</f>
        <v>932204</v>
      </c>
      <c r="G292" s="2" t="s">
        <v>3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IFERROR(__xludf.DUMMYFUNCTION("""COMPUTED_VALUE"""),99.1)</f>
        <v>99.1</v>
      </c>
      <c r="C293" s="1">
        <f>IFERROR(__xludf.DUMMYFUNCTION("""COMPUTED_VALUE"""),99.91)</f>
        <v>99.91</v>
      </c>
      <c r="D293" s="1">
        <f>IFERROR(__xludf.DUMMYFUNCTION("""COMPUTED_VALUE"""),98.7)</f>
        <v>98.7</v>
      </c>
      <c r="E293" s="1">
        <f>IFERROR(__xludf.DUMMYFUNCTION("""COMPUTED_VALUE"""),99.75)</f>
        <v>99.75</v>
      </c>
      <c r="F293" s="1">
        <f>IFERROR(__xludf.DUMMYFUNCTION("""COMPUTED_VALUE"""),1523028.0)</f>
        <v>1523028</v>
      </c>
      <c r="G293" s="2" t="s">
        <v>3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IFERROR(__xludf.DUMMYFUNCTION("""COMPUTED_VALUE"""),99.92)</f>
        <v>99.92</v>
      </c>
      <c r="C294" s="1">
        <f>IFERROR(__xludf.DUMMYFUNCTION("""COMPUTED_VALUE"""),100.52)</f>
        <v>100.52</v>
      </c>
      <c r="D294" s="1">
        <f>IFERROR(__xludf.DUMMYFUNCTION("""COMPUTED_VALUE"""),99.62)</f>
        <v>99.62</v>
      </c>
      <c r="E294" s="1">
        <f>IFERROR(__xludf.DUMMYFUNCTION("""COMPUTED_VALUE"""),99.67)</f>
        <v>99.67</v>
      </c>
      <c r="F294" s="1">
        <f>IFERROR(__xludf.DUMMYFUNCTION("""COMPUTED_VALUE"""),587365.0)</f>
        <v>587365</v>
      </c>
      <c r="G294" s="2" t="s">
        <v>3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IFERROR(__xludf.DUMMYFUNCTION("""COMPUTED_VALUE"""),99.59)</f>
        <v>99.59</v>
      </c>
      <c r="C295" s="1">
        <f>IFERROR(__xludf.DUMMYFUNCTION("""COMPUTED_VALUE"""),99.67)</f>
        <v>99.67</v>
      </c>
      <c r="D295" s="1">
        <f>IFERROR(__xludf.DUMMYFUNCTION("""COMPUTED_VALUE"""),97.97)</f>
        <v>97.97</v>
      </c>
      <c r="E295" s="1">
        <f>IFERROR(__xludf.DUMMYFUNCTION("""COMPUTED_VALUE"""),98.7)</f>
        <v>98.7</v>
      </c>
      <c r="F295" s="1">
        <f>IFERROR(__xludf.DUMMYFUNCTION("""COMPUTED_VALUE"""),797867.0)</f>
        <v>797867</v>
      </c>
      <c r="G295" s="2" t="s">
        <v>3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IFERROR(__xludf.DUMMYFUNCTION("""COMPUTED_VALUE"""),98.3)</f>
        <v>98.3</v>
      </c>
      <c r="C296" s="1">
        <f>IFERROR(__xludf.DUMMYFUNCTION("""COMPUTED_VALUE"""),98.75)</f>
        <v>98.75</v>
      </c>
      <c r="D296" s="1">
        <f>IFERROR(__xludf.DUMMYFUNCTION("""COMPUTED_VALUE"""),97.66)</f>
        <v>97.66</v>
      </c>
      <c r="E296" s="1">
        <f>IFERROR(__xludf.DUMMYFUNCTION("""COMPUTED_VALUE"""),98.43)</f>
        <v>98.43</v>
      </c>
      <c r="F296" s="1">
        <f>IFERROR(__xludf.DUMMYFUNCTION("""COMPUTED_VALUE"""),787095.0)</f>
        <v>787095</v>
      </c>
      <c r="G296" s="2" t="s">
        <v>3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IFERROR(__xludf.DUMMYFUNCTION("""COMPUTED_VALUE"""),98.71)</f>
        <v>98.71</v>
      </c>
      <c r="C297" s="1">
        <f>IFERROR(__xludf.DUMMYFUNCTION("""COMPUTED_VALUE"""),100.04)</f>
        <v>100.04</v>
      </c>
      <c r="D297" s="1">
        <f>IFERROR(__xludf.DUMMYFUNCTION("""COMPUTED_VALUE"""),98.53)</f>
        <v>98.53</v>
      </c>
      <c r="E297" s="1">
        <f>IFERROR(__xludf.DUMMYFUNCTION("""COMPUTED_VALUE"""),99.65)</f>
        <v>99.65</v>
      </c>
      <c r="F297" s="1">
        <f>IFERROR(__xludf.DUMMYFUNCTION("""COMPUTED_VALUE"""),805804.0)</f>
        <v>805804</v>
      </c>
      <c r="G297" s="2" t="s">
        <v>3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IFERROR(__xludf.DUMMYFUNCTION("""COMPUTED_VALUE"""),99.86)</f>
        <v>99.86</v>
      </c>
      <c r="C298" s="1">
        <f>IFERROR(__xludf.DUMMYFUNCTION("""COMPUTED_VALUE"""),99.92)</f>
        <v>99.92</v>
      </c>
      <c r="D298" s="1">
        <f>IFERROR(__xludf.DUMMYFUNCTION("""COMPUTED_VALUE"""),97.19)</f>
        <v>97.19</v>
      </c>
      <c r="E298" s="1">
        <f>IFERROR(__xludf.DUMMYFUNCTION("""COMPUTED_VALUE"""),97.19)</f>
        <v>97.19</v>
      </c>
      <c r="F298" s="1">
        <f>IFERROR(__xludf.DUMMYFUNCTION("""COMPUTED_VALUE"""),2055368.0)</f>
        <v>2055368</v>
      </c>
      <c r="G298" s="2" t="s">
        <v>3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IFERROR(__xludf.DUMMYFUNCTION("""COMPUTED_VALUE"""),98.34)</f>
        <v>98.34</v>
      </c>
      <c r="C299" s="1">
        <f>IFERROR(__xludf.DUMMYFUNCTION("""COMPUTED_VALUE"""),98.84)</f>
        <v>98.84</v>
      </c>
      <c r="D299" s="1">
        <f>IFERROR(__xludf.DUMMYFUNCTION("""COMPUTED_VALUE"""),97.85)</f>
        <v>97.85</v>
      </c>
      <c r="E299" s="1">
        <f>IFERROR(__xludf.DUMMYFUNCTION("""COMPUTED_VALUE"""),98.16)</f>
        <v>98.16</v>
      </c>
      <c r="F299" s="1">
        <f>IFERROR(__xludf.DUMMYFUNCTION("""COMPUTED_VALUE"""),801424.0)</f>
        <v>801424</v>
      </c>
      <c r="G299" s="2" t="s">
        <v>3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IFERROR(__xludf.DUMMYFUNCTION("""COMPUTED_VALUE"""),97.95)</f>
        <v>97.95</v>
      </c>
      <c r="C300" s="1">
        <f>IFERROR(__xludf.DUMMYFUNCTION("""COMPUTED_VALUE"""),98.74)</f>
        <v>98.74</v>
      </c>
      <c r="D300" s="1">
        <f>IFERROR(__xludf.DUMMYFUNCTION("""COMPUTED_VALUE"""),97.01)</f>
        <v>97.01</v>
      </c>
      <c r="E300" s="1">
        <f>IFERROR(__xludf.DUMMYFUNCTION("""COMPUTED_VALUE"""),97.75)</f>
        <v>97.75</v>
      </c>
      <c r="F300" s="1">
        <f>IFERROR(__xludf.DUMMYFUNCTION("""COMPUTED_VALUE"""),1186020.0)</f>
        <v>1186020</v>
      </c>
      <c r="G300" s="2" t="s">
        <v>3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IFERROR(__xludf.DUMMYFUNCTION("""COMPUTED_VALUE"""),98.29)</f>
        <v>98.29</v>
      </c>
      <c r="C301" s="1">
        <f>IFERROR(__xludf.DUMMYFUNCTION("""COMPUTED_VALUE"""),100.62)</f>
        <v>100.62</v>
      </c>
      <c r="D301" s="1">
        <f>IFERROR(__xludf.DUMMYFUNCTION("""COMPUTED_VALUE"""),98.22)</f>
        <v>98.22</v>
      </c>
      <c r="E301" s="1">
        <f>IFERROR(__xludf.DUMMYFUNCTION("""COMPUTED_VALUE"""),99.34)</f>
        <v>99.34</v>
      </c>
      <c r="F301" s="1">
        <f>IFERROR(__xludf.DUMMYFUNCTION("""COMPUTED_VALUE"""),1213269.0)</f>
        <v>1213269</v>
      </c>
      <c r="G301" s="2" t="s">
        <v>3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IFERROR(__xludf.DUMMYFUNCTION("""COMPUTED_VALUE"""),98.89)</f>
        <v>98.89</v>
      </c>
      <c r="C302" s="1">
        <f>IFERROR(__xludf.DUMMYFUNCTION("""COMPUTED_VALUE"""),99.35)</f>
        <v>99.35</v>
      </c>
      <c r="D302" s="1">
        <f>IFERROR(__xludf.DUMMYFUNCTION("""COMPUTED_VALUE"""),97.59)</f>
        <v>97.59</v>
      </c>
      <c r="E302" s="1">
        <f>IFERROR(__xludf.DUMMYFUNCTION("""COMPUTED_VALUE"""),99.35)</f>
        <v>99.35</v>
      </c>
      <c r="F302" s="1">
        <f>IFERROR(__xludf.DUMMYFUNCTION("""COMPUTED_VALUE"""),839282.0)</f>
        <v>839282</v>
      </c>
      <c r="G302" s="2" t="s">
        <v>3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IFERROR(__xludf.DUMMYFUNCTION("""COMPUTED_VALUE"""),99.5)</f>
        <v>99.5</v>
      </c>
      <c r="C303" s="1">
        <f>IFERROR(__xludf.DUMMYFUNCTION("""COMPUTED_VALUE"""),102.02)</f>
        <v>102.02</v>
      </c>
      <c r="D303" s="1">
        <f>IFERROR(__xludf.DUMMYFUNCTION("""COMPUTED_VALUE"""),99.35)</f>
        <v>99.35</v>
      </c>
      <c r="E303" s="1">
        <f>IFERROR(__xludf.DUMMYFUNCTION("""COMPUTED_VALUE"""),101.48)</f>
        <v>101.48</v>
      </c>
      <c r="F303" s="1">
        <f>IFERROR(__xludf.DUMMYFUNCTION("""COMPUTED_VALUE"""),1383102.0)</f>
        <v>1383102</v>
      </c>
      <c r="G303" s="2" t="s">
        <v>3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IFERROR(__xludf.DUMMYFUNCTION("""COMPUTED_VALUE"""),101.42)</f>
        <v>101.42</v>
      </c>
      <c r="C304" s="1">
        <f>IFERROR(__xludf.DUMMYFUNCTION("""COMPUTED_VALUE"""),101.9)</f>
        <v>101.9</v>
      </c>
      <c r="D304" s="1">
        <f>IFERROR(__xludf.DUMMYFUNCTION("""COMPUTED_VALUE"""),100.96)</f>
        <v>100.96</v>
      </c>
      <c r="E304" s="1">
        <f>IFERROR(__xludf.DUMMYFUNCTION("""COMPUTED_VALUE"""),101.46)</f>
        <v>101.46</v>
      </c>
      <c r="F304" s="1">
        <f>IFERROR(__xludf.DUMMYFUNCTION("""COMPUTED_VALUE"""),645344.0)</f>
        <v>645344</v>
      </c>
      <c r="G304" s="2" t="s">
        <v>3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IFERROR(__xludf.DUMMYFUNCTION("""COMPUTED_VALUE"""),101.4)</f>
        <v>101.4</v>
      </c>
      <c r="C305" s="1">
        <f>IFERROR(__xludf.DUMMYFUNCTION("""COMPUTED_VALUE"""),101.7)</f>
        <v>101.7</v>
      </c>
      <c r="D305" s="1">
        <f>IFERROR(__xludf.DUMMYFUNCTION("""COMPUTED_VALUE"""),100.8)</f>
        <v>100.8</v>
      </c>
      <c r="E305" s="1">
        <f>IFERROR(__xludf.DUMMYFUNCTION("""COMPUTED_VALUE"""),101.0)</f>
        <v>101</v>
      </c>
      <c r="F305" s="1">
        <f>IFERROR(__xludf.DUMMYFUNCTION("""COMPUTED_VALUE"""),824731.0)</f>
        <v>824731</v>
      </c>
      <c r="G305" s="2" t="s">
        <v>3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IFERROR(__xludf.DUMMYFUNCTION("""COMPUTED_VALUE"""),100.76)</f>
        <v>100.76</v>
      </c>
      <c r="C306" s="1">
        <f>IFERROR(__xludf.DUMMYFUNCTION("""COMPUTED_VALUE"""),101.68)</f>
        <v>101.68</v>
      </c>
      <c r="D306" s="1">
        <f>IFERROR(__xludf.DUMMYFUNCTION("""COMPUTED_VALUE"""),100.42)</f>
        <v>100.42</v>
      </c>
      <c r="E306" s="1">
        <f>IFERROR(__xludf.DUMMYFUNCTION("""COMPUTED_VALUE"""),100.96)</f>
        <v>100.96</v>
      </c>
      <c r="F306" s="1">
        <f>IFERROR(__xludf.DUMMYFUNCTION("""COMPUTED_VALUE"""),928097.0)</f>
        <v>928097</v>
      </c>
      <c r="G306" s="2" t="s">
        <v>3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IFERROR(__xludf.DUMMYFUNCTION("""COMPUTED_VALUE"""),102.18)</f>
        <v>102.18</v>
      </c>
      <c r="C307" s="1">
        <f>IFERROR(__xludf.DUMMYFUNCTION("""COMPUTED_VALUE"""),103.7)</f>
        <v>103.7</v>
      </c>
      <c r="D307" s="1">
        <f>IFERROR(__xludf.DUMMYFUNCTION("""COMPUTED_VALUE"""),97.25)</f>
        <v>97.25</v>
      </c>
      <c r="E307" s="1">
        <f>IFERROR(__xludf.DUMMYFUNCTION("""COMPUTED_VALUE"""),99.53)</f>
        <v>99.53</v>
      </c>
      <c r="F307" s="1">
        <f>IFERROR(__xludf.DUMMYFUNCTION("""COMPUTED_VALUE"""),2224785.0)</f>
        <v>2224785</v>
      </c>
      <c r="G307" s="2" t="s">
        <v>3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IFERROR(__xludf.DUMMYFUNCTION("""COMPUTED_VALUE"""),96.04)</f>
        <v>96.04</v>
      </c>
      <c r="C308" s="1">
        <f>IFERROR(__xludf.DUMMYFUNCTION("""COMPUTED_VALUE"""),98.33)</f>
        <v>98.33</v>
      </c>
      <c r="D308" s="1">
        <f>IFERROR(__xludf.DUMMYFUNCTION("""COMPUTED_VALUE"""),96.0)</f>
        <v>96</v>
      </c>
      <c r="E308" s="1">
        <f>IFERROR(__xludf.DUMMYFUNCTION("""COMPUTED_VALUE"""),98.33)</f>
        <v>98.33</v>
      </c>
      <c r="F308" s="1">
        <f>IFERROR(__xludf.DUMMYFUNCTION("""COMPUTED_VALUE"""),1638110.0)</f>
        <v>1638110</v>
      </c>
      <c r="G308" s="2" t="s">
        <v>3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IFERROR(__xludf.DUMMYFUNCTION("""COMPUTED_VALUE"""),97.84)</f>
        <v>97.84</v>
      </c>
      <c r="C309" s="1">
        <f>IFERROR(__xludf.DUMMYFUNCTION("""COMPUTED_VALUE"""),98.08)</f>
        <v>98.08</v>
      </c>
      <c r="D309" s="1">
        <f>IFERROR(__xludf.DUMMYFUNCTION("""COMPUTED_VALUE"""),93.77)</f>
        <v>93.77</v>
      </c>
      <c r="E309" s="1">
        <f>IFERROR(__xludf.DUMMYFUNCTION("""COMPUTED_VALUE"""),94.64)</f>
        <v>94.64</v>
      </c>
      <c r="F309" s="1">
        <f>IFERROR(__xludf.DUMMYFUNCTION("""COMPUTED_VALUE"""),1719463.0)</f>
        <v>1719463</v>
      </c>
      <c r="G309" s="2" t="s">
        <v>3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IFERROR(__xludf.DUMMYFUNCTION("""COMPUTED_VALUE"""),94.65)</f>
        <v>94.65</v>
      </c>
      <c r="C310" s="1">
        <f>IFERROR(__xludf.DUMMYFUNCTION("""COMPUTED_VALUE"""),95.87)</f>
        <v>95.87</v>
      </c>
      <c r="D310" s="1">
        <f>IFERROR(__xludf.DUMMYFUNCTION("""COMPUTED_VALUE"""),93.3)</f>
        <v>93.3</v>
      </c>
      <c r="E310" s="1">
        <f>IFERROR(__xludf.DUMMYFUNCTION("""COMPUTED_VALUE"""),95.6)</f>
        <v>95.6</v>
      </c>
      <c r="F310" s="1">
        <f>IFERROR(__xludf.DUMMYFUNCTION("""COMPUTED_VALUE"""),1738945.0)</f>
        <v>1738945</v>
      </c>
      <c r="G310" s="2" t="s">
        <v>3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IFERROR(__xludf.DUMMYFUNCTION("""COMPUTED_VALUE"""),96.11)</f>
        <v>96.11</v>
      </c>
      <c r="C311" s="1">
        <f>IFERROR(__xludf.DUMMYFUNCTION("""COMPUTED_VALUE"""),97.2)</f>
        <v>97.2</v>
      </c>
      <c r="D311" s="1">
        <f>IFERROR(__xludf.DUMMYFUNCTION("""COMPUTED_VALUE"""),92.54)</f>
        <v>92.54</v>
      </c>
      <c r="E311" s="1">
        <f>IFERROR(__xludf.DUMMYFUNCTION("""COMPUTED_VALUE"""),94.69)</f>
        <v>94.69</v>
      </c>
      <c r="F311" s="1">
        <f>IFERROR(__xludf.DUMMYFUNCTION("""COMPUTED_VALUE"""),2138658.0)</f>
        <v>2138658</v>
      </c>
      <c r="G311" s="2" t="s">
        <v>3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IFERROR(__xludf.DUMMYFUNCTION("""COMPUTED_VALUE"""),96.25)</f>
        <v>96.25</v>
      </c>
      <c r="C312" s="1">
        <f>IFERROR(__xludf.DUMMYFUNCTION("""COMPUTED_VALUE"""),96.45)</f>
        <v>96.45</v>
      </c>
      <c r="D312" s="1">
        <f>IFERROR(__xludf.DUMMYFUNCTION("""COMPUTED_VALUE"""),93.91)</f>
        <v>93.91</v>
      </c>
      <c r="E312" s="1">
        <f>IFERROR(__xludf.DUMMYFUNCTION("""COMPUTED_VALUE"""),95.77)</f>
        <v>95.77</v>
      </c>
      <c r="F312" s="1">
        <f>IFERROR(__xludf.DUMMYFUNCTION("""COMPUTED_VALUE"""),1608880.0)</f>
        <v>1608880</v>
      </c>
      <c r="G312" s="2" t="s">
        <v>3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IFERROR(__xludf.DUMMYFUNCTION("""COMPUTED_VALUE"""),95.76)</f>
        <v>95.76</v>
      </c>
      <c r="C313" s="1">
        <f>IFERROR(__xludf.DUMMYFUNCTION("""COMPUTED_VALUE"""),97.31)</f>
        <v>97.31</v>
      </c>
      <c r="D313" s="1">
        <f>IFERROR(__xludf.DUMMYFUNCTION("""COMPUTED_VALUE"""),93.83)</f>
        <v>93.83</v>
      </c>
      <c r="E313" s="1">
        <f>IFERROR(__xludf.DUMMYFUNCTION("""COMPUTED_VALUE"""),94.85)</f>
        <v>94.85</v>
      </c>
      <c r="F313" s="1">
        <f>IFERROR(__xludf.DUMMYFUNCTION("""COMPUTED_VALUE"""),4501926.0)</f>
        <v>4501926</v>
      </c>
      <c r="G313" s="2" t="s">
        <v>3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IFERROR(__xludf.DUMMYFUNCTION("""COMPUTED_VALUE"""),94.85)</f>
        <v>94.85</v>
      </c>
      <c r="C314" s="1">
        <f>IFERROR(__xludf.DUMMYFUNCTION("""COMPUTED_VALUE"""),96.13)</f>
        <v>96.13</v>
      </c>
      <c r="D314" s="1">
        <f>IFERROR(__xludf.DUMMYFUNCTION("""COMPUTED_VALUE"""),92.37)</f>
        <v>92.37</v>
      </c>
      <c r="E314" s="1">
        <f>IFERROR(__xludf.DUMMYFUNCTION("""COMPUTED_VALUE"""),95.61)</f>
        <v>95.61</v>
      </c>
      <c r="F314" s="1">
        <f>IFERROR(__xludf.DUMMYFUNCTION("""COMPUTED_VALUE"""),1152161.0)</f>
        <v>1152161</v>
      </c>
      <c r="G314" s="2" t="s">
        <v>3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IFERROR(__xludf.DUMMYFUNCTION("""COMPUTED_VALUE"""),96.9)</f>
        <v>96.9</v>
      </c>
      <c r="C315" s="1">
        <f>IFERROR(__xludf.DUMMYFUNCTION("""COMPUTED_VALUE"""),97.8)</f>
        <v>97.8</v>
      </c>
      <c r="D315" s="1">
        <f>IFERROR(__xludf.DUMMYFUNCTION("""COMPUTED_VALUE"""),96.73)</f>
        <v>96.73</v>
      </c>
      <c r="E315" s="1">
        <f>IFERROR(__xludf.DUMMYFUNCTION("""COMPUTED_VALUE"""),97.34)</f>
        <v>97.34</v>
      </c>
      <c r="F315" s="1">
        <f>IFERROR(__xludf.DUMMYFUNCTION("""COMPUTED_VALUE"""),937647.0)</f>
        <v>937647</v>
      </c>
      <c r="G315" s="2" t="s">
        <v>3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IFERROR(__xludf.DUMMYFUNCTION("""COMPUTED_VALUE"""),97.39)</f>
        <v>97.39</v>
      </c>
      <c r="C316" s="1">
        <f>IFERROR(__xludf.DUMMYFUNCTION("""COMPUTED_VALUE"""),98.98)</f>
        <v>98.98</v>
      </c>
      <c r="D316" s="1">
        <f>IFERROR(__xludf.DUMMYFUNCTION("""COMPUTED_VALUE"""),97.25)</f>
        <v>97.25</v>
      </c>
      <c r="E316" s="1">
        <f>IFERROR(__xludf.DUMMYFUNCTION("""COMPUTED_VALUE"""),98.2)</f>
        <v>98.2</v>
      </c>
      <c r="F316" s="1">
        <f>IFERROR(__xludf.DUMMYFUNCTION("""COMPUTED_VALUE"""),886724.0)</f>
        <v>886724</v>
      </c>
      <c r="G316" s="2" t="s">
        <v>3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IFERROR(__xludf.DUMMYFUNCTION("""COMPUTED_VALUE"""),98.2)</f>
        <v>98.2</v>
      </c>
      <c r="C317" s="1">
        <f>IFERROR(__xludf.DUMMYFUNCTION("""COMPUTED_VALUE"""),99.04)</f>
        <v>99.04</v>
      </c>
      <c r="D317" s="1">
        <f>IFERROR(__xludf.DUMMYFUNCTION("""COMPUTED_VALUE"""),96.88)</f>
        <v>96.88</v>
      </c>
      <c r="E317" s="1">
        <f>IFERROR(__xludf.DUMMYFUNCTION("""COMPUTED_VALUE"""),98.83)</f>
        <v>98.83</v>
      </c>
      <c r="F317" s="1">
        <f>IFERROR(__xludf.DUMMYFUNCTION("""COMPUTED_VALUE"""),804672.0)</f>
        <v>804672</v>
      </c>
      <c r="G317" s="2" t="s">
        <v>3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IFERROR(__xludf.DUMMYFUNCTION("""COMPUTED_VALUE"""),98.63)</f>
        <v>98.63</v>
      </c>
      <c r="C318" s="1">
        <f>IFERROR(__xludf.DUMMYFUNCTION("""COMPUTED_VALUE"""),98.63)</f>
        <v>98.63</v>
      </c>
      <c r="D318" s="1">
        <f>IFERROR(__xludf.DUMMYFUNCTION("""COMPUTED_VALUE"""),96.28)</f>
        <v>96.28</v>
      </c>
      <c r="E318" s="1">
        <f>IFERROR(__xludf.DUMMYFUNCTION("""COMPUTED_VALUE"""),97.76)</f>
        <v>97.76</v>
      </c>
      <c r="F318" s="1">
        <f>IFERROR(__xludf.DUMMYFUNCTION("""COMPUTED_VALUE"""),1434754.0)</f>
        <v>1434754</v>
      </c>
      <c r="G318" s="2" t="s">
        <v>3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IFERROR(__xludf.DUMMYFUNCTION("""COMPUTED_VALUE"""),98.88)</f>
        <v>98.88</v>
      </c>
      <c r="C319" s="1">
        <f>IFERROR(__xludf.DUMMYFUNCTION("""COMPUTED_VALUE"""),99.47)</f>
        <v>99.47</v>
      </c>
      <c r="D319" s="1">
        <f>IFERROR(__xludf.DUMMYFUNCTION("""COMPUTED_VALUE"""),97.82)</f>
        <v>97.82</v>
      </c>
      <c r="E319" s="1">
        <f>IFERROR(__xludf.DUMMYFUNCTION("""COMPUTED_VALUE"""),98.65)</f>
        <v>98.65</v>
      </c>
      <c r="F319" s="1">
        <f>IFERROR(__xludf.DUMMYFUNCTION("""COMPUTED_VALUE"""),859592.0)</f>
        <v>859592</v>
      </c>
      <c r="G319" s="2" t="s">
        <v>3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IFERROR(__xludf.DUMMYFUNCTION("""COMPUTED_VALUE"""),99.49)</f>
        <v>99.49</v>
      </c>
      <c r="C320" s="1">
        <f>IFERROR(__xludf.DUMMYFUNCTION("""COMPUTED_VALUE"""),99.84)</f>
        <v>99.84</v>
      </c>
      <c r="D320" s="1">
        <f>IFERROR(__xludf.DUMMYFUNCTION("""COMPUTED_VALUE"""),98.58)</f>
        <v>98.58</v>
      </c>
      <c r="E320" s="1">
        <f>IFERROR(__xludf.DUMMYFUNCTION("""COMPUTED_VALUE"""),98.79)</f>
        <v>98.79</v>
      </c>
      <c r="F320" s="1">
        <f>IFERROR(__xludf.DUMMYFUNCTION("""COMPUTED_VALUE"""),679684.0)</f>
        <v>679684</v>
      </c>
      <c r="G320" s="2" t="s">
        <v>3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IFERROR(__xludf.DUMMYFUNCTION("""COMPUTED_VALUE"""),98.7)</f>
        <v>98.7</v>
      </c>
      <c r="C321" s="1">
        <f>IFERROR(__xludf.DUMMYFUNCTION("""COMPUTED_VALUE"""),99.13)</f>
        <v>99.13</v>
      </c>
      <c r="D321" s="1">
        <f>IFERROR(__xludf.DUMMYFUNCTION("""COMPUTED_VALUE"""),97.63)</f>
        <v>97.63</v>
      </c>
      <c r="E321" s="1">
        <f>IFERROR(__xludf.DUMMYFUNCTION("""COMPUTED_VALUE"""),98.93)</f>
        <v>98.93</v>
      </c>
      <c r="F321" s="1">
        <f>IFERROR(__xludf.DUMMYFUNCTION("""COMPUTED_VALUE"""),960170.0)</f>
        <v>960170</v>
      </c>
      <c r="G321" s="2" t="s">
        <v>3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IFERROR(__xludf.DUMMYFUNCTION("""COMPUTED_VALUE"""),99.17)</f>
        <v>99.17</v>
      </c>
      <c r="C322" s="1">
        <f>IFERROR(__xludf.DUMMYFUNCTION("""COMPUTED_VALUE"""),100.8)</f>
        <v>100.8</v>
      </c>
      <c r="D322" s="1">
        <f>IFERROR(__xludf.DUMMYFUNCTION("""COMPUTED_VALUE"""),99.14)</f>
        <v>99.14</v>
      </c>
      <c r="E322" s="1">
        <f>IFERROR(__xludf.DUMMYFUNCTION("""COMPUTED_VALUE"""),100.68)</f>
        <v>100.68</v>
      </c>
      <c r="F322" s="1">
        <f>IFERROR(__xludf.DUMMYFUNCTION("""COMPUTED_VALUE"""),886548.0)</f>
        <v>886548</v>
      </c>
      <c r="G322" s="2" t="s">
        <v>3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IFERROR(__xludf.DUMMYFUNCTION("""COMPUTED_VALUE"""),101.0)</f>
        <v>101</v>
      </c>
      <c r="C323" s="1">
        <f>IFERROR(__xludf.DUMMYFUNCTION("""COMPUTED_VALUE"""),101.24)</f>
        <v>101.24</v>
      </c>
      <c r="D323" s="1">
        <f>IFERROR(__xludf.DUMMYFUNCTION("""COMPUTED_VALUE"""),100.3)</f>
        <v>100.3</v>
      </c>
      <c r="E323" s="1">
        <f>IFERROR(__xludf.DUMMYFUNCTION("""COMPUTED_VALUE"""),100.94)</f>
        <v>100.94</v>
      </c>
      <c r="F323" s="1">
        <f>IFERROR(__xludf.DUMMYFUNCTION("""COMPUTED_VALUE"""),1132092.0)</f>
        <v>1132092</v>
      </c>
      <c r="G323" s="2" t="s">
        <v>3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IFERROR(__xludf.DUMMYFUNCTION("""COMPUTED_VALUE"""),101.0)</f>
        <v>101</v>
      </c>
      <c r="C324" s="1">
        <f>IFERROR(__xludf.DUMMYFUNCTION("""COMPUTED_VALUE"""),101.56)</f>
        <v>101.56</v>
      </c>
      <c r="D324" s="1">
        <f>IFERROR(__xludf.DUMMYFUNCTION("""COMPUTED_VALUE"""),100.62)</f>
        <v>100.62</v>
      </c>
      <c r="E324" s="1">
        <f>IFERROR(__xludf.DUMMYFUNCTION("""COMPUTED_VALUE"""),100.74)</f>
        <v>100.74</v>
      </c>
      <c r="F324" s="1">
        <f>IFERROR(__xludf.DUMMYFUNCTION("""COMPUTED_VALUE"""),691778.0)</f>
        <v>691778</v>
      </c>
      <c r="G324" s="2" t="s">
        <v>3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IFERROR(__xludf.DUMMYFUNCTION("""COMPUTED_VALUE"""),101.18)</f>
        <v>101.18</v>
      </c>
      <c r="C325" s="1">
        <f>IFERROR(__xludf.DUMMYFUNCTION("""COMPUTED_VALUE"""),102.88)</f>
        <v>102.88</v>
      </c>
      <c r="D325" s="1">
        <f>IFERROR(__xludf.DUMMYFUNCTION("""COMPUTED_VALUE"""),101.18)</f>
        <v>101.18</v>
      </c>
      <c r="E325" s="1">
        <f>IFERROR(__xludf.DUMMYFUNCTION("""COMPUTED_VALUE"""),101.34)</f>
        <v>101.34</v>
      </c>
      <c r="F325" s="1">
        <f>IFERROR(__xludf.DUMMYFUNCTION("""COMPUTED_VALUE"""),1032944.0)</f>
        <v>1032944</v>
      </c>
      <c r="G325" s="2" t="s">
        <v>3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IFERROR(__xludf.DUMMYFUNCTION("""COMPUTED_VALUE"""),101.5)</f>
        <v>101.5</v>
      </c>
      <c r="C326" s="1">
        <f>IFERROR(__xludf.DUMMYFUNCTION("""COMPUTED_VALUE"""),101.8)</f>
        <v>101.8</v>
      </c>
      <c r="D326" s="1">
        <f>IFERROR(__xludf.DUMMYFUNCTION("""COMPUTED_VALUE"""),98.72)</f>
        <v>98.72</v>
      </c>
      <c r="E326" s="1">
        <f>IFERROR(__xludf.DUMMYFUNCTION("""COMPUTED_VALUE"""),99.09)</f>
        <v>99.09</v>
      </c>
      <c r="F326" s="1">
        <f>IFERROR(__xludf.DUMMYFUNCTION("""COMPUTED_VALUE"""),1344540.0)</f>
        <v>1344540</v>
      </c>
      <c r="G326" s="2" t="s">
        <v>3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IFERROR(__xludf.DUMMYFUNCTION("""COMPUTED_VALUE"""),98.5)</f>
        <v>98.5</v>
      </c>
      <c r="C327" s="1">
        <f>IFERROR(__xludf.DUMMYFUNCTION("""COMPUTED_VALUE"""),99.1)</f>
        <v>99.1</v>
      </c>
      <c r="D327" s="1">
        <f>IFERROR(__xludf.DUMMYFUNCTION("""COMPUTED_VALUE"""),97.73)</f>
        <v>97.73</v>
      </c>
      <c r="E327" s="1">
        <f>IFERROR(__xludf.DUMMYFUNCTION("""COMPUTED_VALUE"""),98.62)</f>
        <v>98.62</v>
      </c>
      <c r="F327" s="1">
        <f>IFERROR(__xludf.DUMMYFUNCTION("""COMPUTED_VALUE"""),1060245.0)</f>
        <v>1060245</v>
      </c>
      <c r="G327" s="2" t="s">
        <v>3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IFERROR(__xludf.DUMMYFUNCTION("""COMPUTED_VALUE"""),99.69)</f>
        <v>99.69</v>
      </c>
      <c r="C328" s="1">
        <f>IFERROR(__xludf.DUMMYFUNCTION("""COMPUTED_VALUE"""),101.06)</f>
        <v>101.06</v>
      </c>
      <c r="D328" s="1">
        <f>IFERROR(__xludf.DUMMYFUNCTION("""COMPUTED_VALUE"""),99.69)</f>
        <v>99.69</v>
      </c>
      <c r="E328" s="1">
        <f>IFERROR(__xludf.DUMMYFUNCTION("""COMPUTED_VALUE"""),100.92)</f>
        <v>100.92</v>
      </c>
      <c r="F328" s="1">
        <f>IFERROR(__xludf.DUMMYFUNCTION("""COMPUTED_VALUE"""),1157523.0)</f>
        <v>1157523</v>
      </c>
      <c r="G328" s="2" t="s">
        <v>3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IFERROR(__xludf.DUMMYFUNCTION("""COMPUTED_VALUE"""),101.2)</f>
        <v>101.2</v>
      </c>
      <c r="C329" s="1">
        <f>IFERROR(__xludf.DUMMYFUNCTION("""COMPUTED_VALUE"""),103.48)</f>
        <v>103.48</v>
      </c>
      <c r="D329" s="1">
        <f>IFERROR(__xludf.DUMMYFUNCTION("""COMPUTED_VALUE"""),101.14)</f>
        <v>101.14</v>
      </c>
      <c r="E329" s="1">
        <f>IFERROR(__xludf.DUMMYFUNCTION("""COMPUTED_VALUE"""),102.68)</f>
        <v>102.68</v>
      </c>
      <c r="F329" s="1">
        <f>IFERROR(__xludf.DUMMYFUNCTION("""COMPUTED_VALUE"""),1028050.0)</f>
        <v>1028050</v>
      </c>
      <c r="G329" s="2" t="s">
        <v>3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IFERROR(__xludf.DUMMYFUNCTION("""COMPUTED_VALUE"""),102.58)</f>
        <v>102.58</v>
      </c>
      <c r="C330" s="1">
        <f>IFERROR(__xludf.DUMMYFUNCTION("""COMPUTED_VALUE"""),103.22)</f>
        <v>103.22</v>
      </c>
      <c r="D330" s="1">
        <f>IFERROR(__xludf.DUMMYFUNCTION("""COMPUTED_VALUE"""),101.82)</f>
        <v>101.82</v>
      </c>
      <c r="E330" s="1">
        <f>IFERROR(__xludf.DUMMYFUNCTION("""COMPUTED_VALUE"""),102.32)</f>
        <v>102.32</v>
      </c>
      <c r="F330" s="1">
        <f>IFERROR(__xludf.DUMMYFUNCTION("""COMPUTED_VALUE"""),849011.0)</f>
        <v>849011</v>
      </c>
      <c r="G330" s="2" t="s">
        <v>3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IFERROR(__xludf.DUMMYFUNCTION("""COMPUTED_VALUE"""),102.9)</f>
        <v>102.9</v>
      </c>
      <c r="C331" s="1">
        <f>IFERROR(__xludf.DUMMYFUNCTION("""COMPUTED_VALUE"""),104.18)</f>
        <v>104.18</v>
      </c>
      <c r="D331" s="1">
        <f>IFERROR(__xludf.DUMMYFUNCTION("""COMPUTED_VALUE"""),102.64)</f>
        <v>102.64</v>
      </c>
      <c r="E331" s="1">
        <f>IFERROR(__xludf.DUMMYFUNCTION("""COMPUTED_VALUE"""),103.68)</f>
        <v>103.68</v>
      </c>
      <c r="F331" s="1">
        <f>IFERROR(__xludf.DUMMYFUNCTION("""COMPUTED_VALUE"""),846092.0)</f>
        <v>846092</v>
      </c>
      <c r="G331" s="2" t="s">
        <v>3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IFERROR(__xludf.DUMMYFUNCTION("""COMPUTED_VALUE"""),104.06)</f>
        <v>104.06</v>
      </c>
      <c r="C332" s="1">
        <f>IFERROR(__xludf.DUMMYFUNCTION("""COMPUTED_VALUE"""),104.48)</f>
        <v>104.48</v>
      </c>
      <c r="D332" s="1">
        <f>IFERROR(__xludf.DUMMYFUNCTION("""COMPUTED_VALUE"""),102.24)</f>
        <v>102.24</v>
      </c>
      <c r="E332" s="1">
        <f>IFERROR(__xludf.DUMMYFUNCTION("""COMPUTED_VALUE"""),103.2)</f>
        <v>103.2</v>
      </c>
      <c r="F332" s="1">
        <f>IFERROR(__xludf.DUMMYFUNCTION("""COMPUTED_VALUE"""),1061528.0)</f>
        <v>1061528</v>
      </c>
      <c r="G332" s="2" t="s">
        <v>3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IFERROR(__xludf.DUMMYFUNCTION("""COMPUTED_VALUE"""),103.5)</f>
        <v>103.5</v>
      </c>
      <c r="C333" s="1">
        <f>IFERROR(__xludf.DUMMYFUNCTION("""COMPUTED_VALUE"""),104.34)</f>
        <v>104.34</v>
      </c>
      <c r="D333" s="1">
        <f>IFERROR(__xludf.DUMMYFUNCTION("""COMPUTED_VALUE"""),103.1)</f>
        <v>103.1</v>
      </c>
      <c r="E333" s="1">
        <f>IFERROR(__xludf.DUMMYFUNCTION("""COMPUTED_VALUE"""),104.1)</f>
        <v>104.1</v>
      </c>
      <c r="F333" s="1">
        <f>IFERROR(__xludf.DUMMYFUNCTION("""COMPUTED_VALUE"""),980641.0)</f>
        <v>980641</v>
      </c>
      <c r="G333" s="2" t="s">
        <v>3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IFERROR(__xludf.DUMMYFUNCTION("""COMPUTED_VALUE"""),103.92)</f>
        <v>103.92</v>
      </c>
      <c r="C334" s="1">
        <f>IFERROR(__xludf.DUMMYFUNCTION("""COMPUTED_VALUE"""),104.04)</f>
        <v>104.04</v>
      </c>
      <c r="D334" s="1">
        <f>IFERROR(__xludf.DUMMYFUNCTION("""COMPUTED_VALUE"""),102.88)</f>
        <v>102.88</v>
      </c>
      <c r="E334" s="1">
        <f>IFERROR(__xludf.DUMMYFUNCTION("""COMPUTED_VALUE"""),103.78)</f>
        <v>103.78</v>
      </c>
      <c r="F334" s="1">
        <f>IFERROR(__xludf.DUMMYFUNCTION("""COMPUTED_VALUE"""),677742.0)</f>
        <v>677742</v>
      </c>
      <c r="G334" s="2" t="s">
        <v>3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IFERROR(__xludf.DUMMYFUNCTION("""COMPUTED_VALUE"""),103.4)</f>
        <v>103.4</v>
      </c>
      <c r="C335" s="1">
        <f>IFERROR(__xludf.DUMMYFUNCTION("""COMPUTED_VALUE"""),103.4)</f>
        <v>103.4</v>
      </c>
      <c r="D335" s="1">
        <f>IFERROR(__xludf.DUMMYFUNCTION("""COMPUTED_VALUE"""),98.94)</f>
        <v>98.94</v>
      </c>
      <c r="E335" s="1">
        <f>IFERROR(__xludf.DUMMYFUNCTION("""COMPUTED_VALUE"""),100.02)</f>
        <v>100.02</v>
      </c>
      <c r="F335" s="1">
        <f>IFERROR(__xludf.DUMMYFUNCTION("""COMPUTED_VALUE"""),2036663.0)</f>
        <v>2036663</v>
      </c>
      <c r="G335" s="2" t="s">
        <v>3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IFERROR(__xludf.DUMMYFUNCTION("""COMPUTED_VALUE"""),100.52)</f>
        <v>100.52</v>
      </c>
      <c r="C336" s="1">
        <f>IFERROR(__xludf.DUMMYFUNCTION("""COMPUTED_VALUE"""),101.26)</f>
        <v>101.26</v>
      </c>
      <c r="D336" s="1">
        <f>IFERROR(__xludf.DUMMYFUNCTION("""COMPUTED_VALUE"""),99.38)</f>
        <v>99.38</v>
      </c>
      <c r="E336" s="1">
        <f>IFERROR(__xludf.DUMMYFUNCTION("""COMPUTED_VALUE"""),100.6)</f>
        <v>100.6</v>
      </c>
      <c r="F336" s="1">
        <f>IFERROR(__xludf.DUMMYFUNCTION("""COMPUTED_VALUE"""),1280574.0)</f>
        <v>1280574</v>
      </c>
      <c r="G336" s="2" t="s">
        <v>3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IFERROR(__xludf.DUMMYFUNCTION("""COMPUTED_VALUE"""),100.66)</f>
        <v>100.66</v>
      </c>
      <c r="C337" s="1">
        <f>IFERROR(__xludf.DUMMYFUNCTION("""COMPUTED_VALUE"""),101.64)</f>
        <v>101.64</v>
      </c>
      <c r="D337" s="1">
        <f>IFERROR(__xludf.DUMMYFUNCTION("""COMPUTED_VALUE"""),100.28)</f>
        <v>100.28</v>
      </c>
      <c r="E337" s="1">
        <f>IFERROR(__xludf.DUMMYFUNCTION("""COMPUTED_VALUE"""),101.16)</f>
        <v>101.16</v>
      </c>
      <c r="F337" s="1">
        <f>IFERROR(__xludf.DUMMYFUNCTION("""COMPUTED_VALUE"""),637324.0)</f>
        <v>637324</v>
      </c>
      <c r="G337" s="2" t="s">
        <v>3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IFERROR(__xludf.DUMMYFUNCTION("""COMPUTED_VALUE"""),101.3)</f>
        <v>101.3</v>
      </c>
      <c r="C338" s="1">
        <f>IFERROR(__xludf.DUMMYFUNCTION("""COMPUTED_VALUE"""),102.02)</f>
        <v>102.02</v>
      </c>
      <c r="D338" s="1">
        <f>IFERROR(__xludf.DUMMYFUNCTION("""COMPUTED_VALUE"""),100.96)</f>
        <v>100.96</v>
      </c>
      <c r="E338" s="1">
        <f>IFERROR(__xludf.DUMMYFUNCTION("""COMPUTED_VALUE"""),101.44)</f>
        <v>101.44</v>
      </c>
      <c r="F338" s="1">
        <f>IFERROR(__xludf.DUMMYFUNCTION("""COMPUTED_VALUE"""),755354.0)</f>
        <v>755354</v>
      </c>
      <c r="G338" s="2" t="s">
        <v>3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IFERROR(__xludf.DUMMYFUNCTION("""COMPUTED_VALUE"""),101.62)</f>
        <v>101.62</v>
      </c>
      <c r="C339" s="1">
        <f>IFERROR(__xludf.DUMMYFUNCTION("""COMPUTED_VALUE"""),101.7)</f>
        <v>101.7</v>
      </c>
      <c r="D339" s="1">
        <f>IFERROR(__xludf.DUMMYFUNCTION("""COMPUTED_VALUE"""),100.26)</f>
        <v>100.26</v>
      </c>
      <c r="E339" s="1">
        <f>IFERROR(__xludf.DUMMYFUNCTION("""COMPUTED_VALUE"""),101.0)</f>
        <v>101</v>
      </c>
      <c r="F339" s="1">
        <f>IFERROR(__xludf.DUMMYFUNCTION("""COMPUTED_VALUE"""),850341.0)</f>
        <v>850341</v>
      </c>
      <c r="G339" s="2" t="s">
        <v>3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IFERROR(__xludf.DUMMYFUNCTION("""COMPUTED_VALUE"""),101.02)</f>
        <v>101.02</v>
      </c>
      <c r="C340" s="1">
        <f>IFERROR(__xludf.DUMMYFUNCTION("""COMPUTED_VALUE"""),102.56)</f>
        <v>102.56</v>
      </c>
      <c r="D340" s="1">
        <f>IFERROR(__xludf.DUMMYFUNCTION("""COMPUTED_VALUE"""),100.52)</f>
        <v>100.52</v>
      </c>
      <c r="E340" s="1">
        <f>IFERROR(__xludf.DUMMYFUNCTION("""COMPUTED_VALUE"""),100.64)</f>
        <v>100.64</v>
      </c>
      <c r="F340" s="1">
        <f>IFERROR(__xludf.DUMMYFUNCTION("""COMPUTED_VALUE"""),856419.0)</f>
        <v>856419</v>
      </c>
      <c r="G340" s="2" t="s">
        <v>3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IFERROR(__xludf.DUMMYFUNCTION("""COMPUTED_VALUE"""),101.3)</f>
        <v>101.3</v>
      </c>
      <c r="C341" s="1">
        <f>IFERROR(__xludf.DUMMYFUNCTION("""COMPUTED_VALUE"""),102.12)</f>
        <v>102.12</v>
      </c>
      <c r="D341" s="1">
        <f>IFERROR(__xludf.DUMMYFUNCTION("""COMPUTED_VALUE"""),98.2)</f>
        <v>98.2</v>
      </c>
      <c r="E341" s="1">
        <f>IFERROR(__xludf.DUMMYFUNCTION("""COMPUTED_VALUE"""),101.44)</f>
        <v>101.44</v>
      </c>
      <c r="F341" s="1">
        <f>IFERROR(__xludf.DUMMYFUNCTION("""COMPUTED_VALUE"""),1486350.0)</f>
        <v>1486350</v>
      </c>
      <c r="G341" s="2" t="s">
        <v>3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IFERROR(__xludf.DUMMYFUNCTION("""COMPUTED_VALUE"""),102.0)</f>
        <v>102</v>
      </c>
      <c r="C342" s="1">
        <f>IFERROR(__xludf.DUMMYFUNCTION("""COMPUTED_VALUE"""),102.68)</f>
        <v>102.68</v>
      </c>
      <c r="D342" s="1">
        <f>IFERROR(__xludf.DUMMYFUNCTION("""COMPUTED_VALUE"""),99.92)</f>
        <v>99.92</v>
      </c>
      <c r="E342" s="1">
        <f>IFERROR(__xludf.DUMMYFUNCTION("""COMPUTED_VALUE"""),100.58)</f>
        <v>100.58</v>
      </c>
      <c r="F342" s="1">
        <f>IFERROR(__xludf.DUMMYFUNCTION("""COMPUTED_VALUE"""),1200497.0)</f>
        <v>1200497</v>
      </c>
      <c r="G342" s="2" t="s">
        <v>3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IFERROR(__xludf.DUMMYFUNCTION("""COMPUTED_VALUE"""),101.14)</f>
        <v>101.14</v>
      </c>
      <c r="C343" s="1">
        <f>IFERROR(__xludf.DUMMYFUNCTION("""COMPUTED_VALUE"""),101.42)</f>
        <v>101.42</v>
      </c>
      <c r="D343" s="1">
        <f>IFERROR(__xludf.DUMMYFUNCTION("""COMPUTED_VALUE"""),100.06)</f>
        <v>100.06</v>
      </c>
      <c r="E343" s="1">
        <f>IFERROR(__xludf.DUMMYFUNCTION("""COMPUTED_VALUE"""),101.02)</f>
        <v>101.02</v>
      </c>
      <c r="F343" s="1">
        <f>IFERROR(__xludf.DUMMYFUNCTION("""COMPUTED_VALUE"""),956955.0)</f>
        <v>956955</v>
      </c>
      <c r="G343" s="2" t="s">
        <v>3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IFERROR(__xludf.DUMMYFUNCTION("""COMPUTED_VALUE"""),102.42)</f>
        <v>102.42</v>
      </c>
      <c r="C344" s="1">
        <f>IFERROR(__xludf.DUMMYFUNCTION("""COMPUTED_VALUE"""),103.8)</f>
        <v>103.8</v>
      </c>
      <c r="D344" s="1">
        <f>IFERROR(__xludf.DUMMYFUNCTION("""COMPUTED_VALUE"""),100.14)</f>
        <v>100.14</v>
      </c>
      <c r="E344" s="1">
        <f>IFERROR(__xludf.DUMMYFUNCTION("""COMPUTED_VALUE"""),103.8)</f>
        <v>103.8</v>
      </c>
      <c r="F344" s="1">
        <f>IFERROR(__xludf.DUMMYFUNCTION("""COMPUTED_VALUE"""),1844440.0)</f>
        <v>1844440</v>
      </c>
      <c r="G344" s="2" t="s">
        <v>3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IFERROR(__xludf.DUMMYFUNCTION("""COMPUTED_VALUE"""),104.0)</f>
        <v>104</v>
      </c>
      <c r="C345" s="1">
        <f>IFERROR(__xludf.DUMMYFUNCTION("""COMPUTED_VALUE"""),107.84)</f>
        <v>107.84</v>
      </c>
      <c r="D345" s="1">
        <f>IFERROR(__xludf.DUMMYFUNCTION("""COMPUTED_VALUE"""),103.38)</f>
        <v>103.38</v>
      </c>
      <c r="E345" s="1">
        <f>IFERROR(__xludf.DUMMYFUNCTION("""COMPUTED_VALUE"""),107.54)</f>
        <v>107.54</v>
      </c>
      <c r="F345" s="1">
        <f>IFERROR(__xludf.DUMMYFUNCTION("""COMPUTED_VALUE"""),1697673.0)</f>
        <v>1697673</v>
      </c>
      <c r="G345" s="2" t="s">
        <v>3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IFERROR(__xludf.DUMMYFUNCTION("""COMPUTED_VALUE"""),107.54)</f>
        <v>107.54</v>
      </c>
      <c r="C346" s="1">
        <f>IFERROR(__xludf.DUMMYFUNCTION("""COMPUTED_VALUE"""),109.84)</f>
        <v>109.84</v>
      </c>
      <c r="D346" s="1">
        <f>IFERROR(__xludf.DUMMYFUNCTION("""COMPUTED_VALUE"""),107.36)</f>
        <v>107.36</v>
      </c>
      <c r="E346" s="1">
        <f>IFERROR(__xludf.DUMMYFUNCTION("""COMPUTED_VALUE"""),108.92)</f>
        <v>108.92</v>
      </c>
      <c r="F346" s="1">
        <f>IFERROR(__xludf.DUMMYFUNCTION("""COMPUTED_VALUE"""),1304780.0)</f>
        <v>1304780</v>
      </c>
      <c r="G346" s="2" t="s">
        <v>3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IFERROR(__xludf.DUMMYFUNCTION("""COMPUTED_VALUE"""),109.02)</f>
        <v>109.02</v>
      </c>
      <c r="C347" s="1">
        <f>IFERROR(__xludf.DUMMYFUNCTION("""COMPUTED_VALUE"""),109.54)</f>
        <v>109.54</v>
      </c>
      <c r="D347" s="1">
        <f>IFERROR(__xludf.DUMMYFUNCTION("""COMPUTED_VALUE"""),108.24)</f>
        <v>108.24</v>
      </c>
      <c r="E347" s="1">
        <f>IFERROR(__xludf.DUMMYFUNCTION("""COMPUTED_VALUE"""),108.72)</f>
        <v>108.72</v>
      </c>
      <c r="F347" s="1">
        <f>IFERROR(__xludf.DUMMYFUNCTION("""COMPUTED_VALUE"""),1131409.0)</f>
        <v>1131409</v>
      </c>
      <c r="G347" s="2" t="s">
        <v>3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IFERROR(__xludf.DUMMYFUNCTION("""COMPUTED_VALUE"""),109.32)</f>
        <v>109.32</v>
      </c>
      <c r="C348" s="1">
        <f>IFERROR(__xludf.DUMMYFUNCTION("""COMPUTED_VALUE"""),109.48)</f>
        <v>109.48</v>
      </c>
      <c r="D348" s="1">
        <f>IFERROR(__xludf.DUMMYFUNCTION("""COMPUTED_VALUE"""),107.58)</f>
        <v>107.58</v>
      </c>
      <c r="E348" s="1">
        <f>IFERROR(__xludf.DUMMYFUNCTION("""COMPUTED_VALUE"""),108.72)</f>
        <v>108.72</v>
      </c>
      <c r="F348" s="1">
        <f>IFERROR(__xludf.DUMMYFUNCTION("""COMPUTED_VALUE"""),1063634.0)</f>
        <v>1063634</v>
      </c>
      <c r="G348" s="2" t="s">
        <v>3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IFERROR(__xludf.DUMMYFUNCTION("""COMPUTED_VALUE"""),108.7)</f>
        <v>108.7</v>
      </c>
      <c r="C349" s="1">
        <f>IFERROR(__xludf.DUMMYFUNCTION("""COMPUTED_VALUE"""),108.9)</f>
        <v>108.9</v>
      </c>
      <c r="D349" s="1">
        <f>IFERROR(__xludf.DUMMYFUNCTION("""COMPUTED_VALUE"""),107.66)</f>
        <v>107.66</v>
      </c>
      <c r="E349" s="1">
        <f>IFERROR(__xludf.DUMMYFUNCTION("""COMPUTED_VALUE"""),108.4)</f>
        <v>108.4</v>
      </c>
      <c r="F349" s="1">
        <f>IFERROR(__xludf.DUMMYFUNCTION("""COMPUTED_VALUE"""),1877228.0)</f>
        <v>1877228</v>
      </c>
      <c r="G349" s="2" t="s">
        <v>3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IFERROR(__xludf.DUMMYFUNCTION("""COMPUTED_VALUE"""),100.18)</f>
        <v>100.18</v>
      </c>
      <c r="C350" s="1">
        <f>IFERROR(__xludf.DUMMYFUNCTION("""COMPUTED_VALUE"""),101.12)</f>
        <v>101.12</v>
      </c>
      <c r="D350" s="1">
        <f>IFERROR(__xludf.DUMMYFUNCTION("""COMPUTED_VALUE"""),99.25)</f>
        <v>99.25</v>
      </c>
      <c r="E350" s="1">
        <f>IFERROR(__xludf.DUMMYFUNCTION("""COMPUTED_VALUE"""),99.41)</f>
        <v>99.41</v>
      </c>
      <c r="F350" s="1">
        <f>IFERROR(__xludf.DUMMYFUNCTION("""COMPUTED_VALUE"""),2049038.0)</f>
        <v>2049038</v>
      </c>
      <c r="G350" s="2" t="s">
        <v>3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IFERROR(__xludf.DUMMYFUNCTION("""COMPUTED_VALUE"""),99.88)</f>
        <v>99.88</v>
      </c>
      <c r="C351" s="1">
        <f>IFERROR(__xludf.DUMMYFUNCTION("""COMPUTED_VALUE"""),100.5)</f>
        <v>100.5</v>
      </c>
      <c r="D351" s="1">
        <f>IFERROR(__xludf.DUMMYFUNCTION("""COMPUTED_VALUE"""),99.58)</f>
        <v>99.58</v>
      </c>
      <c r="E351" s="1">
        <f>IFERROR(__xludf.DUMMYFUNCTION("""COMPUTED_VALUE"""),100.08)</f>
        <v>100.08</v>
      </c>
      <c r="F351" s="1">
        <f>IFERROR(__xludf.DUMMYFUNCTION("""COMPUTED_VALUE"""),1002346.0)</f>
        <v>1002346</v>
      </c>
      <c r="G351" s="2" t="s">
        <v>3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IFERROR(__xludf.DUMMYFUNCTION("""COMPUTED_VALUE"""),99.96)</f>
        <v>99.96</v>
      </c>
      <c r="C352" s="1">
        <f>IFERROR(__xludf.DUMMYFUNCTION("""COMPUTED_VALUE"""),100.06)</f>
        <v>100.06</v>
      </c>
      <c r="D352" s="1">
        <f>IFERROR(__xludf.DUMMYFUNCTION("""COMPUTED_VALUE"""),98.7)</f>
        <v>98.7</v>
      </c>
      <c r="E352" s="1">
        <f>IFERROR(__xludf.DUMMYFUNCTION("""COMPUTED_VALUE"""),99.57)</f>
        <v>99.57</v>
      </c>
      <c r="F352" s="1">
        <f>IFERROR(__xludf.DUMMYFUNCTION("""COMPUTED_VALUE"""),896963.0)</f>
        <v>896963</v>
      </c>
      <c r="G352" s="2" t="s">
        <v>3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IFERROR(__xludf.DUMMYFUNCTION("""COMPUTED_VALUE"""),99.11)</f>
        <v>99.11</v>
      </c>
      <c r="C353" s="1">
        <f>IFERROR(__xludf.DUMMYFUNCTION("""COMPUTED_VALUE"""),100.36)</f>
        <v>100.36</v>
      </c>
      <c r="D353" s="1">
        <f>IFERROR(__xludf.DUMMYFUNCTION("""COMPUTED_VALUE"""),99.1)</f>
        <v>99.1</v>
      </c>
      <c r="E353" s="1">
        <f>IFERROR(__xludf.DUMMYFUNCTION("""COMPUTED_VALUE"""),100.14)</f>
        <v>100.14</v>
      </c>
      <c r="F353" s="1">
        <f>IFERROR(__xludf.DUMMYFUNCTION("""COMPUTED_VALUE"""),739114.0)</f>
        <v>739114</v>
      </c>
      <c r="G353" s="2" t="s">
        <v>3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IFERROR(__xludf.DUMMYFUNCTION("""COMPUTED_VALUE"""),100.5)</f>
        <v>100.5</v>
      </c>
      <c r="C354" s="1">
        <f>IFERROR(__xludf.DUMMYFUNCTION("""COMPUTED_VALUE"""),102.82)</f>
        <v>102.82</v>
      </c>
      <c r="D354" s="1">
        <f>IFERROR(__xludf.DUMMYFUNCTION("""COMPUTED_VALUE"""),100.48)</f>
        <v>100.48</v>
      </c>
      <c r="E354" s="1">
        <f>IFERROR(__xludf.DUMMYFUNCTION("""COMPUTED_VALUE"""),102.5)</f>
        <v>102.5</v>
      </c>
      <c r="F354" s="1">
        <f>IFERROR(__xludf.DUMMYFUNCTION("""COMPUTED_VALUE"""),1041933.0)</f>
        <v>1041933</v>
      </c>
      <c r="G354" s="2" t="s">
        <v>3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IFERROR(__xludf.DUMMYFUNCTION("""COMPUTED_VALUE"""),102.64)</f>
        <v>102.64</v>
      </c>
      <c r="C355" s="1">
        <f>IFERROR(__xludf.DUMMYFUNCTION("""COMPUTED_VALUE"""),104.0)</f>
        <v>104</v>
      </c>
      <c r="D355" s="1">
        <f>IFERROR(__xludf.DUMMYFUNCTION("""COMPUTED_VALUE"""),102.56)</f>
        <v>102.56</v>
      </c>
      <c r="E355" s="1">
        <f>IFERROR(__xludf.DUMMYFUNCTION("""COMPUTED_VALUE"""),103.38)</f>
        <v>103.38</v>
      </c>
      <c r="F355" s="1">
        <f>IFERROR(__xludf.DUMMYFUNCTION("""COMPUTED_VALUE"""),1379891.0)</f>
        <v>1379891</v>
      </c>
      <c r="G355" s="2" t="s">
        <v>3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IFERROR(__xludf.DUMMYFUNCTION("""COMPUTED_VALUE"""),103.42)</f>
        <v>103.42</v>
      </c>
      <c r="C356" s="1">
        <f>IFERROR(__xludf.DUMMYFUNCTION("""COMPUTED_VALUE"""),104.24)</f>
        <v>104.24</v>
      </c>
      <c r="D356" s="1">
        <f>IFERROR(__xludf.DUMMYFUNCTION("""COMPUTED_VALUE"""),103.04)</f>
        <v>103.04</v>
      </c>
      <c r="E356" s="1">
        <f>IFERROR(__xludf.DUMMYFUNCTION("""COMPUTED_VALUE"""),104.04)</f>
        <v>104.04</v>
      </c>
      <c r="F356" s="1">
        <f>IFERROR(__xludf.DUMMYFUNCTION("""COMPUTED_VALUE"""),730024.0)</f>
        <v>730024</v>
      </c>
      <c r="G356" s="2" t="s">
        <v>3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IFERROR(__xludf.DUMMYFUNCTION("""COMPUTED_VALUE"""),104.1)</f>
        <v>104.1</v>
      </c>
      <c r="C357" s="1">
        <f>IFERROR(__xludf.DUMMYFUNCTION("""COMPUTED_VALUE"""),104.64)</f>
        <v>104.64</v>
      </c>
      <c r="D357" s="1">
        <f>IFERROR(__xludf.DUMMYFUNCTION("""COMPUTED_VALUE"""),103.62)</f>
        <v>103.62</v>
      </c>
      <c r="E357" s="1">
        <f>IFERROR(__xludf.DUMMYFUNCTION("""COMPUTED_VALUE"""),104.48)</f>
        <v>104.48</v>
      </c>
      <c r="F357" s="1">
        <f>IFERROR(__xludf.DUMMYFUNCTION("""COMPUTED_VALUE"""),822410.0)</f>
        <v>822410</v>
      </c>
      <c r="G357" s="2" t="s">
        <v>3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IFERROR(__xludf.DUMMYFUNCTION("""COMPUTED_VALUE"""),103.9)</f>
        <v>103.9</v>
      </c>
      <c r="C358" s="1">
        <f>IFERROR(__xludf.DUMMYFUNCTION("""COMPUTED_VALUE"""),104.36)</f>
        <v>104.36</v>
      </c>
      <c r="D358" s="1">
        <f>IFERROR(__xludf.DUMMYFUNCTION("""COMPUTED_VALUE"""),102.12)</f>
        <v>102.12</v>
      </c>
      <c r="E358" s="1">
        <f>IFERROR(__xludf.DUMMYFUNCTION("""COMPUTED_VALUE"""),102.6)</f>
        <v>102.6</v>
      </c>
      <c r="F358" s="1">
        <f>IFERROR(__xludf.DUMMYFUNCTION("""COMPUTED_VALUE"""),1161218.0)</f>
        <v>1161218</v>
      </c>
      <c r="G358" s="2" t="s">
        <v>3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IFERROR(__xludf.DUMMYFUNCTION("""COMPUTED_VALUE"""),103.1)</f>
        <v>103.1</v>
      </c>
      <c r="C359" s="1">
        <f>IFERROR(__xludf.DUMMYFUNCTION("""COMPUTED_VALUE"""),103.42)</f>
        <v>103.42</v>
      </c>
      <c r="D359" s="1">
        <f>IFERROR(__xludf.DUMMYFUNCTION("""COMPUTED_VALUE"""),101.96)</f>
        <v>101.96</v>
      </c>
      <c r="E359" s="1">
        <f>IFERROR(__xludf.DUMMYFUNCTION("""COMPUTED_VALUE"""),102.78)</f>
        <v>102.78</v>
      </c>
      <c r="F359" s="1">
        <f>IFERROR(__xludf.DUMMYFUNCTION("""COMPUTED_VALUE"""),792753.0)</f>
        <v>792753</v>
      </c>
      <c r="G359" s="2" t="s">
        <v>3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IFERROR(__xludf.DUMMYFUNCTION("""COMPUTED_VALUE"""),103.74)</f>
        <v>103.74</v>
      </c>
      <c r="C360" s="1">
        <f>IFERROR(__xludf.DUMMYFUNCTION("""COMPUTED_VALUE"""),104.56)</f>
        <v>104.56</v>
      </c>
      <c r="D360" s="1">
        <f>IFERROR(__xludf.DUMMYFUNCTION("""COMPUTED_VALUE"""),102.74)</f>
        <v>102.74</v>
      </c>
      <c r="E360" s="1">
        <f>IFERROR(__xludf.DUMMYFUNCTION("""COMPUTED_VALUE"""),104.46)</f>
        <v>104.46</v>
      </c>
      <c r="F360" s="1">
        <f>IFERROR(__xludf.DUMMYFUNCTION("""COMPUTED_VALUE"""),984483.0)</f>
        <v>984483</v>
      </c>
      <c r="G360" s="2" t="s">
        <v>3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IFERROR(__xludf.DUMMYFUNCTION("""COMPUTED_VALUE"""),104.88)</f>
        <v>104.88</v>
      </c>
      <c r="C361" s="1">
        <f>IFERROR(__xludf.DUMMYFUNCTION("""COMPUTED_VALUE"""),105.54)</f>
        <v>105.54</v>
      </c>
      <c r="D361" s="1">
        <f>IFERROR(__xludf.DUMMYFUNCTION("""COMPUTED_VALUE"""),103.66)</f>
        <v>103.66</v>
      </c>
      <c r="E361" s="1">
        <f>IFERROR(__xludf.DUMMYFUNCTION("""COMPUTED_VALUE"""),104.4)</f>
        <v>104.4</v>
      </c>
      <c r="F361" s="1">
        <f>IFERROR(__xludf.DUMMYFUNCTION("""COMPUTED_VALUE"""),379423.0)</f>
        <v>379423</v>
      </c>
      <c r="G361" s="2" t="s">
        <v>3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IFERROR(__xludf.DUMMYFUNCTION("""COMPUTED_VALUE"""),104.4)</f>
        <v>104.4</v>
      </c>
      <c r="C362" s="1">
        <f>IFERROR(__xludf.DUMMYFUNCTION("""COMPUTED_VALUE"""),105.36)</f>
        <v>105.36</v>
      </c>
      <c r="D362" s="1">
        <f>IFERROR(__xludf.DUMMYFUNCTION("""COMPUTED_VALUE"""),103.96)</f>
        <v>103.96</v>
      </c>
      <c r="E362" s="1">
        <f>IFERROR(__xludf.DUMMYFUNCTION("""COMPUTED_VALUE"""),104.18)</f>
        <v>104.18</v>
      </c>
      <c r="F362" s="1">
        <f>IFERROR(__xludf.DUMMYFUNCTION("""COMPUTED_VALUE"""),668215.0)</f>
        <v>668215</v>
      </c>
      <c r="G362" s="2" t="s">
        <v>3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IFERROR(__xludf.DUMMYFUNCTION("""COMPUTED_VALUE"""),102.38)</f>
        <v>102.38</v>
      </c>
      <c r="C363" s="1">
        <f>IFERROR(__xludf.DUMMYFUNCTION("""COMPUTED_VALUE"""),103.98)</f>
        <v>103.98</v>
      </c>
      <c r="D363" s="1">
        <f>IFERROR(__xludf.DUMMYFUNCTION("""COMPUTED_VALUE"""),101.12)</f>
        <v>101.12</v>
      </c>
      <c r="E363" s="1">
        <f>IFERROR(__xludf.DUMMYFUNCTION("""COMPUTED_VALUE"""),101.92)</f>
        <v>101.92</v>
      </c>
      <c r="F363" s="1">
        <f>IFERROR(__xludf.DUMMYFUNCTION("""COMPUTED_VALUE"""),2892934.0)</f>
        <v>2892934</v>
      </c>
      <c r="G363" s="2" t="s">
        <v>3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IFERROR(__xludf.DUMMYFUNCTION("""COMPUTED_VALUE"""),102.6)</f>
        <v>102.6</v>
      </c>
      <c r="C364" s="1">
        <f>IFERROR(__xludf.DUMMYFUNCTION("""COMPUTED_VALUE"""),103.6)</f>
        <v>103.6</v>
      </c>
      <c r="D364" s="1">
        <f>IFERROR(__xludf.DUMMYFUNCTION("""COMPUTED_VALUE"""),102.14)</f>
        <v>102.14</v>
      </c>
      <c r="E364" s="1">
        <f>IFERROR(__xludf.DUMMYFUNCTION("""COMPUTED_VALUE"""),103.5)</f>
        <v>103.5</v>
      </c>
      <c r="F364" s="1">
        <f>IFERROR(__xludf.DUMMYFUNCTION("""COMPUTED_VALUE"""),808360.0)</f>
        <v>808360</v>
      </c>
      <c r="G364" s="2" t="s">
        <v>3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IFERROR(__xludf.DUMMYFUNCTION("""COMPUTED_VALUE"""),104.02)</f>
        <v>104.02</v>
      </c>
      <c r="C365" s="1">
        <f>IFERROR(__xludf.DUMMYFUNCTION("""COMPUTED_VALUE"""),106.44)</f>
        <v>106.44</v>
      </c>
      <c r="D365" s="1">
        <f>IFERROR(__xludf.DUMMYFUNCTION("""COMPUTED_VALUE"""),103.72)</f>
        <v>103.72</v>
      </c>
      <c r="E365" s="1">
        <f>IFERROR(__xludf.DUMMYFUNCTION("""COMPUTED_VALUE"""),106.16)</f>
        <v>106.16</v>
      </c>
      <c r="F365" s="1">
        <f>IFERROR(__xludf.DUMMYFUNCTION("""COMPUTED_VALUE"""),1351058.0)</f>
        <v>1351058</v>
      </c>
      <c r="G365" s="2" t="s">
        <v>3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IFERROR(__xludf.DUMMYFUNCTION("""COMPUTED_VALUE"""),105.98)</f>
        <v>105.98</v>
      </c>
      <c r="C366" s="1">
        <f>IFERROR(__xludf.DUMMYFUNCTION("""COMPUTED_VALUE"""),106.44)</f>
        <v>106.44</v>
      </c>
      <c r="D366" s="1">
        <f>IFERROR(__xludf.DUMMYFUNCTION("""COMPUTED_VALUE"""),105.42)</f>
        <v>105.42</v>
      </c>
      <c r="E366" s="1">
        <f>IFERROR(__xludf.DUMMYFUNCTION("""COMPUTED_VALUE"""),106.44)</f>
        <v>106.44</v>
      </c>
      <c r="F366" s="1">
        <f>IFERROR(__xludf.DUMMYFUNCTION("""COMPUTED_VALUE"""),763837.0)</f>
        <v>763837</v>
      </c>
      <c r="G366" s="2" t="s">
        <v>3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IFERROR(__xludf.DUMMYFUNCTION("""COMPUTED_VALUE"""),106.3)</f>
        <v>106.3</v>
      </c>
      <c r="C367" s="1">
        <f>IFERROR(__xludf.DUMMYFUNCTION("""COMPUTED_VALUE"""),106.74)</f>
        <v>106.74</v>
      </c>
      <c r="D367" s="1">
        <f>IFERROR(__xludf.DUMMYFUNCTION("""COMPUTED_VALUE"""),105.7)</f>
        <v>105.7</v>
      </c>
      <c r="E367" s="1">
        <f>IFERROR(__xludf.DUMMYFUNCTION("""COMPUTED_VALUE"""),106.7)</f>
        <v>106.7</v>
      </c>
      <c r="F367" s="1">
        <f>IFERROR(__xludf.DUMMYFUNCTION("""COMPUTED_VALUE"""),660014.0)</f>
        <v>660014</v>
      </c>
      <c r="G367" s="2" t="s">
        <v>3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IFERROR(__xludf.DUMMYFUNCTION("""COMPUTED_VALUE"""),106.84)</f>
        <v>106.84</v>
      </c>
      <c r="C368" s="1">
        <f>IFERROR(__xludf.DUMMYFUNCTION("""COMPUTED_VALUE"""),106.98)</f>
        <v>106.98</v>
      </c>
      <c r="D368" s="1">
        <f>IFERROR(__xludf.DUMMYFUNCTION("""COMPUTED_VALUE"""),105.46)</f>
        <v>105.46</v>
      </c>
      <c r="E368" s="1">
        <f>IFERROR(__xludf.DUMMYFUNCTION("""COMPUTED_VALUE"""),106.88)</f>
        <v>106.88</v>
      </c>
      <c r="F368" s="1">
        <f>IFERROR(__xludf.DUMMYFUNCTION("""COMPUTED_VALUE"""),820752.0)</f>
        <v>820752</v>
      </c>
      <c r="G368" s="2" t="s">
        <v>3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IFERROR(__xludf.DUMMYFUNCTION("""COMPUTED_VALUE"""),106.98)</f>
        <v>106.98</v>
      </c>
      <c r="C369" s="1">
        <f>IFERROR(__xludf.DUMMYFUNCTION("""COMPUTED_VALUE"""),108.84)</f>
        <v>108.84</v>
      </c>
      <c r="D369" s="1">
        <f>IFERROR(__xludf.DUMMYFUNCTION("""COMPUTED_VALUE"""),106.94)</f>
        <v>106.94</v>
      </c>
      <c r="E369" s="1">
        <f>IFERROR(__xludf.DUMMYFUNCTION("""COMPUTED_VALUE"""),107.96)</f>
        <v>107.96</v>
      </c>
      <c r="F369" s="1">
        <f>IFERROR(__xludf.DUMMYFUNCTION("""COMPUTED_VALUE"""),950418.0)</f>
        <v>950418</v>
      </c>
      <c r="G369" s="2" t="s">
        <v>3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IFERROR(__xludf.DUMMYFUNCTION("""COMPUTED_VALUE"""),108.44)</f>
        <v>108.44</v>
      </c>
      <c r="C370" s="1">
        <f>IFERROR(__xludf.DUMMYFUNCTION("""COMPUTED_VALUE"""),108.92)</f>
        <v>108.92</v>
      </c>
      <c r="D370" s="1">
        <f>IFERROR(__xludf.DUMMYFUNCTION("""COMPUTED_VALUE"""),107.86)</f>
        <v>107.86</v>
      </c>
      <c r="E370" s="1">
        <f>IFERROR(__xludf.DUMMYFUNCTION("""COMPUTED_VALUE"""),108.08)</f>
        <v>108.08</v>
      </c>
      <c r="F370" s="1">
        <f>IFERROR(__xludf.DUMMYFUNCTION("""COMPUTED_VALUE"""),566274.0)</f>
        <v>566274</v>
      </c>
      <c r="G370" s="2" t="s">
        <v>3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IFERROR(__xludf.DUMMYFUNCTION("""COMPUTED_VALUE"""),108.5)</f>
        <v>108.5</v>
      </c>
      <c r="C371" s="1">
        <f>IFERROR(__xludf.DUMMYFUNCTION("""COMPUTED_VALUE"""),110.14)</f>
        <v>110.14</v>
      </c>
      <c r="D371" s="1">
        <f>IFERROR(__xludf.DUMMYFUNCTION("""COMPUTED_VALUE"""),108.46)</f>
        <v>108.46</v>
      </c>
      <c r="E371" s="1">
        <f>IFERROR(__xludf.DUMMYFUNCTION("""COMPUTED_VALUE"""),110.14)</f>
        <v>110.14</v>
      </c>
      <c r="F371" s="1">
        <f>IFERROR(__xludf.DUMMYFUNCTION("""COMPUTED_VALUE"""),1031189.0)</f>
        <v>1031189</v>
      </c>
      <c r="G371" s="2" t="s">
        <v>3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IFERROR(__xludf.DUMMYFUNCTION("""COMPUTED_VALUE"""),110.3)</f>
        <v>110.3</v>
      </c>
      <c r="C372" s="1">
        <f>IFERROR(__xludf.DUMMYFUNCTION("""COMPUTED_VALUE"""),112.06)</f>
        <v>112.06</v>
      </c>
      <c r="D372" s="1">
        <f>IFERROR(__xludf.DUMMYFUNCTION("""COMPUTED_VALUE"""),110.22)</f>
        <v>110.22</v>
      </c>
      <c r="E372" s="1">
        <f>IFERROR(__xludf.DUMMYFUNCTION("""COMPUTED_VALUE"""),112.06)</f>
        <v>112.06</v>
      </c>
      <c r="F372" s="1">
        <f>IFERROR(__xludf.DUMMYFUNCTION("""COMPUTED_VALUE"""),1426285.0)</f>
        <v>1426285</v>
      </c>
      <c r="G372" s="2" t="s">
        <v>3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IFERROR(__xludf.DUMMYFUNCTION("""COMPUTED_VALUE"""),112.18)</f>
        <v>112.18</v>
      </c>
      <c r="C373" s="1">
        <f>IFERROR(__xludf.DUMMYFUNCTION("""COMPUTED_VALUE"""),113.46)</f>
        <v>113.46</v>
      </c>
      <c r="D373" s="1">
        <f>IFERROR(__xludf.DUMMYFUNCTION("""COMPUTED_VALUE"""),111.94)</f>
        <v>111.94</v>
      </c>
      <c r="E373" s="1">
        <f>IFERROR(__xludf.DUMMYFUNCTION("""COMPUTED_VALUE"""),112.9)</f>
        <v>112.9</v>
      </c>
      <c r="F373" s="1">
        <f>IFERROR(__xludf.DUMMYFUNCTION("""COMPUTED_VALUE"""),937730.0)</f>
        <v>937730</v>
      </c>
      <c r="G373" s="2" t="s">
        <v>3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IFERROR(__xludf.DUMMYFUNCTION("""COMPUTED_VALUE"""),112.68)</f>
        <v>112.68</v>
      </c>
      <c r="C374" s="1">
        <f>IFERROR(__xludf.DUMMYFUNCTION("""COMPUTED_VALUE"""),113.0)</f>
        <v>113</v>
      </c>
      <c r="D374" s="1">
        <f>IFERROR(__xludf.DUMMYFUNCTION("""COMPUTED_VALUE"""),111.58)</f>
        <v>111.58</v>
      </c>
      <c r="E374" s="1">
        <f>IFERROR(__xludf.DUMMYFUNCTION("""COMPUTED_VALUE"""),112.52)</f>
        <v>112.52</v>
      </c>
      <c r="F374" s="1">
        <f>IFERROR(__xludf.DUMMYFUNCTION("""COMPUTED_VALUE"""),808875.0)</f>
        <v>808875</v>
      </c>
      <c r="G374" s="2" t="s">
        <v>3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IFERROR(__xludf.DUMMYFUNCTION("""COMPUTED_VALUE"""),112.42)</f>
        <v>112.42</v>
      </c>
      <c r="C375" s="1">
        <f>IFERROR(__xludf.DUMMYFUNCTION("""COMPUTED_VALUE"""),112.5)</f>
        <v>112.5</v>
      </c>
      <c r="D375" s="1">
        <f>IFERROR(__xludf.DUMMYFUNCTION("""COMPUTED_VALUE"""),110.54)</f>
        <v>110.54</v>
      </c>
      <c r="E375" s="1">
        <f>IFERROR(__xludf.DUMMYFUNCTION("""COMPUTED_VALUE"""),111.72)</f>
        <v>111.72</v>
      </c>
      <c r="F375" s="1">
        <f>IFERROR(__xludf.DUMMYFUNCTION("""COMPUTED_VALUE"""),2595431.0)</f>
        <v>2595431</v>
      </c>
      <c r="G375" s="2" t="s">
        <v>3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IFERROR(__xludf.DUMMYFUNCTION("""COMPUTED_VALUE"""),111.44)</f>
        <v>111.44</v>
      </c>
      <c r="C376" s="1">
        <f>IFERROR(__xludf.DUMMYFUNCTION("""COMPUTED_VALUE"""),111.7)</f>
        <v>111.7</v>
      </c>
      <c r="D376" s="1">
        <f>IFERROR(__xludf.DUMMYFUNCTION("""COMPUTED_VALUE"""),110.64)</f>
        <v>110.64</v>
      </c>
      <c r="E376" s="1">
        <f>IFERROR(__xludf.DUMMYFUNCTION("""COMPUTED_VALUE"""),111.02)</f>
        <v>111.02</v>
      </c>
      <c r="F376" s="1">
        <f>IFERROR(__xludf.DUMMYFUNCTION("""COMPUTED_VALUE"""),580786.0)</f>
        <v>580786</v>
      </c>
      <c r="G376" s="2" t="s">
        <v>3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IFERROR(__xludf.DUMMYFUNCTION("""COMPUTED_VALUE"""),110.28)</f>
        <v>110.28</v>
      </c>
      <c r="C377" s="1">
        <f>IFERROR(__xludf.DUMMYFUNCTION("""COMPUTED_VALUE"""),110.82)</f>
        <v>110.82</v>
      </c>
      <c r="D377" s="1">
        <f>IFERROR(__xludf.DUMMYFUNCTION("""COMPUTED_VALUE"""),109.26)</f>
        <v>109.26</v>
      </c>
      <c r="E377" s="1">
        <f>IFERROR(__xludf.DUMMYFUNCTION("""COMPUTED_VALUE"""),110.52)</f>
        <v>110.52</v>
      </c>
      <c r="F377" s="1">
        <f>IFERROR(__xludf.DUMMYFUNCTION("""COMPUTED_VALUE"""),790336.0)</f>
        <v>790336</v>
      </c>
      <c r="G377" s="2" t="s">
        <v>3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IFERROR(__xludf.DUMMYFUNCTION("""COMPUTED_VALUE"""),111.1)</f>
        <v>111.1</v>
      </c>
      <c r="C378" s="1">
        <f>IFERROR(__xludf.DUMMYFUNCTION("""COMPUTED_VALUE"""),111.86)</f>
        <v>111.86</v>
      </c>
      <c r="D378" s="1">
        <f>IFERROR(__xludf.DUMMYFUNCTION("""COMPUTED_VALUE"""),109.7)</f>
        <v>109.7</v>
      </c>
      <c r="E378" s="1">
        <f>IFERROR(__xludf.DUMMYFUNCTION("""COMPUTED_VALUE"""),109.92)</f>
        <v>109.92</v>
      </c>
      <c r="F378" s="1">
        <f>IFERROR(__xludf.DUMMYFUNCTION("""COMPUTED_VALUE"""),685772.0)</f>
        <v>685772</v>
      </c>
      <c r="G378" s="2" t="s">
        <v>3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IFERROR(__xludf.DUMMYFUNCTION("""COMPUTED_VALUE"""),108.98)</f>
        <v>108.98</v>
      </c>
      <c r="C379" s="1">
        <f>IFERROR(__xludf.DUMMYFUNCTION("""COMPUTED_VALUE"""),109.2)</f>
        <v>109.2</v>
      </c>
      <c r="D379" s="1">
        <f>IFERROR(__xludf.DUMMYFUNCTION("""COMPUTED_VALUE"""),107.86)</f>
        <v>107.86</v>
      </c>
      <c r="E379" s="1">
        <f>IFERROR(__xludf.DUMMYFUNCTION("""COMPUTED_VALUE"""),109.1)</f>
        <v>109.1</v>
      </c>
      <c r="F379" s="1">
        <f>IFERROR(__xludf.DUMMYFUNCTION("""COMPUTED_VALUE"""),668475.0)</f>
        <v>668475</v>
      </c>
      <c r="G379" s="2" t="s">
        <v>3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IFERROR(__xludf.DUMMYFUNCTION("""COMPUTED_VALUE"""),109.12)</f>
        <v>109.12</v>
      </c>
      <c r="C380" s="1">
        <f>IFERROR(__xludf.DUMMYFUNCTION("""COMPUTED_VALUE"""),109.2)</f>
        <v>109.2</v>
      </c>
      <c r="D380" s="1">
        <f>IFERROR(__xludf.DUMMYFUNCTION("""COMPUTED_VALUE"""),107.52)</f>
        <v>107.52</v>
      </c>
      <c r="E380" s="1">
        <f>IFERROR(__xludf.DUMMYFUNCTION("""COMPUTED_VALUE"""),108.62)</f>
        <v>108.62</v>
      </c>
      <c r="F380" s="1">
        <f>IFERROR(__xludf.DUMMYFUNCTION("""COMPUTED_VALUE"""),762651.0)</f>
        <v>762651</v>
      </c>
      <c r="G380" s="2" t="s">
        <v>3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IFERROR(__xludf.DUMMYFUNCTION("""COMPUTED_VALUE"""),109.2)</f>
        <v>109.2</v>
      </c>
      <c r="C381" s="1">
        <f>IFERROR(__xludf.DUMMYFUNCTION("""COMPUTED_VALUE"""),109.46)</f>
        <v>109.46</v>
      </c>
      <c r="D381" s="1">
        <f>IFERROR(__xludf.DUMMYFUNCTION("""COMPUTED_VALUE"""),107.46)</f>
        <v>107.46</v>
      </c>
      <c r="E381" s="1">
        <f>IFERROR(__xludf.DUMMYFUNCTION("""COMPUTED_VALUE"""),109.24)</f>
        <v>109.24</v>
      </c>
      <c r="F381" s="1">
        <f>IFERROR(__xludf.DUMMYFUNCTION("""COMPUTED_VALUE"""),751429.0)</f>
        <v>751429</v>
      </c>
      <c r="G381" s="2" t="s">
        <v>3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IFERROR(__xludf.DUMMYFUNCTION("""COMPUTED_VALUE"""),109.5)</f>
        <v>109.5</v>
      </c>
      <c r="C382" s="1">
        <f>IFERROR(__xludf.DUMMYFUNCTION("""COMPUTED_VALUE"""),109.82)</f>
        <v>109.82</v>
      </c>
      <c r="D382" s="1">
        <f>IFERROR(__xludf.DUMMYFUNCTION("""COMPUTED_VALUE"""),107.54)</f>
        <v>107.54</v>
      </c>
      <c r="E382" s="1">
        <f>IFERROR(__xludf.DUMMYFUNCTION("""COMPUTED_VALUE"""),108.06)</f>
        <v>108.06</v>
      </c>
      <c r="F382" s="1">
        <f>IFERROR(__xludf.DUMMYFUNCTION("""COMPUTED_VALUE"""),922281.0)</f>
        <v>922281</v>
      </c>
      <c r="G382" s="2" t="s">
        <v>3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IFERROR(__xludf.DUMMYFUNCTION("""COMPUTED_VALUE"""),108.56)</f>
        <v>108.56</v>
      </c>
      <c r="C383" s="1">
        <f>IFERROR(__xludf.DUMMYFUNCTION("""COMPUTED_VALUE"""),109.92)</f>
        <v>109.92</v>
      </c>
      <c r="D383" s="1">
        <f>IFERROR(__xludf.DUMMYFUNCTION("""COMPUTED_VALUE"""),107.94)</f>
        <v>107.94</v>
      </c>
      <c r="E383" s="1">
        <f>IFERROR(__xludf.DUMMYFUNCTION("""COMPUTED_VALUE"""),109.88)</f>
        <v>109.88</v>
      </c>
      <c r="F383" s="1">
        <f>IFERROR(__xludf.DUMMYFUNCTION("""COMPUTED_VALUE"""),734547.0)</f>
        <v>734547</v>
      </c>
      <c r="G383" s="2" t="s">
        <v>3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IFERROR(__xludf.DUMMYFUNCTION("""COMPUTED_VALUE"""),109.9)</f>
        <v>109.9</v>
      </c>
      <c r="C384" s="1">
        <f>IFERROR(__xludf.DUMMYFUNCTION("""COMPUTED_VALUE"""),111.64)</f>
        <v>111.64</v>
      </c>
      <c r="D384" s="1">
        <f>IFERROR(__xludf.DUMMYFUNCTION("""COMPUTED_VALUE"""),109.9)</f>
        <v>109.9</v>
      </c>
      <c r="E384" s="1">
        <f>IFERROR(__xludf.DUMMYFUNCTION("""COMPUTED_VALUE"""),111.04)</f>
        <v>111.04</v>
      </c>
      <c r="F384" s="1">
        <f>IFERROR(__xludf.DUMMYFUNCTION("""COMPUTED_VALUE"""),786284.0)</f>
        <v>786284</v>
      </c>
      <c r="G384" s="2" t="s">
        <v>3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IFERROR(__xludf.DUMMYFUNCTION("""COMPUTED_VALUE"""),111.48)</f>
        <v>111.48</v>
      </c>
      <c r="C385" s="1">
        <f>IFERROR(__xludf.DUMMYFUNCTION("""COMPUTED_VALUE"""),113.06)</f>
        <v>113.06</v>
      </c>
      <c r="D385" s="1">
        <f>IFERROR(__xludf.DUMMYFUNCTION("""COMPUTED_VALUE"""),111.32)</f>
        <v>111.32</v>
      </c>
      <c r="E385" s="1">
        <f>IFERROR(__xludf.DUMMYFUNCTION("""COMPUTED_VALUE"""),112.52)</f>
        <v>112.52</v>
      </c>
      <c r="F385" s="1">
        <f>IFERROR(__xludf.DUMMYFUNCTION("""COMPUTED_VALUE"""),1442529.0)</f>
        <v>1442529</v>
      </c>
      <c r="G385" s="2" t="s">
        <v>3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IFERROR(__xludf.DUMMYFUNCTION("""COMPUTED_VALUE"""),112.9)</f>
        <v>112.9</v>
      </c>
      <c r="C386" s="1">
        <f>IFERROR(__xludf.DUMMYFUNCTION("""COMPUTED_VALUE"""),113.12)</f>
        <v>113.12</v>
      </c>
      <c r="D386" s="1">
        <f>IFERROR(__xludf.DUMMYFUNCTION("""COMPUTED_VALUE"""),111.96)</f>
        <v>111.96</v>
      </c>
      <c r="E386" s="1">
        <f>IFERROR(__xludf.DUMMYFUNCTION("""COMPUTED_VALUE"""),112.2)</f>
        <v>112.2</v>
      </c>
      <c r="F386" s="1">
        <f>IFERROR(__xludf.DUMMYFUNCTION("""COMPUTED_VALUE"""),573512.0)</f>
        <v>573512</v>
      </c>
      <c r="G386" s="2" t="s">
        <v>3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IFERROR(__xludf.DUMMYFUNCTION("""COMPUTED_VALUE"""),112.42)</f>
        <v>112.42</v>
      </c>
      <c r="C387" s="1">
        <f>IFERROR(__xludf.DUMMYFUNCTION("""COMPUTED_VALUE"""),112.96)</f>
        <v>112.96</v>
      </c>
      <c r="D387" s="1">
        <f>IFERROR(__xludf.DUMMYFUNCTION("""COMPUTED_VALUE"""),111.1)</f>
        <v>111.1</v>
      </c>
      <c r="E387" s="1">
        <f>IFERROR(__xludf.DUMMYFUNCTION("""COMPUTED_VALUE"""),111.82)</f>
        <v>111.82</v>
      </c>
      <c r="F387" s="1">
        <f>IFERROR(__xludf.DUMMYFUNCTION("""COMPUTED_VALUE"""),547810.0)</f>
        <v>547810</v>
      </c>
      <c r="G387" s="2" t="s">
        <v>3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IFERROR(__xludf.DUMMYFUNCTION("""COMPUTED_VALUE"""),110.8)</f>
        <v>110.8</v>
      </c>
      <c r="C388" s="1">
        <f>IFERROR(__xludf.DUMMYFUNCTION("""COMPUTED_VALUE"""),112.4)</f>
        <v>112.4</v>
      </c>
      <c r="D388" s="1">
        <f>IFERROR(__xludf.DUMMYFUNCTION("""COMPUTED_VALUE"""),110.5)</f>
        <v>110.5</v>
      </c>
      <c r="E388" s="1">
        <f>IFERROR(__xludf.DUMMYFUNCTION("""COMPUTED_VALUE"""),112.4)</f>
        <v>112.4</v>
      </c>
      <c r="F388" s="1">
        <f>IFERROR(__xludf.DUMMYFUNCTION("""COMPUTED_VALUE"""),732634.0)</f>
        <v>732634</v>
      </c>
      <c r="G388" s="2" t="s">
        <v>3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IFERROR(__xludf.DUMMYFUNCTION("""COMPUTED_VALUE"""),112.86)</f>
        <v>112.86</v>
      </c>
      <c r="C389" s="1">
        <f>IFERROR(__xludf.DUMMYFUNCTION("""COMPUTED_VALUE"""),112.86)</f>
        <v>112.86</v>
      </c>
      <c r="D389" s="1">
        <f>IFERROR(__xludf.DUMMYFUNCTION("""COMPUTED_VALUE"""),107.88)</f>
        <v>107.88</v>
      </c>
      <c r="E389" s="1">
        <f>IFERROR(__xludf.DUMMYFUNCTION("""COMPUTED_VALUE"""),108.02)</f>
        <v>108.02</v>
      </c>
      <c r="F389" s="1">
        <f>IFERROR(__xludf.DUMMYFUNCTION("""COMPUTED_VALUE"""),1237008.0)</f>
        <v>1237008</v>
      </c>
      <c r="G389" s="2" t="s">
        <v>3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IFERROR(__xludf.DUMMYFUNCTION("""COMPUTED_VALUE"""),107.9)</f>
        <v>107.9</v>
      </c>
      <c r="C390" s="1">
        <f>IFERROR(__xludf.DUMMYFUNCTION("""COMPUTED_VALUE"""),108.44)</f>
        <v>108.44</v>
      </c>
      <c r="D390" s="1">
        <f>IFERROR(__xludf.DUMMYFUNCTION("""COMPUTED_VALUE"""),107.04)</f>
        <v>107.04</v>
      </c>
      <c r="E390" s="1">
        <f>IFERROR(__xludf.DUMMYFUNCTION("""COMPUTED_VALUE"""),107.14)</f>
        <v>107.14</v>
      </c>
      <c r="F390" s="1">
        <f>IFERROR(__xludf.DUMMYFUNCTION("""COMPUTED_VALUE"""),1179553.0)</f>
        <v>1179553</v>
      </c>
      <c r="G390" s="2" t="s">
        <v>3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IFERROR(__xludf.DUMMYFUNCTION("""COMPUTED_VALUE"""),106.98)</f>
        <v>106.98</v>
      </c>
      <c r="C391" s="1">
        <f>IFERROR(__xludf.DUMMYFUNCTION("""COMPUTED_VALUE"""),108.82)</f>
        <v>108.82</v>
      </c>
      <c r="D391" s="1">
        <f>IFERROR(__xludf.DUMMYFUNCTION("""COMPUTED_VALUE"""),106.12)</f>
        <v>106.12</v>
      </c>
      <c r="E391" s="1">
        <f>IFERROR(__xludf.DUMMYFUNCTION("""COMPUTED_VALUE"""),107.48)</f>
        <v>107.48</v>
      </c>
      <c r="F391" s="1">
        <f>IFERROR(__xludf.DUMMYFUNCTION("""COMPUTED_VALUE"""),673649.0)</f>
        <v>673649</v>
      </c>
      <c r="G391" s="2" t="s">
        <v>3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IFERROR(__xludf.DUMMYFUNCTION("""COMPUTED_VALUE"""),107.0)</f>
        <v>107</v>
      </c>
      <c r="C392" s="1">
        <f>IFERROR(__xludf.DUMMYFUNCTION("""COMPUTED_VALUE"""),107.06)</f>
        <v>107.06</v>
      </c>
      <c r="D392" s="1">
        <f>IFERROR(__xludf.DUMMYFUNCTION("""COMPUTED_VALUE"""),105.16)</f>
        <v>105.16</v>
      </c>
      <c r="E392" s="1">
        <f>IFERROR(__xludf.DUMMYFUNCTION("""COMPUTED_VALUE"""),106.48)</f>
        <v>106.48</v>
      </c>
      <c r="F392" s="1">
        <f>IFERROR(__xludf.DUMMYFUNCTION("""COMPUTED_VALUE"""),1037629.0)</f>
        <v>1037629</v>
      </c>
      <c r="G392" s="2" t="s">
        <v>3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IFERROR(__xludf.DUMMYFUNCTION("""COMPUTED_VALUE"""),106.96)</f>
        <v>106.96</v>
      </c>
      <c r="C393" s="1">
        <f>IFERROR(__xludf.DUMMYFUNCTION("""COMPUTED_VALUE"""),107.6)</f>
        <v>107.6</v>
      </c>
      <c r="D393" s="1">
        <f>IFERROR(__xludf.DUMMYFUNCTION("""COMPUTED_VALUE"""),106.54)</f>
        <v>106.54</v>
      </c>
      <c r="E393" s="1">
        <f>IFERROR(__xludf.DUMMYFUNCTION("""COMPUTED_VALUE"""),107.4)</f>
        <v>107.4</v>
      </c>
      <c r="F393" s="1">
        <f>IFERROR(__xludf.DUMMYFUNCTION("""COMPUTED_VALUE"""),729269.0)</f>
        <v>729269</v>
      </c>
      <c r="G393" s="2" t="s">
        <v>3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IFERROR(__xludf.DUMMYFUNCTION("""COMPUTED_VALUE"""),107.76)</f>
        <v>107.76</v>
      </c>
      <c r="C394" s="1">
        <f>IFERROR(__xludf.DUMMYFUNCTION("""COMPUTED_VALUE"""),107.8)</f>
        <v>107.8</v>
      </c>
      <c r="D394" s="1">
        <f>IFERROR(__xludf.DUMMYFUNCTION("""COMPUTED_VALUE"""),106.82)</f>
        <v>106.82</v>
      </c>
      <c r="E394" s="1">
        <f>IFERROR(__xludf.DUMMYFUNCTION("""COMPUTED_VALUE"""),107.0)</f>
        <v>107</v>
      </c>
      <c r="F394" s="1">
        <f>IFERROR(__xludf.DUMMYFUNCTION("""COMPUTED_VALUE"""),663645.0)</f>
        <v>663645</v>
      </c>
      <c r="G394" s="2" t="s">
        <v>3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IFERROR(__xludf.DUMMYFUNCTION("""COMPUTED_VALUE"""),107.0)</f>
        <v>107</v>
      </c>
      <c r="C395" s="1">
        <f>IFERROR(__xludf.DUMMYFUNCTION("""COMPUTED_VALUE"""),107.14)</f>
        <v>107.14</v>
      </c>
      <c r="D395" s="1">
        <f>IFERROR(__xludf.DUMMYFUNCTION("""COMPUTED_VALUE"""),105.58)</f>
        <v>105.58</v>
      </c>
      <c r="E395" s="1">
        <f>IFERROR(__xludf.DUMMYFUNCTION("""COMPUTED_VALUE"""),106.76)</f>
        <v>106.76</v>
      </c>
      <c r="F395" s="1">
        <f>IFERROR(__xludf.DUMMYFUNCTION("""COMPUTED_VALUE"""),807744.0)</f>
        <v>807744</v>
      </c>
      <c r="G395" s="2" t="s">
        <v>3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IFERROR(__xludf.DUMMYFUNCTION("""COMPUTED_VALUE"""),106.4)</f>
        <v>106.4</v>
      </c>
      <c r="C396" s="1">
        <f>IFERROR(__xludf.DUMMYFUNCTION("""COMPUTED_VALUE"""),107.26)</f>
        <v>107.26</v>
      </c>
      <c r="D396" s="1">
        <f>IFERROR(__xludf.DUMMYFUNCTION("""COMPUTED_VALUE"""),106.1)</f>
        <v>106.1</v>
      </c>
      <c r="E396" s="1">
        <f>IFERROR(__xludf.DUMMYFUNCTION("""COMPUTED_VALUE"""),106.8)</f>
        <v>106.8</v>
      </c>
      <c r="F396" s="1">
        <f>IFERROR(__xludf.DUMMYFUNCTION("""COMPUTED_VALUE"""),515501.0)</f>
        <v>515501</v>
      </c>
      <c r="G396" s="2" t="s">
        <v>3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IFERROR(__xludf.DUMMYFUNCTION("""COMPUTED_VALUE"""),106.86)</f>
        <v>106.86</v>
      </c>
      <c r="C397" s="1">
        <f>IFERROR(__xludf.DUMMYFUNCTION("""COMPUTED_VALUE"""),107.8)</f>
        <v>107.8</v>
      </c>
      <c r="D397" s="1">
        <f>IFERROR(__xludf.DUMMYFUNCTION("""COMPUTED_VALUE"""),106.32)</f>
        <v>106.32</v>
      </c>
      <c r="E397" s="1">
        <f>IFERROR(__xludf.DUMMYFUNCTION("""COMPUTED_VALUE"""),107.1)</f>
        <v>107.1</v>
      </c>
      <c r="F397" s="1">
        <f>IFERROR(__xludf.DUMMYFUNCTION("""COMPUTED_VALUE"""),574491.0)</f>
        <v>574491</v>
      </c>
      <c r="G397" s="2" t="s">
        <v>3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IFERROR(__xludf.DUMMYFUNCTION("""COMPUTED_VALUE"""),107.42)</f>
        <v>107.42</v>
      </c>
      <c r="C398" s="1">
        <f>IFERROR(__xludf.DUMMYFUNCTION("""COMPUTED_VALUE"""),107.62)</f>
        <v>107.62</v>
      </c>
      <c r="D398" s="1">
        <f>IFERROR(__xludf.DUMMYFUNCTION("""COMPUTED_VALUE"""),106.14)</f>
        <v>106.14</v>
      </c>
      <c r="E398" s="1">
        <f>IFERROR(__xludf.DUMMYFUNCTION("""COMPUTED_VALUE"""),107.2)</f>
        <v>107.2</v>
      </c>
      <c r="F398" s="1">
        <f>IFERROR(__xludf.DUMMYFUNCTION("""COMPUTED_VALUE"""),789611.0)</f>
        <v>789611</v>
      </c>
      <c r="G398" s="2" t="s">
        <v>3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IFERROR(__xludf.DUMMYFUNCTION("""COMPUTED_VALUE"""),106.82)</f>
        <v>106.82</v>
      </c>
      <c r="C399" s="1">
        <f>IFERROR(__xludf.DUMMYFUNCTION("""COMPUTED_VALUE"""),108.3)</f>
        <v>108.3</v>
      </c>
      <c r="D399" s="1">
        <f>IFERROR(__xludf.DUMMYFUNCTION("""COMPUTED_VALUE"""),106.72)</f>
        <v>106.72</v>
      </c>
      <c r="E399" s="1">
        <f>IFERROR(__xludf.DUMMYFUNCTION("""COMPUTED_VALUE"""),107.68)</f>
        <v>107.68</v>
      </c>
      <c r="F399" s="1">
        <f>IFERROR(__xludf.DUMMYFUNCTION("""COMPUTED_VALUE"""),716073.0)</f>
        <v>716073</v>
      </c>
      <c r="G399" s="2" t="s">
        <v>3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IFERROR(__xludf.DUMMYFUNCTION("""COMPUTED_VALUE"""),107.64)</f>
        <v>107.64</v>
      </c>
      <c r="C400" s="1">
        <f>IFERROR(__xludf.DUMMYFUNCTION("""COMPUTED_VALUE"""),108.76)</f>
        <v>108.76</v>
      </c>
      <c r="D400" s="1">
        <f>IFERROR(__xludf.DUMMYFUNCTION("""COMPUTED_VALUE"""),107.48)</f>
        <v>107.48</v>
      </c>
      <c r="E400" s="1">
        <f>IFERROR(__xludf.DUMMYFUNCTION("""COMPUTED_VALUE"""),107.58)</f>
        <v>107.58</v>
      </c>
      <c r="F400" s="1">
        <f>IFERROR(__xludf.DUMMYFUNCTION("""COMPUTED_VALUE"""),919523.0)</f>
        <v>919523</v>
      </c>
      <c r="G400" s="2" t="s">
        <v>3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IFERROR(__xludf.DUMMYFUNCTION("""COMPUTED_VALUE"""),107.34)</f>
        <v>107.34</v>
      </c>
      <c r="C401" s="1">
        <f>IFERROR(__xludf.DUMMYFUNCTION("""COMPUTED_VALUE"""),108.62)</f>
        <v>108.62</v>
      </c>
      <c r="D401" s="1">
        <f>IFERROR(__xludf.DUMMYFUNCTION("""COMPUTED_VALUE"""),106.92)</f>
        <v>106.92</v>
      </c>
      <c r="E401" s="1">
        <f>IFERROR(__xludf.DUMMYFUNCTION("""COMPUTED_VALUE"""),108.6)</f>
        <v>108.6</v>
      </c>
      <c r="F401" s="1">
        <f>IFERROR(__xludf.DUMMYFUNCTION("""COMPUTED_VALUE"""),724210.0)</f>
        <v>724210</v>
      </c>
      <c r="G401" s="2" t="s">
        <v>3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IFERROR(__xludf.DUMMYFUNCTION("""COMPUTED_VALUE"""),109.32)</f>
        <v>109.32</v>
      </c>
      <c r="C402" s="1">
        <f>IFERROR(__xludf.DUMMYFUNCTION("""COMPUTED_VALUE"""),109.36)</f>
        <v>109.36</v>
      </c>
      <c r="D402" s="1">
        <f>IFERROR(__xludf.DUMMYFUNCTION("""COMPUTED_VALUE"""),108.14)</f>
        <v>108.14</v>
      </c>
      <c r="E402" s="1">
        <f>IFERROR(__xludf.DUMMYFUNCTION("""COMPUTED_VALUE"""),108.42)</f>
        <v>108.42</v>
      </c>
      <c r="F402" s="1">
        <f>IFERROR(__xludf.DUMMYFUNCTION("""COMPUTED_VALUE"""),536559.0)</f>
        <v>536559</v>
      </c>
      <c r="G402" s="2" t="s">
        <v>3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IFERROR(__xludf.DUMMYFUNCTION("""COMPUTED_VALUE"""),108.44)</f>
        <v>108.44</v>
      </c>
      <c r="C403" s="1">
        <f>IFERROR(__xludf.DUMMYFUNCTION("""COMPUTED_VALUE"""),108.76)</f>
        <v>108.76</v>
      </c>
      <c r="D403" s="1">
        <f>IFERROR(__xludf.DUMMYFUNCTION("""COMPUTED_VALUE"""),105.82)</f>
        <v>105.82</v>
      </c>
      <c r="E403" s="1">
        <f>IFERROR(__xludf.DUMMYFUNCTION("""COMPUTED_VALUE"""),107.16)</f>
        <v>107.16</v>
      </c>
      <c r="F403" s="1">
        <f>IFERROR(__xludf.DUMMYFUNCTION("""COMPUTED_VALUE"""),851730.0)</f>
        <v>851730</v>
      </c>
      <c r="G403" s="2" t="s">
        <v>3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IFERROR(__xludf.DUMMYFUNCTION("""COMPUTED_VALUE"""),107.46)</f>
        <v>107.46</v>
      </c>
      <c r="C404" s="1">
        <f>IFERROR(__xludf.DUMMYFUNCTION("""COMPUTED_VALUE"""),109.96)</f>
        <v>109.96</v>
      </c>
      <c r="D404" s="1">
        <f>IFERROR(__xludf.DUMMYFUNCTION("""COMPUTED_VALUE"""),105.96)</f>
        <v>105.96</v>
      </c>
      <c r="E404" s="1">
        <f>IFERROR(__xludf.DUMMYFUNCTION("""COMPUTED_VALUE"""),109.96)</f>
        <v>109.96</v>
      </c>
      <c r="F404" s="1">
        <f>IFERROR(__xludf.DUMMYFUNCTION("""COMPUTED_VALUE"""),1121262.0)</f>
        <v>1121262</v>
      </c>
      <c r="G404" s="2" t="s">
        <v>3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IFERROR(__xludf.DUMMYFUNCTION("""COMPUTED_VALUE"""),109.5)</f>
        <v>109.5</v>
      </c>
      <c r="C405" s="1">
        <f>IFERROR(__xludf.DUMMYFUNCTION("""COMPUTED_VALUE"""),111.56)</f>
        <v>111.56</v>
      </c>
      <c r="D405" s="1">
        <f>IFERROR(__xludf.DUMMYFUNCTION("""COMPUTED_VALUE"""),108.62)</f>
        <v>108.62</v>
      </c>
      <c r="E405" s="1">
        <f>IFERROR(__xludf.DUMMYFUNCTION("""COMPUTED_VALUE"""),111.28)</f>
        <v>111.28</v>
      </c>
      <c r="F405" s="1">
        <f>IFERROR(__xludf.DUMMYFUNCTION("""COMPUTED_VALUE"""),923900.0)</f>
        <v>923900</v>
      </c>
      <c r="G405" s="2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</cols>
  <sheetData>
    <row r="1">
      <c r="A1" s="1" t="str">
        <f>IFERROR(__xludf.DUMMYFUNCTION("GOOGLEFINANCE(""DHER"",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IFERROR(__xludf.DUMMYFUNCTION("""COMPUTED_VALUE"""),97.7)</f>
        <v>97.7</v>
      </c>
      <c r="C2" s="1">
        <f>IFERROR(__xludf.DUMMYFUNCTION("""COMPUTED_VALUE"""),100.45)</f>
        <v>100.45</v>
      </c>
      <c r="D2" s="1">
        <f>IFERROR(__xludf.DUMMYFUNCTION("""COMPUTED_VALUE"""),97.6)</f>
        <v>97.6</v>
      </c>
      <c r="E2" s="1">
        <f>IFERROR(__xludf.DUMMYFUNCTION("""COMPUTED_VALUE"""),98.86)</f>
        <v>98.86</v>
      </c>
      <c r="F2" s="1">
        <f>IFERROR(__xludf.DUMMYFUNCTION("""COMPUTED_VALUE"""),525827.0)</f>
        <v>525827</v>
      </c>
      <c r="G2" s="2" t="s">
        <v>4</v>
      </c>
    </row>
    <row r="3">
      <c r="A3" s="3">
        <f>IFERROR(__xludf.DUMMYFUNCTION("""COMPUTED_VALUE"""),44565.72916666667)</f>
        <v>44565.72917</v>
      </c>
      <c r="B3" s="1">
        <f>IFERROR(__xludf.DUMMYFUNCTION("""COMPUTED_VALUE"""),98.66)</f>
        <v>98.66</v>
      </c>
      <c r="C3" s="1">
        <f>IFERROR(__xludf.DUMMYFUNCTION("""COMPUTED_VALUE"""),98.66)</f>
        <v>98.66</v>
      </c>
      <c r="D3" s="1">
        <f>IFERROR(__xludf.DUMMYFUNCTION("""COMPUTED_VALUE"""),90.96)</f>
        <v>90.96</v>
      </c>
      <c r="E3" s="1">
        <f>IFERROR(__xludf.DUMMYFUNCTION("""COMPUTED_VALUE"""),92.5)</f>
        <v>92.5</v>
      </c>
      <c r="F3" s="1">
        <f>IFERROR(__xludf.DUMMYFUNCTION("""COMPUTED_VALUE"""),1014560.0)</f>
        <v>1014560</v>
      </c>
      <c r="G3" s="2" t="s">
        <v>4</v>
      </c>
    </row>
    <row r="4">
      <c r="A4" s="3">
        <f>IFERROR(__xludf.DUMMYFUNCTION("""COMPUTED_VALUE"""),44566.72916666667)</f>
        <v>44566.72917</v>
      </c>
      <c r="B4" s="1">
        <f>IFERROR(__xludf.DUMMYFUNCTION("""COMPUTED_VALUE"""),92.3)</f>
        <v>92.3</v>
      </c>
      <c r="C4" s="1">
        <f>IFERROR(__xludf.DUMMYFUNCTION("""COMPUTED_VALUE"""),94.22)</f>
        <v>94.22</v>
      </c>
      <c r="D4" s="1">
        <f>IFERROR(__xludf.DUMMYFUNCTION("""COMPUTED_VALUE"""),89.72)</f>
        <v>89.72</v>
      </c>
      <c r="E4" s="1">
        <f>IFERROR(__xludf.DUMMYFUNCTION("""COMPUTED_VALUE"""),89.76)</f>
        <v>89.76</v>
      </c>
      <c r="F4" s="1">
        <f>IFERROR(__xludf.DUMMYFUNCTION("""COMPUTED_VALUE"""),628485.0)</f>
        <v>628485</v>
      </c>
      <c r="G4" s="2" t="s">
        <v>4</v>
      </c>
    </row>
    <row r="5">
      <c r="A5" s="3">
        <f>IFERROR(__xludf.DUMMYFUNCTION("""COMPUTED_VALUE"""),44567.72916666667)</f>
        <v>44567.72917</v>
      </c>
      <c r="B5" s="1">
        <f>IFERROR(__xludf.DUMMYFUNCTION("""COMPUTED_VALUE"""),88.16)</f>
        <v>88.16</v>
      </c>
      <c r="C5" s="1">
        <f>IFERROR(__xludf.DUMMYFUNCTION("""COMPUTED_VALUE"""),88.92)</f>
        <v>88.92</v>
      </c>
      <c r="D5" s="1">
        <f>IFERROR(__xludf.DUMMYFUNCTION("""COMPUTED_VALUE"""),82.46)</f>
        <v>82.46</v>
      </c>
      <c r="E5" s="1">
        <f>IFERROR(__xludf.DUMMYFUNCTION("""COMPUTED_VALUE"""),84.86)</f>
        <v>84.86</v>
      </c>
      <c r="F5" s="1">
        <f>IFERROR(__xludf.DUMMYFUNCTION("""COMPUTED_VALUE"""),1443084.0)</f>
        <v>1443084</v>
      </c>
      <c r="G5" s="2" t="s">
        <v>4</v>
      </c>
    </row>
    <row r="6">
      <c r="A6" s="3">
        <f>IFERROR(__xludf.DUMMYFUNCTION("""COMPUTED_VALUE"""),44568.72916666667)</f>
        <v>44568.72917</v>
      </c>
      <c r="B6" s="1">
        <f>IFERROR(__xludf.DUMMYFUNCTION("""COMPUTED_VALUE"""),85.14)</f>
        <v>85.14</v>
      </c>
      <c r="C6" s="1">
        <f>IFERROR(__xludf.DUMMYFUNCTION("""COMPUTED_VALUE"""),85.6)</f>
        <v>85.6</v>
      </c>
      <c r="D6" s="1">
        <f>IFERROR(__xludf.DUMMYFUNCTION("""COMPUTED_VALUE"""),84.02)</f>
        <v>84.02</v>
      </c>
      <c r="E6" s="1">
        <f>IFERROR(__xludf.DUMMYFUNCTION("""COMPUTED_VALUE"""),85.1)</f>
        <v>85.1</v>
      </c>
      <c r="F6" s="1">
        <f>IFERROR(__xludf.DUMMYFUNCTION("""COMPUTED_VALUE"""),629771.0)</f>
        <v>629771</v>
      </c>
      <c r="G6" s="2" t="s">
        <v>4</v>
      </c>
    </row>
    <row r="7">
      <c r="A7" s="3">
        <f>IFERROR(__xludf.DUMMYFUNCTION("""COMPUTED_VALUE"""),44571.72916666667)</f>
        <v>44571.72917</v>
      </c>
      <c r="B7" s="1">
        <f>IFERROR(__xludf.DUMMYFUNCTION("""COMPUTED_VALUE"""),85.86)</f>
        <v>85.86</v>
      </c>
      <c r="C7" s="1">
        <f>IFERROR(__xludf.DUMMYFUNCTION("""COMPUTED_VALUE"""),85.9)</f>
        <v>85.9</v>
      </c>
      <c r="D7" s="1">
        <f>IFERROR(__xludf.DUMMYFUNCTION("""COMPUTED_VALUE"""),81.18)</f>
        <v>81.18</v>
      </c>
      <c r="E7" s="1">
        <f>IFERROR(__xludf.DUMMYFUNCTION("""COMPUTED_VALUE"""),81.94)</f>
        <v>81.94</v>
      </c>
      <c r="F7" s="1">
        <f>IFERROR(__xludf.DUMMYFUNCTION("""COMPUTED_VALUE"""),695688.0)</f>
        <v>695688</v>
      </c>
      <c r="G7" s="2" t="s">
        <v>4</v>
      </c>
    </row>
    <row r="8">
      <c r="A8" s="3">
        <f>IFERROR(__xludf.DUMMYFUNCTION("""COMPUTED_VALUE"""),44572.72916666667)</f>
        <v>44572.72917</v>
      </c>
      <c r="B8" s="1">
        <f>IFERROR(__xludf.DUMMYFUNCTION("""COMPUTED_VALUE"""),87.0)</f>
        <v>87</v>
      </c>
      <c r="C8" s="1">
        <f>IFERROR(__xludf.DUMMYFUNCTION("""COMPUTED_VALUE"""),89.52)</f>
        <v>89.52</v>
      </c>
      <c r="D8" s="1">
        <f>IFERROR(__xludf.DUMMYFUNCTION("""COMPUTED_VALUE"""),84.68)</f>
        <v>84.68</v>
      </c>
      <c r="E8" s="1">
        <f>IFERROR(__xludf.DUMMYFUNCTION("""COMPUTED_VALUE"""),86.0)</f>
        <v>86</v>
      </c>
      <c r="F8" s="1">
        <f>IFERROR(__xludf.DUMMYFUNCTION("""COMPUTED_VALUE"""),1324526.0)</f>
        <v>1324526</v>
      </c>
      <c r="G8" s="2" t="s">
        <v>4</v>
      </c>
    </row>
    <row r="9">
      <c r="A9" s="3">
        <f>IFERROR(__xludf.DUMMYFUNCTION("""COMPUTED_VALUE"""),44573.72916666667)</f>
        <v>44573.72917</v>
      </c>
      <c r="B9" s="1">
        <f>IFERROR(__xludf.DUMMYFUNCTION("""COMPUTED_VALUE"""),86.6)</f>
        <v>86.6</v>
      </c>
      <c r="C9" s="1">
        <f>IFERROR(__xludf.DUMMYFUNCTION("""COMPUTED_VALUE"""),87.2)</f>
        <v>87.2</v>
      </c>
      <c r="D9" s="1">
        <f>IFERROR(__xludf.DUMMYFUNCTION("""COMPUTED_VALUE"""),84.9)</f>
        <v>84.9</v>
      </c>
      <c r="E9" s="1">
        <f>IFERROR(__xludf.DUMMYFUNCTION("""COMPUTED_VALUE"""),85.5)</f>
        <v>85.5</v>
      </c>
      <c r="F9" s="1">
        <f>IFERROR(__xludf.DUMMYFUNCTION("""COMPUTED_VALUE"""),944073.0)</f>
        <v>944073</v>
      </c>
      <c r="G9" s="2" t="s">
        <v>4</v>
      </c>
    </row>
    <row r="10">
      <c r="A10" s="3">
        <f>IFERROR(__xludf.DUMMYFUNCTION("""COMPUTED_VALUE"""),44574.72916666667)</f>
        <v>44574.72917</v>
      </c>
      <c r="B10" s="1">
        <f>IFERROR(__xludf.DUMMYFUNCTION("""COMPUTED_VALUE"""),85.18)</f>
        <v>85.18</v>
      </c>
      <c r="C10" s="1">
        <f>IFERROR(__xludf.DUMMYFUNCTION("""COMPUTED_VALUE"""),85.18)</f>
        <v>85.18</v>
      </c>
      <c r="D10" s="1">
        <f>IFERROR(__xludf.DUMMYFUNCTION("""COMPUTED_VALUE"""),82.76)</f>
        <v>82.76</v>
      </c>
      <c r="E10" s="1">
        <f>IFERROR(__xludf.DUMMYFUNCTION("""COMPUTED_VALUE"""),83.66)</f>
        <v>83.66</v>
      </c>
      <c r="F10" s="1">
        <f>IFERROR(__xludf.DUMMYFUNCTION("""COMPUTED_VALUE"""),864643.0)</f>
        <v>864643</v>
      </c>
      <c r="G10" s="2" t="s">
        <v>4</v>
      </c>
    </row>
    <row r="11">
      <c r="A11" s="3">
        <f>IFERROR(__xludf.DUMMYFUNCTION("""COMPUTED_VALUE"""),44575.72916666667)</f>
        <v>44575.72917</v>
      </c>
      <c r="B11" s="1">
        <f>IFERROR(__xludf.DUMMYFUNCTION("""COMPUTED_VALUE"""),81.5)</f>
        <v>81.5</v>
      </c>
      <c r="C11" s="1">
        <f>IFERROR(__xludf.DUMMYFUNCTION("""COMPUTED_VALUE"""),81.82)</f>
        <v>81.82</v>
      </c>
      <c r="D11" s="1">
        <f>IFERROR(__xludf.DUMMYFUNCTION("""COMPUTED_VALUE"""),78.24)</f>
        <v>78.24</v>
      </c>
      <c r="E11" s="1">
        <f>IFERROR(__xludf.DUMMYFUNCTION("""COMPUTED_VALUE"""),78.52)</f>
        <v>78.52</v>
      </c>
      <c r="F11" s="1">
        <f>IFERROR(__xludf.DUMMYFUNCTION("""COMPUTED_VALUE"""),1135749.0)</f>
        <v>1135749</v>
      </c>
      <c r="G11" s="2" t="s">
        <v>4</v>
      </c>
    </row>
    <row r="12">
      <c r="A12" s="3">
        <f>IFERROR(__xludf.DUMMYFUNCTION("""COMPUTED_VALUE"""),44578.72916666667)</f>
        <v>44578.72917</v>
      </c>
      <c r="B12" s="1">
        <f>IFERROR(__xludf.DUMMYFUNCTION("""COMPUTED_VALUE"""),78.76)</f>
        <v>78.76</v>
      </c>
      <c r="C12" s="1">
        <f>IFERROR(__xludf.DUMMYFUNCTION("""COMPUTED_VALUE"""),79.0)</f>
        <v>79</v>
      </c>
      <c r="D12" s="1">
        <f>IFERROR(__xludf.DUMMYFUNCTION("""COMPUTED_VALUE"""),77.12)</f>
        <v>77.12</v>
      </c>
      <c r="E12" s="1">
        <f>IFERROR(__xludf.DUMMYFUNCTION("""COMPUTED_VALUE"""),78.0)</f>
        <v>78</v>
      </c>
      <c r="F12" s="1">
        <f>IFERROR(__xludf.DUMMYFUNCTION("""COMPUTED_VALUE"""),772707.0)</f>
        <v>772707</v>
      </c>
      <c r="G12" s="2" t="s">
        <v>4</v>
      </c>
    </row>
    <row r="13">
      <c r="A13" s="3">
        <f>IFERROR(__xludf.DUMMYFUNCTION("""COMPUTED_VALUE"""),44579.72916666667)</f>
        <v>44579.72917</v>
      </c>
      <c r="B13" s="1">
        <f>IFERROR(__xludf.DUMMYFUNCTION("""COMPUTED_VALUE"""),78.0)</f>
        <v>78</v>
      </c>
      <c r="C13" s="1">
        <f>IFERROR(__xludf.DUMMYFUNCTION("""COMPUTED_VALUE"""),78.42)</f>
        <v>78.42</v>
      </c>
      <c r="D13" s="1">
        <f>IFERROR(__xludf.DUMMYFUNCTION("""COMPUTED_VALUE"""),74.84)</f>
        <v>74.84</v>
      </c>
      <c r="E13" s="1">
        <f>IFERROR(__xludf.DUMMYFUNCTION("""COMPUTED_VALUE"""),76.94)</f>
        <v>76.94</v>
      </c>
      <c r="F13" s="1">
        <f>IFERROR(__xludf.DUMMYFUNCTION("""COMPUTED_VALUE"""),1232972.0)</f>
        <v>1232972</v>
      </c>
      <c r="G13" s="2" t="s">
        <v>4</v>
      </c>
    </row>
    <row r="14">
      <c r="A14" s="3">
        <f>IFERROR(__xludf.DUMMYFUNCTION("""COMPUTED_VALUE"""),44580.72916666667)</f>
        <v>44580.72917</v>
      </c>
      <c r="B14" s="1">
        <f>IFERROR(__xludf.DUMMYFUNCTION("""COMPUTED_VALUE"""),76.0)</f>
        <v>76</v>
      </c>
      <c r="C14" s="1">
        <f>IFERROR(__xludf.DUMMYFUNCTION("""COMPUTED_VALUE"""),79.98)</f>
        <v>79.98</v>
      </c>
      <c r="D14" s="1">
        <f>IFERROR(__xludf.DUMMYFUNCTION("""COMPUTED_VALUE"""),75.52)</f>
        <v>75.52</v>
      </c>
      <c r="E14" s="1">
        <f>IFERROR(__xludf.DUMMYFUNCTION("""COMPUTED_VALUE"""),78.54)</f>
        <v>78.54</v>
      </c>
      <c r="F14" s="1">
        <f>IFERROR(__xludf.DUMMYFUNCTION("""COMPUTED_VALUE"""),750729.0)</f>
        <v>750729</v>
      </c>
      <c r="G14" s="2" t="s">
        <v>4</v>
      </c>
    </row>
    <row r="15">
      <c r="A15" s="3">
        <f>IFERROR(__xludf.DUMMYFUNCTION("""COMPUTED_VALUE"""),44581.72916666667)</f>
        <v>44581.72917</v>
      </c>
      <c r="B15" s="1">
        <f>IFERROR(__xludf.DUMMYFUNCTION("""COMPUTED_VALUE"""),79.22)</f>
        <v>79.22</v>
      </c>
      <c r="C15" s="1">
        <f>IFERROR(__xludf.DUMMYFUNCTION("""COMPUTED_VALUE"""),80.14)</f>
        <v>80.14</v>
      </c>
      <c r="D15" s="1">
        <f>IFERROR(__xludf.DUMMYFUNCTION("""COMPUTED_VALUE"""),77.3)</f>
        <v>77.3</v>
      </c>
      <c r="E15" s="1">
        <f>IFERROR(__xludf.DUMMYFUNCTION("""COMPUTED_VALUE"""),78.98)</f>
        <v>78.98</v>
      </c>
      <c r="F15" s="1">
        <f>IFERROR(__xludf.DUMMYFUNCTION("""COMPUTED_VALUE"""),827309.0)</f>
        <v>827309</v>
      </c>
      <c r="G15" s="2" t="s">
        <v>4</v>
      </c>
    </row>
    <row r="16">
      <c r="A16" s="3">
        <f>IFERROR(__xludf.DUMMYFUNCTION("""COMPUTED_VALUE"""),44582.72916666667)</f>
        <v>44582.72917</v>
      </c>
      <c r="B16" s="1">
        <f>IFERROR(__xludf.DUMMYFUNCTION("""COMPUTED_VALUE"""),76.62)</f>
        <v>76.62</v>
      </c>
      <c r="C16" s="1">
        <f>IFERROR(__xludf.DUMMYFUNCTION("""COMPUTED_VALUE"""),77.06)</f>
        <v>77.06</v>
      </c>
      <c r="D16" s="1">
        <f>IFERROR(__xludf.DUMMYFUNCTION("""COMPUTED_VALUE"""),74.22)</f>
        <v>74.22</v>
      </c>
      <c r="E16" s="1">
        <f>IFERROR(__xludf.DUMMYFUNCTION("""COMPUTED_VALUE"""),74.6)</f>
        <v>74.6</v>
      </c>
      <c r="F16" s="1">
        <f>IFERROR(__xludf.DUMMYFUNCTION("""COMPUTED_VALUE"""),885895.0)</f>
        <v>885895</v>
      </c>
      <c r="G16" s="2" t="s">
        <v>4</v>
      </c>
    </row>
    <row r="17">
      <c r="A17" s="3">
        <f>IFERROR(__xludf.DUMMYFUNCTION("""COMPUTED_VALUE"""),44585.72916666667)</f>
        <v>44585.72917</v>
      </c>
      <c r="B17" s="1">
        <f>IFERROR(__xludf.DUMMYFUNCTION("""COMPUTED_VALUE"""),73.4)</f>
        <v>73.4</v>
      </c>
      <c r="C17" s="1">
        <f>IFERROR(__xludf.DUMMYFUNCTION("""COMPUTED_VALUE"""),73.4)</f>
        <v>73.4</v>
      </c>
      <c r="D17" s="1">
        <f>IFERROR(__xludf.DUMMYFUNCTION("""COMPUTED_VALUE"""),68.58)</f>
        <v>68.58</v>
      </c>
      <c r="E17" s="1">
        <f>IFERROR(__xludf.DUMMYFUNCTION("""COMPUTED_VALUE"""),68.58)</f>
        <v>68.58</v>
      </c>
      <c r="F17" s="1">
        <f>IFERROR(__xludf.DUMMYFUNCTION("""COMPUTED_VALUE"""),1200844.0)</f>
        <v>1200844</v>
      </c>
      <c r="G17" s="2" t="s">
        <v>4</v>
      </c>
    </row>
    <row r="18">
      <c r="A18" s="3">
        <f>IFERROR(__xludf.DUMMYFUNCTION("""COMPUTED_VALUE"""),44586.72916666667)</f>
        <v>44586.72917</v>
      </c>
      <c r="B18" s="1">
        <f>IFERROR(__xludf.DUMMYFUNCTION("""COMPUTED_VALUE"""),69.38)</f>
        <v>69.38</v>
      </c>
      <c r="C18" s="1">
        <f>IFERROR(__xludf.DUMMYFUNCTION("""COMPUTED_VALUE"""),70.04)</f>
        <v>70.04</v>
      </c>
      <c r="D18" s="1">
        <f>IFERROR(__xludf.DUMMYFUNCTION("""COMPUTED_VALUE"""),64.6)</f>
        <v>64.6</v>
      </c>
      <c r="E18" s="1">
        <f>IFERROR(__xludf.DUMMYFUNCTION("""COMPUTED_VALUE"""),66.58)</f>
        <v>66.58</v>
      </c>
      <c r="F18" s="1">
        <f>IFERROR(__xludf.DUMMYFUNCTION("""COMPUTED_VALUE"""),1010989.0)</f>
        <v>1010989</v>
      </c>
      <c r="G18" s="2" t="s">
        <v>4</v>
      </c>
    </row>
    <row r="19">
      <c r="A19" s="3">
        <f>IFERROR(__xludf.DUMMYFUNCTION("""COMPUTED_VALUE"""),44587.72916666667)</f>
        <v>44587.72917</v>
      </c>
      <c r="B19" s="1">
        <f>IFERROR(__xludf.DUMMYFUNCTION("""COMPUTED_VALUE"""),66.86)</f>
        <v>66.86</v>
      </c>
      <c r="C19" s="1">
        <f>IFERROR(__xludf.DUMMYFUNCTION("""COMPUTED_VALUE"""),69.62)</f>
        <v>69.62</v>
      </c>
      <c r="D19" s="1">
        <f>IFERROR(__xludf.DUMMYFUNCTION("""COMPUTED_VALUE"""),66.68)</f>
        <v>66.68</v>
      </c>
      <c r="E19" s="1">
        <f>IFERROR(__xludf.DUMMYFUNCTION("""COMPUTED_VALUE"""),68.08)</f>
        <v>68.08</v>
      </c>
      <c r="F19" s="1">
        <f>IFERROR(__xludf.DUMMYFUNCTION("""COMPUTED_VALUE"""),994344.0)</f>
        <v>994344</v>
      </c>
      <c r="G19" s="2" t="s">
        <v>4</v>
      </c>
    </row>
    <row r="20">
      <c r="A20" s="3">
        <f>IFERROR(__xludf.DUMMYFUNCTION("""COMPUTED_VALUE"""),44588.72916666667)</f>
        <v>44588.72917</v>
      </c>
      <c r="B20" s="1">
        <f>IFERROR(__xludf.DUMMYFUNCTION("""COMPUTED_VALUE"""),64.74)</f>
        <v>64.74</v>
      </c>
      <c r="C20" s="1">
        <f>IFERROR(__xludf.DUMMYFUNCTION("""COMPUTED_VALUE"""),66.92)</f>
        <v>66.92</v>
      </c>
      <c r="D20" s="1">
        <f>IFERROR(__xludf.DUMMYFUNCTION("""COMPUTED_VALUE"""),63.6)</f>
        <v>63.6</v>
      </c>
      <c r="E20" s="1">
        <f>IFERROR(__xludf.DUMMYFUNCTION("""COMPUTED_VALUE"""),65.96)</f>
        <v>65.96</v>
      </c>
      <c r="F20" s="1">
        <f>IFERROR(__xludf.DUMMYFUNCTION("""COMPUTED_VALUE"""),1010455.0)</f>
        <v>1010455</v>
      </c>
      <c r="G20" s="2" t="s">
        <v>4</v>
      </c>
    </row>
    <row r="21">
      <c r="A21" s="3">
        <f>IFERROR(__xludf.DUMMYFUNCTION("""COMPUTED_VALUE"""),44589.72916666667)</f>
        <v>44589.72917</v>
      </c>
      <c r="B21" s="1">
        <f>IFERROR(__xludf.DUMMYFUNCTION("""COMPUTED_VALUE"""),65.0)</f>
        <v>65</v>
      </c>
      <c r="C21" s="1">
        <f>IFERROR(__xludf.DUMMYFUNCTION("""COMPUTED_VALUE"""),66.04)</f>
        <v>66.04</v>
      </c>
      <c r="D21" s="1">
        <f>IFERROR(__xludf.DUMMYFUNCTION("""COMPUTED_VALUE"""),62.44)</f>
        <v>62.44</v>
      </c>
      <c r="E21" s="1">
        <f>IFERROR(__xludf.DUMMYFUNCTION("""COMPUTED_VALUE"""),63.46)</f>
        <v>63.46</v>
      </c>
      <c r="F21" s="1">
        <f>IFERROR(__xludf.DUMMYFUNCTION("""COMPUTED_VALUE"""),696396.0)</f>
        <v>696396</v>
      </c>
      <c r="G21" s="2" t="s">
        <v>4</v>
      </c>
    </row>
    <row r="22">
      <c r="A22" s="3">
        <f>IFERROR(__xludf.DUMMYFUNCTION("""COMPUTED_VALUE"""),44592.72916666667)</f>
        <v>44592.72917</v>
      </c>
      <c r="B22" s="1">
        <f>IFERROR(__xludf.DUMMYFUNCTION("""COMPUTED_VALUE"""),63.4)</f>
        <v>63.4</v>
      </c>
      <c r="C22" s="1">
        <f>IFERROR(__xludf.DUMMYFUNCTION("""COMPUTED_VALUE"""),68.54)</f>
        <v>68.54</v>
      </c>
      <c r="D22" s="1">
        <f>IFERROR(__xludf.DUMMYFUNCTION("""COMPUTED_VALUE"""),63.4)</f>
        <v>63.4</v>
      </c>
      <c r="E22" s="1">
        <f>IFERROR(__xludf.DUMMYFUNCTION("""COMPUTED_VALUE"""),67.92)</f>
        <v>67.92</v>
      </c>
      <c r="F22" s="1">
        <f>IFERROR(__xludf.DUMMYFUNCTION("""COMPUTED_VALUE"""),925513.0)</f>
        <v>925513</v>
      </c>
      <c r="G22" s="2" t="s">
        <v>4</v>
      </c>
    </row>
    <row r="23">
      <c r="A23" s="3">
        <f>IFERROR(__xludf.DUMMYFUNCTION("""COMPUTED_VALUE"""),44593.72916666667)</f>
        <v>44593.72917</v>
      </c>
      <c r="B23" s="1">
        <f>IFERROR(__xludf.DUMMYFUNCTION("""COMPUTED_VALUE"""),68.5)</f>
        <v>68.5</v>
      </c>
      <c r="C23" s="1">
        <f>IFERROR(__xludf.DUMMYFUNCTION("""COMPUTED_VALUE"""),71.66)</f>
        <v>71.66</v>
      </c>
      <c r="D23" s="1">
        <f>IFERROR(__xludf.DUMMYFUNCTION("""COMPUTED_VALUE"""),68.16)</f>
        <v>68.16</v>
      </c>
      <c r="E23" s="1">
        <f>IFERROR(__xludf.DUMMYFUNCTION("""COMPUTED_VALUE"""),70.46)</f>
        <v>70.46</v>
      </c>
      <c r="F23" s="1">
        <f>IFERROR(__xludf.DUMMYFUNCTION("""COMPUTED_VALUE"""),776922.0)</f>
        <v>776922</v>
      </c>
      <c r="G23" s="2" t="s">
        <v>4</v>
      </c>
    </row>
    <row r="24">
      <c r="A24" s="3">
        <f>IFERROR(__xludf.DUMMYFUNCTION("""COMPUTED_VALUE"""),44594.72916666667)</f>
        <v>44594.72917</v>
      </c>
      <c r="B24" s="1">
        <f>IFERROR(__xludf.DUMMYFUNCTION("""COMPUTED_VALUE"""),70.88)</f>
        <v>70.88</v>
      </c>
      <c r="C24" s="1">
        <f>IFERROR(__xludf.DUMMYFUNCTION("""COMPUTED_VALUE"""),72.32)</f>
        <v>72.32</v>
      </c>
      <c r="D24" s="1">
        <f>IFERROR(__xludf.DUMMYFUNCTION("""COMPUTED_VALUE"""),68.68)</f>
        <v>68.68</v>
      </c>
      <c r="E24" s="1">
        <f>IFERROR(__xludf.DUMMYFUNCTION("""COMPUTED_VALUE"""),69.08)</f>
        <v>69.08</v>
      </c>
      <c r="F24" s="1">
        <f>IFERROR(__xludf.DUMMYFUNCTION("""COMPUTED_VALUE"""),661473.0)</f>
        <v>661473</v>
      </c>
      <c r="G24" s="2" t="s">
        <v>4</v>
      </c>
    </row>
    <row r="25">
      <c r="A25" s="3">
        <f>IFERROR(__xludf.DUMMYFUNCTION("""COMPUTED_VALUE"""),44595.72916666667)</f>
        <v>44595.72917</v>
      </c>
      <c r="B25" s="1">
        <f>IFERROR(__xludf.DUMMYFUNCTION("""COMPUTED_VALUE"""),68.68)</f>
        <v>68.68</v>
      </c>
      <c r="C25" s="1">
        <f>IFERROR(__xludf.DUMMYFUNCTION("""COMPUTED_VALUE"""),69.0)</f>
        <v>69</v>
      </c>
      <c r="D25" s="1">
        <f>IFERROR(__xludf.DUMMYFUNCTION("""COMPUTED_VALUE"""),64.42)</f>
        <v>64.42</v>
      </c>
      <c r="E25" s="1">
        <f>IFERROR(__xludf.DUMMYFUNCTION("""COMPUTED_VALUE"""),65.24)</f>
        <v>65.24</v>
      </c>
      <c r="F25" s="1">
        <f>IFERROR(__xludf.DUMMYFUNCTION("""COMPUTED_VALUE"""),704123.0)</f>
        <v>704123</v>
      </c>
      <c r="G25" s="2" t="s">
        <v>4</v>
      </c>
    </row>
    <row r="26">
      <c r="A26" s="3">
        <f>IFERROR(__xludf.DUMMYFUNCTION("""COMPUTED_VALUE"""),44596.72916666667)</f>
        <v>44596.72917</v>
      </c>
      <c r="B26" s="1">
        <f>IFERROR(__xludf.DUMMYFUNCTION("""COMPUTED_VALUE"""),65.64)</f>
        <v>65.64</v>
      </c>
      <c r="C26" s="1">
        <f>IFERROR(__xludf.DUMMYFUNCTION("""COMPUTED_VALUE"""),67.52)</f>
        <v>67.52</v>
      </c>
      <c r="D26" s="1">
        <f>IFERROR(__xludf.DUMMYFUNCTION("""COMPUTED_VALUE"""),63.48)</f>
        <v>63.48</v>
      </c>
      <c r="E26" s="1">
        <f>IFERROR(__xludf.DUMMYFUNCTION("""COMPUTED_VALUE"""),65.2)</f>
        <v>65.2</v>
      </c>
      <c r="F26" s="1">
        <f>IFERROR(__xludf.DUMMYFUNCTION("""COMPUTED_VALUE"""),861704.0)</f>
        <v>861704</v>
      </c>
      <c r="G26" s="2" t="s">
        <v>4</v>
      </c>
    </row>
    <row r="27">
      <c r="A27" s="3">
        <f>IFERROR(__xludf.DUMMYFUNCTION("""COMPUTED_VALUE"""),44599.72916666667)</f>
        <v>44599.72917</v>
      </c>
      <c r="B27" s="1">
        <f>IFERROR(__xludf.DUMMYFUNCTION("""COMPUTED_VALUE"""),66.06)</f>
        <v>66.06</v>
      </c>
      <c r="C27" s="1">
        <f>IFERROR(__xludf.DUMMYFUNCTION("""COMPUTED_VALUE"""),68.78)</f>
        <v>68.78</v>
      </c>
      <c r="D27" s="1">
        <f>IFERROR(__xludf.DUMMYFUNCTION("""COMPUTED_VALUE"""),65.08)</f>
        <v>65.08</v>
      </c>
      <c r="E27" s="1">
        <f>IFERROR(__xludf.DUMMYFUNCTION("""COMPUTED_VALUE"""),67.8)</f>
        <v>67.8</v>
      </c>
      <c r="F27" s="1">
        <f>IFERROR(__xludf.DUMMYFUNCTION("""COMPUTED_VALUE"""),623789.0)</f>
        <v>623789</v>
      </c>
      <c r="G27" s="2" t="s">
        <v>4</v>
      </c>
    </row>
    <row r="28">
      <c r="A28" s="3">
        <f>IFERROR(__xludf.DUMMYFUNCTION("""COMPUTED_VALUE"""),44600.72916666667)</f>
        <v>44600.72917</v>
      </c>
      <c r="B28" s="1">
        <f>IFERROR(__xludf.DUMMYFUNCTION("""COMPUTED_VALUE"""),67.62)</f>
        <v>67.62</v>
      </c>
      <c r="C28" s="1">
        <f>IFERROR(__xludf.DUMMYFUNCTION("""COMPUTED_VALUE"""),67.62)</f>
        <v>67.62</v>
      </c>
      <c r="D28" s="1">
        <f>IFERROR(__xludf.DUMMYFUNCTION("""COMPUTED_VALUE"""),64.16)</f>
        <v>64.16</v>
      </c>
      <c r="E28" s="1">
        <f>IFERROR(__xludf.DUMMYFUNCTION("""COMPUTED_VALUE"""),66.32)</f>
        <v>66.32</v>
      </c>
      <c r="F28" s="1">
        <f>IFERROR(__xludf.DUMMYFUNCTION("""COMPUTED_VALUE"""),719442.0)</f>
        <v>719442</v>
      </c>
      <c r="G28" s="2" t="s">
        <v>4</v>
      </c>
    </row>
    <row r="29">
      <c r="A29" s="3">
        <f>IFERROR(__xludf.DUMMYFUNCTION("""COMPUTED_VALUE"""),44601.72916666667)</f>
        <v>44601.72917</v>
      </c>
      <c r="B29" s="1">
        <f>IFERROR(__xludf.DUMMYFUNCTION("""COMPUTED_VALUE"""),67.18)</f>
        <v>67.18</v>
      </c>
      <c r="C29" s="1">
        <f>IFERROR(__xludf.DUMMYFUNCTION("""COMPUTED_VALUE"""),68.8)</f>
        <v>68.8</v>
      </c>
      <c r="D29" s="1">
        <f>IFERROR(__xludf.DUMMYFUNCTION("""COMPUTED_VALUE"""),65.76)</f>
        <v>65.76</v>
      </c>
      <c r="E29" s="1">
        <f>IFERROR(__xludf.DUMMYFUNCTION("""COMPUTED_VALUE"""),66.84)</f>
        <v>66.84</v>
      </c>
      <c r="F29" s="1">
        <f>IFERROR(__xludf.DUMMYFUNCTION("""COMPUTED_VALUE"""),693130.0)</f>
        <v>693130</v>
      </c>
      <c r="G29" s="2" t="s">
        <v>4</v>
      </c>
    </row>
    <row r="30">
      <c r="A30" s="3">
        <f>IFERROR(__xludf.DUMMYFUNCTION("""COMPUTED_VALUE"""),44602.72916666667)</f>
        <v>44602.72917</v>
      </c>
      <c r="B30" s="1">
        <f>IFERROR(__xludf.DUMMYFUNCTION("""COMPUTED_VALUE"""),62.26)</f>
        <v>62.26</v>
      </c>
      <c r="C30" s="1">
        <f>IFERROR(__xludf.DUMMYFUNCTION("""COMPUTED_VALUE"""),62.68)</f>
        <v>62.68</v>
      </c>
      <c r="D30" s="1">
        <f>IFERROR(__xludf.DUMMYFUNCTION("""COMPUTED_VALUE"""),44.74)</f>
        <v>44.74</v>
      </c>
      <c r="E30" s="1">
        <f>IFERROR(__xludf.DUMMYFUNCTION("""COMPUTED_VALUE"""),46.49)</f>
        <v>46.49</v>
      </c>
      <c r="F30" s="1">
        <f>IFERROR(__xludf.DUMMYFUNCTION("""COMPUTED_VALUE"""),9719864.0)</f>
        <v>9719864</v>
      </c>
      <c r="G30" s="2" t="s">
        <v>4</v>
      </c>
    </row>
    <row r="31">
      <c r="A31" s="3">
        <f>IFERROR(__xludf.DUMMYFUNCTION("""COMPUTED_VALUE"""),44603.72916666667)</f>
        <v>44603.72917</v>
      </c>
      <c r="B31" s="1">
        <f>IFERROR(__xludf.DUMMYFUNCTION("""COMPUTED_VALUE"""),44.58)</f>
        <v>44.58</v>
      </c>
      <c r="C31" s="1">
        <f>IFERROR(__xludf.DUMMYFUNCTION("""COMPUTED_VALUE"""),45.0)</f>
        <v>45</v>
      </c>
      <c r="D31" s="1">
        <f>IFERROR(__xludf.DUMMYFUNCTION("""COMPUTED_VALUE"""),40.29)</f>
        <v>40.29</v>
      </c>
      <c r="E31" s="1">
        <f>IFERROR(__xludf.DUMMYFUNCTION("""COMPUTED_VALUE"""),41.0)</f>
        <v>41</v>
      </c>
      <c r="F31" s="1">
        <f>IFERROR(__xludf.DUMMYFUNCTION("""COMPUTED_VALUE"""),6563153.0)</f>
        <v>6563153</v>
      </c>
      <c r="G31" s="2" t="s">
        <v>4</v>
      </c>
    </row>
    <row r="32">
      <c r="A32" s="3">
        <f>IFERROR(__xludf.DUMMYFUNCTION("""COMPUTED_VALUE"""),44606.72916666667)</f>
        <v>44606.72917</v>
      </c>
      <c r="B32" s="1">
        <f>IFERROR(__xludf.DUMMYFUNCTION("""COMPUTED_VALUE"""),39.84)</f>
        <v>39.84</v>
      </c>
      <c r="C32" s="1">
        <f>IFERROR(__xludf.DUMMYFUNCTION("""COMPUTED_VALUE"""),43.27)</f>
        <v>43.27</v>
      </c>
      <c r="D32" s="1">
        <f>IFERROR(__xludf.DUMMYFUNCTION("""COMPUTED_VALUE"""),38.75)</f>
        <v>38.75</v>
      </c>
      <c r="E32" s="1">
        <f>IFERROR(__xludf.DUMMYFUNCTION("""COMPUTED_VALUE"""),43.27)</f>
        <v>43.27</v>
      </c>
      <c r="F32" s="1">
        <f>IFERROR(__xludf.DUMMYFUNCTION("""COMPUTED_VALUE"""),4295917.0)</f>
        <v>4295917</v>
      </c>
      <c r="G32" s="2" t="s">
        <v>4</v>
      </c>
    </row>
    <row r="33">
      <c r="A33" s="3">
        <f>IFERROR(__xludf.DUMMYFUNCTION("""COMPUTED_VALUE"""),44607.72916666667)</f>
        <v>44607.72917</v>
      </c>
      <c r="B33" s="1">
        <f>IFERROR(__xludf.DUMMYFUNCTION("""COMPUTED_VALUE"""),43.64)</f>
        <v>43.64</v>
      </c>
      <c r="C33" s="1">
        <f>IFERROR(__xludf.DUMMYFUNCTION("""COMPUTED_VALUE"""),50.12)</f>
        <v>50.12</v>
      </c>
      <c r="D33" s="1">
        <f>IFERROR(__xludf.DUMMYFUNCTION("""COMPUTED_VALUE"""),43.45)</f>
        <v>43.45</v>
      </c>
      <c r="E33" s="1">
        <f>IFERROR(__xludf.DUMMYFUNCTION("""COMPUTED_VALUE"""),49.82)</f>
        <v>49.82</v>
      </c>
      <c r="F33" s="1">
        <f>IFERROR(__xludf.DUMMYFUNCTION("""COMPUTED_VALUE"""),4504277.0)</f>
        <v>4504277</v>
      </c>
      <c r="G33" s="2" t="s">
        <v>4</v>
      </c>
    </row>
    <row r="34">
      <c r="A34" s="3">
        <f>IFERROR(__xludf.DUMMYFUNCTION("""COMPUTED_VALUE"""),44608.72916666667)</f>
        <v>44608.72917</v>
      </c>
      <c r="B34" s="1">
        <f>IFERROR(__xludf.DUMMYFUNCTION("""COMPUTED_VALUE"""),48.63)</f>
        <v>48.63</v>
      </c>
      <c r="C34" s="1">
        <f>IFERROR(__xludf.DUMMYFUNCTION("""COMPUTED_VALUE"""),49.67)</f>
        <v>49.67</v>
      </c>
      <c r="D34" s="1">
        <f>IFERROR(__xludf.DUMMYFUNCTION("""COMPUTED_VALUE"""),45.6)</f>
        <v>45.6</v>
      </c>
      <c r="E34" s="1">
        <f>IFERROR(__xludf.DUMMYFUNCTION("""COMPUTED_VALUE"""),49.67)</f>
        <v>49.67</v>
      </c>
      <c r="F34" s="1">
        <f>IFERROR(__xludf.DUMMYFUNCTION("""COMPUTED_VALUE"""),3898436.0)</f>
        <v>3898436</v>
      </c>
      <c r="G34" s="2" t="s">
        <v>4</v>
      </c>
    </row>
    <row r="35">
      <c r="A35" s="3">
        <f>IFERROR(__xludf.DUMMYFUNCTION("""COMPUTED_VALUE"""),44609.72916666667)</f>
        <v>44609.72917</v>
      </c>
      <c r="B35" s="1">
        <f>IFERROR(__xludf.DUMMYFUNCTION("""COMPUTED_VALUE"""),49.61)</f>
        <v>49.61</v>
      </c>
      <c r="C35" s="1">
        <f>IFERROR(__xludf.DUMMYFUNCTION("""COMPUTED_VALUE"""),52.3)</f>
        <v>52.3</v>
      </c>
      <c r="D35" s="1">
        <f>IFERROR(__xludf.DUMMYFUNCTION("""COMPUTED_VALUE"""),49.28)</f>
        <v>49.28</v>
      </c>
      <c r="E35" s="1">
        <f>IFERROR(__xludf.DUMMYFUNCTION("""COMPUTED_VALUE"""),51.24)</f>
        <v>51.24</v>
      </c>
      <c r="F35" s="1">
        <f>IFERROR(__xludf.DUMMYFUNCTION("""COMPUTED_VALUE"""),2855329.0)</f>
        <v>2855329</v>
      </c>
      <c r="G35" s="2" t="s">
        <v>4</v>
      </c>
    </row>
    <row r="36">
      <c r="A36" s="3">
        <f>IFERROR(__xludf.DUMMYFUNCTION("""COMPUTED_VALUE"""),44610.72916666667)</f>
        <v>44610.72917</v>
      </c>
      <c r="B36" s="1">
        <f>IFERROR(__xludf.DUMMYFUNCTION("""COMPUTED_VALUE"""),50.48)</f>
        <v>50.48</v>
      </c>
      <c r="C36" s="1">
        <f>IFERROR(__xludf.DUMMYFUNCTION("""COMPUTED_VALUE"""),50.9)</f>
        <v>50.9</v>
      </c>
      <c r="D36" s="1">
        <f>IFERROR(__xludf.DUMMYFUNCTION("""COMPUTED_VALUE"""),47.0)</f>
        <v>47</v>
      </c>
      <c r="E36" s="1">
        <f>IFERROR(__xludf.DUMMYFUNCTION("""COMPUTED_VALUE"""),47.07)</f>
        <v>47.07</v>
      </c>
      <c r="F36" s="1">
        <f>IFERROR(__xludf.DUMMYFUNCTION("""COMPUTED_VALUE"""),2329056.0)</f>
        <v>2329056</v>
      </c>
      <c r="G36" s="2" t="s">
        <v>4</v>
      </c>
    </row>
    <row r="37">
      <c r="A37" s="3">
        <f>IFERROR(__xludf.DUMMYFUNCTION("""COMPUTED_VALUE"""),44613.72916666667)</f>
        <v>44613.72917</v>
      </c>
      <c r="B37" s="1">
        <f>IFERROR(__xludf.DUMMYFUNCTION("""COMPUTED_VALUE"""),47.64)</f>
        <v>47.64</v>
      </c>
      <c r="C37" s="1">
        <f>IFERROR(__xludf.DUMMYFUNCTION("""COMPUTED_VALUE"""),48.11)</f>
        <v>48.11</v>
      </c>
      <c r="D37" s="1">
        <f>IFERROR(__xludf.DUMMYFUNCTION("""COMPUTED_VALUE"""),44.86)</f>
        <v>44.86</v>
      </c>
      <c r="E37" s="1">
        <f>IFERROR(__xludf.DUMMYFUNCTION("""COMPUTED_VALUE"""),46.1)</f>
        <v>46.1</v>
      </c>
      <c r="F37" s="1">
        <f>IFERROR(__xludf.DUMMYFUNCTION("""COMPUTED_VALUE"""),2141654.0)</f>
        <v>2141654</v>
      </c>
      <c r="G37" s="2" t="s">
        <v>4</v>
      </c>
    </row>
    <row r="38">
      <c r="A38" s="3">
        <f>IFERROR(__xludf.DUMMYFUNCTION("""COMPUTED_VALUE"""),44614.72916666667)</f>
        <v>44614.72917</v>
      </c>
      <c r="B38" s="1">
        <f>IFERROR(__xludf.DUMMYFUNCTION("""COMPUTED_VALUE"""),44.46)</f>
        <v>44.46</v>
      </c>
      <c r="C38" s="1">
        <f>IFERROR(__xludf.DUMMYFUNCTION("""COMPUTED_VALUE"""),47.92)</f>
        <v>47.92</v>
      </c>
      <c r="D38" s="1">
        <f>IFERROR(__xludf.DUMMYFUNCTION("""COMPUTED_VALUE"""),44.1)</f>
        <v>44.1</v>
      </c>
      <c r="E38" s="1">
        <f>IFERROR(__xludf.DUMMYFUNCTION("""COMPUTED_VALUE"""),45.58)</f>
        <v>45.58</v>
      </c>
      <c r="F38" s="1">
        <f>IFERROR(__xludf.DUMMYFUNCTION("""COMPUTED_VALUE"""),1492047.0)</f>
        <v>1492047</v>
      </c>
      <c r="G38" s="2" t="s">
        <v>4</v>
      </c>
    </row>
    <row r="39">
      <c r="A39" s="3">
        <f>IFERROR(__xludf.DUMMYFUNCTION("""COMPUTED_VALUE"""),44615.72916666667)</f>
        <v>44615.72917</v>
      </c>
      <c r="B39" s="1">
        <f>IFERROR(__xludf.DUMMYFUNCTION("""COMPUTED_VALUE"""),45.65)</f>
        <v>45.65</v>
      </c>
      <c r="C39" s="1">
        <f>IFERROR(__xludf.DUMMYFUNCTION("""COMPUTED_VALUE"""),46.44)</f>
        <v>46.44</v>
      </c>
      <c r="D39" s="1">
        <f>IFERROR(__xludf.DUMMYFUNCTION("""COMPUTED_VALUE"""),44.29)</f>
        <v>44.29</v>
      </c>
      <c r="E39" s="1">
        <f>IFERROR(__xludf.DUMMYFUNCTION("""COMPUTED_VALUE"""),44.29)</f>
        <v>44.29</v>
      </c>
      <c r="F39" s="1">
        <f>IFERROR(__xludf.DUMMYFUNCTION("""COMPUTED_VALUE"""),1065951.0)</f>
        <v>1065951</v>
      </c>
      <c r="G39" s="2" t="s">
        <v>4</v>
      </c>
    </row>
    <row r="40">
      <c r="A40" s="3">
        <f>IFERROR(__xludf.DUMMYFUNCTION("""COMPUTED_VALUE"""),44616.72916666667)</f>
        <v>44616.72917</v>
      </c>
      <c r="B40" s="1">
        <f>IFERROR(__xludf.DUMMYFUNCTION("""COMPUTED_VALUE"""),41.36)</f>
        <v>41.36</v>
      </c>
      <c r="C40" s="1">
        <f>IFERROR(__xludf.DUMMYFUNCTION("""COMPUTED_VALUE"""),44.46)</f>
        <v>44.46</v>
      </c>
      <c r="D40" s="1">
        <f>IFERROR(__xludf.DUMMYFUNCTION("""COMPUTED_VALUE"""),40.2)</f>
        <v>40.2</v>
      </c>
      <c r="E40" s="1">
        <f>IFERROR(__xludf.DUMMYFUNCTION("""COMPUTED_VALUE"""),44.21)</f>
        <v>44.21</v>
      </c>
      <c r="F40" s="1">
        <f>IFERROR(__xludf.DUMMYFUNCTION("""COMPUTED_VALUE"""),2612360.0)</f>
        <v>2612360</v>
      </c>
      <c r="G40" s="2" t="s">
        <v>4</v>
      </c>
    </row>
    <row r="41">
      <c r="A41" s="3">
        <f>IFERROR(__xludf.DUMMYFUNCTION("""COMPUTED_VALUE"""),44617.72916666667)</f>
        <v>44617.72917</v>
      </c>
      <c r="B41" s="1">
        <f>IFERROR(__xludf.DUMMYFUNCTION("""COMPUTED_VALUE"""),45.25)</f>
        <v>45.25</v>
      </c>
      <c r="C41" s="1">
        <f>IFERROR(__xludf.DUMMYFUNCTION("""COMPUTED_VALUE"""),45.25)</f>
        <v>45.25</v>
      </c>
      <c r="D41" s="1">
        <f>IFERROR(__xludf.DUMMYFUNCTION("""COMPUTED_VALUE"""),42.04)</f>
        <v>42.04</v>
      </c>
      <c r="E41" s="1">
        <f>IFERROR(__xludf.DUMMYFUNCTION("""COMPUTED_VALUE"""),43.32)</f>
        <v>43.32</v>
      </c>
      <c r="F41" s="1">
        <f>IFERROR(__xludf.DUMMYFUNCTION("""COMPUTED_VALUE"""),1643802.0)</f>
        <v>1643802</v>
      </c>
      <c r="G41" s="2" t="s">
        <v>4</v>
      </c>
    </row>
    <row r="42">
      <c r="A42" s="3">
        <f>IFERROR(__xludf.DUMMYFUNCTION("""COMPUTED_VALUE"""),44620.72916666667)</f>
        <v>44620.72917</v>
      </c>
      <c r="B42" s="1">
        <f>IFERROR(__xludf.DUMMYFUNCTION("""COMPUTED_VALUE"""),42.07)</f>
        <v>42.07</v>
      </c>
      <c r="C42" s="1">
        <f>IFERROR(__xludf.DUMMYFUNCTION("""COMPUTED_VALUE"""),48.32)</f>
        <v>48.32</v>
      </c>
      <c r="D42" s="1">
        <f>IFERROR(__xludf.DUMMYFUNCTION("""COMPUTED_VALUE"""),42.07)</f>
        <v>42.07</v>
      </c>
      <c r="E42" s="1">
        <f>IFERROR(__xludf.DUMMYFUNCTION("""COMPUTED_VALUE"""),47.81)</f>
        <v>47.81</v>
      </c>
      <c r="F42" s="1">
        <f>IFERROR(__xludf.DUMMYFUNCTION("""COMPUTED_VALUE"""),1963960.0)</f>
        <v>1963960</v>
      </c>
      <c r="G42" s="2" t="s">
        <v>4</v>
      </c>
    </row>
    <row r="43">
      <c r="A43" s="3">
        <f>IFERROR(__xludf.DUMMYFUNCTION("""COMPUTED_VALUE"""),44621.72916666667)</f>
        <v>44621.72917</v>
      </c>
      <c r="B43" s="1">
        <f>IFERROR(__xludf.DUMMYFUNCTION("""COMPUTED_VALUE"""),48.39)</f>
        <v>48.39</v>
      </c>
      <c r="C43" s="1">
        <f>IFERROR(__xludf.DUMMYFUNCTION("""COMPUTED_VALUE"""),49.21)</f>
        <v>49.21</v>
      </c>
      <c r="D43" s="1">
        <f>IFERROR(__xludf.DUMMYFUNCTION("""COMPUTED_VALUE"""),45.21)</f>
        <v>45.21</v>
      </c>
      <c r="E43" s="1">
        <f>IFERROR(__xludf.DUMMYFUNCTION("""COMPUTED_VALUE"""),47.97)</f>
        <v>47.97</v>
      </c>
      <c r="F43" s="1">
        <f>IFERROR(__xludf.DUMMYFUNCTION("""COMPUTED_VALUE"""),1505196.0)</f>
        <v>1505196</v>
      </c>
      <c r="G43" s="2" t="s">
        <v>4</v>
      </c>
    </row>
    <row r="44">
      <c r="A44" s="3">
        <f>IFERROR(__xludf.DUMMYFUNCTION("""COMPUTED_VALUE"""),44622.72916666667)</f>
        <v>44622.72917</v>
      </c>
      <c r="B44" s="1">
        <f>IFERROR(__xludf.DUMMYFUNCTION("""COMPUTED_VALUE"""),47.18)</f>
        <v>47.18</v>
      </c>
      <c r="C44" s="1">
        <f>IFERROR(__xludf.DUMMYFUNCTION("""COMPUTED_VALUE"""),50.28)</f>
        <v>50.28</v>
      </c>
      <c r="D44" s="1">
        <f>IFERROR(__xludf.DUMMYFUNCTION("""COMPUTED_VALUE"""),47.15)</f>
        <v>47.15</v>
      </c>
      <c r="E44" s="1">
        <f>IFERROR(__xludf.DUMMYFUNCTION("""COMPUTED_VALUE"""),47.53)</f>
        <v>47.53</v>
      </c>
      <c r="F44" s="1">
        <f>IFERROR(__xludf.DUMMYFUNCTION("""COMPUTED_VALUE"""),1510930.0)</f>
        <v>1510930</v>
      </c>
      <c r="G44" s="2" t="s">
        <v>4</v>
      </c>
    </row>
    <row r="45">
      <c r="A45" s="3">
        <f>IFERROR(__xludf.DUMMYFUNCTION("""COMPUTED_VALUE"""),44623.72916666667)</f>
        <v>44623.72917</v>
      </c>
      <c r="B45" s="1">
        <f>IFERROR(__xludf.DUMMYFUNCTION("""COMPUTED_VALUE"""),47.38)</f>
        <v>47.38</v>
      </c>
      <c r="C45" s="1">
        <f>IFERROR(__xludf.DUMMYFUNCTION("""COMPUTED_VALUE"""),48.61)</f>
        <v>48.61</v>
      </c>
      <c r="D45" s="1">
        <f>IFERROR(__xludf.DUMMYFUNCTION("""COMPUTED_VALUE"""),43.83)</f>
        <v>43.83</v>
      </c>
      <c r="E45" s="1">
        <f>IFERROR(__xludf.DUMMYFUNCTION("""COMPUTED_VALUE"""),43.88)</f>
        <v>43.88</v>
      </c>
      <c r="F45" s="1">
        <f>IFERROR(__xludf.DUMMYFUNCTION("""COMPUTED_VALUE"""),1122175.0)</f>
        <v>1122175</v>
      </c>
      <c r="G45" s="2" t="s">
        <v>4</v>
      </c>
    </row>
    <row r="46">
      <c r="A46" s="3">
        <f>IFERROR(__xludf.DUMMYFUNCTION("""COMPUTED_VALUE"""),44624.72916666667)</f>
        <v>44624.72917</v>
      </c>
      <c r="B46" s="1">
        <f>IFERROR(__xludf.DUMMYFUNCTION("""COMPUTED_VALUE"""),42.73)</f>
        <v>42.73</v>
      </c>
      <c r="C46" s="1">
        <f>IFERROR(__xludf.DUMMYFUNCTION("""COMPUTED_VALUE"""),44.23)</f>
        <v>44.23</v>
      </c>
      <c r="D46" s="1">
        <f>IFERROR(__xludf.DUMMYFUNCTION("""COMPUTED_VALUE"""),40.46)</f>
        <v>40.46</v>
      </c>
      <c r="E46" s="1">
        <f>IFERROR(__xludf.DUMMYFUNCTION("""COMPUTED_VALUE"""),40.46)</f>
        <v>40.46</v>
      </c>
      <c r="F46" s="1">
        <f>IFERROR(__xludf.DUMMYFUNCTION("""COMPUTED_VALUE"""),1273803.0)</f>
        <v>1273803</v>
      </c>
      <c r="G46" s="2" t="s">
        <v>4</v>
      </c>
    </row>
    <row r="47">
      <c r="A47" s="3">
        <f>IFERROR(__xludf.DUMMYFUNCTION("""COMPUTED_VALUE"""),44627.72916666667)</f>
        <v>44627.72917</v>
      </c>
      <c r="B47" s="1">
        <f>IFERROR(__xludf.DUMMYFUNCTION("""COMPUTED_VALUE"""),39.46)</f>
        <v>39.46</v>
      </c>
      <c r="C47" s="1">
        <f>IFERROR(__xludf.DUMMYFUNCTION("""COMPUTED_VALUE"""),43.17)</f>
        <v>43.17</v>
      </c>
      <c r="D47" s="1">
        <f>IFERROR(__xludf.DUMMYFUNCTION("""COMPUTED_VALUE"""),37.33)</f>
        <v>37.33</v>
      </c>
      <c r="E47" s="1">
        <f>IFERROR(__xludf.DUMMYFUNCTION("""COMPUTED_VALUE"""),40.9)</f>
        <v>40.9</v>
      </c>
      <c r="F47" s="1">
        <f>IFERROR(__xludf.DUMMYFUNCTION("""COMPUTED_VALUE"""),1652802.0)</f>
        <v>1652802</v>
      </c>
      <c r="G47" s="2" t="s">
        <v>4</v>
      </c>
    </row>
    <row r="48">
      <c r="A48" s="3">
        <f>IFERROR(__xludf.DUMMYFUNCTION("""COMPUTED_VALUE"""),44628.72916666667)</f>
        <v>44628.72917</v>
      </c>
      <c r="B48" s="1">
        <f>IFERROR(__xludf.DUMMYFUNCTION("""COMPUTED_VALUE"""),39.81)</f>
        <v>39.81</v>
      </c>
      <c r="C48" s="1">
        <f>IFERROR(__xludf.DUMMYFUNCTION("""COMPUTED_VALUE"""),41.29)</f>
        <v>41.29</v>
      </c>
      <c r="D48" s="1">
        <f>IFERROR(__xludf.DUMMYFUNCTION("""COMPUTED_VALUE"""),38.37)</f>
        <v>38.37</v>
      </c>
      <c r="E48" s="1">
        <f>IFERROR(__xludf.DUMMYFUNCTION("""COMPUTED_VALUE"""),40.16)</f>
        <v>40.16</v>
      </c>
      <c r="F48" s="1">
        <f>IFERROR(__xludf.DUMMYFUNCTION("""COMPUTED_VALUE"""),2195573.0)</f>
        <v>2195573</v>
      </c>
      <c r="G48" s="2" t="s">
        <v>4</v>
      </c>
    </row>
    <row r="49">
      <c r="A49" s="3">
        <f>IFERROR(__xludf.DUMMYFUNCTION("""COMPUTED_VALUE"""),44629.72916666667)</f>
        <v>44629.72917</v>
      </c>
      <c r="B49" s="1">
        <f>IFERROR(__xludf.DUMMYFUNCTION("""COMPUTED_VALUE"""),41.53)</f>
        <v>41.53</v>
      </c>
      <c r="C49" s="1">
        <f>IFERROR(__xludf.DUMMYFUNCTION("""COMPUTED_VALUE"""),45.25)</f>
        <v>45.25</v>
      </c>
      <c r="D49" s="1">
        <f>IFERROR(__xludf.DUMMYFUNCTION("""COMPUTED_VALUE"""),40.05)</f>
        <v>40.05</v>
      </c>
      <c r="E49" s="1">
        <f>IFERROR(__xludf.DUMMYFUNCTION("""COMPUTED_VALUE"""),45.25)</f>
        <v>45.25</v>
      </c>
      <c r="F49" s="1">
        <f>IFERROR(__xludf.DUMMYFUNCTION("""COMPUTED_VALUE"""),1837480.0)</f>
        <v>1837480</v>
      </c>
      <c r="G49" s="2" t="s">
        <v>4</v>
      </c>
    </row>
    <row r="50">
      <c r="A50" s="3">
        <f>IFERROR(__xludf.DUMMYFUNCTION("""COMPUTED_VALUE"""),44630.72916666667)</f>
        <v>44630.72917</v>
      </c>
      <c r="B50" s="1">
        <f>IFERROR(__xludf.DUMMYFUNCTION("""COMPUTED_VALUE"""),45.78)</f>
        <v>45.78</v>
      </c>
      <c r="C50" s="1">
        <f>IFERROR(__xludf.DUMMYFUNCTION("""COMPUTED_VALUE"""),45.98)</f>
        <v>45.98</v>
      </c>
      <c r="D50" s="1">
        <f>IFERROR(__xludf.DUMMYFUNCTION("""COMPUTED_VALUE"""),40.87)</f>
        <v>40.87</v>
      </c>
      <c r="E50" s="1">
        <f>IFERROR(__xludf.DUMMYFUNCTION("""COMPUTED_VALUE"""),41.08)</f>
        <v>41.08</v>
      </c>
      <c r="F50" s="1">
        <f>IFERROR(__xludf.DUMMYFUNCTION("""COMPUTED_VALUE"""),1599699.0)</f>
        <v>1599699</v>
      </c>
      <c r="G50" s="2" t="s">
        <v>4</v>
      </c>
    </row>
    <row r="51">
      <c r="A51" s="3">
        <f>IFERROR(__xludf.DUMMYFUNCTION("""COMPUTED_VALUE"""),44631.72916666667)</f>
        <v>44631.72917</v>
      </c>
      <c r="B51" s="1">
        <f>IFERROR(__xludf.DUMMYFUNCTION("""COMPUTED_VALUE"""),41.27)</f>
        <v>41.27</v>
      </c>
      <c r="C51" s="1">
        <f>IFERROR(__xludf.DUMMYFUNCTION("""COMPUTED_VALUE"""),41.51)</f>
        <v>41.51</v>
      </c>
      <c r="D51" s="1">
        <f>IFERROR(__xludf.DUMMYFUNCTION("""COMPUTED_VALUE"""),38.83)</f>
        <v>38.83</v>
      </c>
      <c r="E51" s="1">
        <f>IFERROR(__xludf.DUMMYFUNCTION("""COMPUTED_VALUE"""),40.32)</f>
        <v>40.32</v>
      </c>
      <c r="F51" s="1">
        <f>IFERROR(__xludf.DUMMYFUNCTION("""COMPUTED_VALUE"""),1949693.0)</f>
        <v>1949693</v>
      </c>
      <c r="G51" s="2" t="s">
        <v>4</v>
      </c>
    </row>
    <row r="52">
      <c r="A52" s="3">
        <f>IFERROR(__xludf.DUMMYFUNCTION("""COMPUTED_VALUE"""),44634.72916666667)</f>
        <v>44634.72917</v>
      </c>
      <c r="B52" s="1">
        <f>IFERROR(__xludf.DUMMYFUNCTION("""COMPUTED_VALUE"""),40.79)</f>
        <v>40.79</v>
      </c>
      <c r="C52" s="1">
        <f>IFERROR(__xludf.DUMMYFUNCTION("""COMPUTED_VALUE"""),40.79)</f>
        <v>40.79</v>
      </c>
      <c r="D52" s="1">
        <f>IFERROR(__xludf.DUMMYFUNCTION("""COMPUTED_VALUE"""),37.47)</f>
        <v>37.47</v>
      </c>
      <c r="E52" s="1">
        <f>IFERROR(__xludf.DUMMYFUNCTION("""COMPUTED_VALUE"""),39.09)</f>
        <v>39.09</v>
      </c>
      <c r="F52" s="1">
        <f>IFERROR(__xludf.DUMMYFUNCTION("""COMPUTED_VALUE"""),1553692.0)</f>
        <v>1553692</v>
      </c>
      <c r="G52" s="2" t="s">
        <v>4</v>
      </c>
    </row>
    <row r="53">
      <c r="A53" s="3">
        <f>IFERROR(__xludf.DUMMYFUNCTION("""COMPUTED_VALUE"""),44635.72916666667)</f>
        <v>44635.72917</v>
      </c>
      <c r="B53" s="1">
        <f>IFERROR(__xludf.DUMMYFUNCTION("""COMPUTED_VALUE"""),38.72)</f>
        <v>38.72</v>
      </c>
      <c r="C53" s="1">
        <f>IFERROR(__xludf.DUMMYFUNCTION("""COMPUTED_VALUE"""),39.56)</f>
        <v>39.56</v>
      </c>
      <c r="D53" s="1">
        <f>IFERROR(__xludf.DUMMYFUNCTION("""COMPUTED_VALUE"""),36.77)</f>
        <v>36.77</v>
      </c>
      <c r="E53" s="1">
        <f>IFERROR(__xludf.DUMMYFUNCTION("""COMPUTED_VALUE"""),38.05)</f>
        <v>38.05</v>
      </c>
      <c r="F53" s="1">
        <f>IFERROR(__xludf.DUMMYFUNCTION("""COMPUTED_VALUE"""),2161731.0)</f>
        <v>2161731</v>
      </c>
      <c r="G53" s="2" t="s">
        <v>4</v>
      </c>
    </row>
    <row r="54">
      <c r="A54" s="3">
        <f>IFERROR(__xludf.DUMMYFUNCTION("""COMPUTED_VALUE"""),44636.72916666667)</f>
        <v>44636.72917</v>
      </c>
      <c r="B54" s="1">
        <f>IFERROR(__xludf.DUMMYFUNCTION("""COMPUTED_VALUE"""),38.7)</f>
        <v>38.7</v>
      </c>
      <c r="C54" s="1">
        <f>IFERROR(__xludf.DUMMYFUNCTION("""COMPUTED_VALUE"""),42.35)</f>
        <v>42.35</v>
      </c>
      <c r="D54" s="1">
        <f>IFERROR(__xludf.DUMMYFUNCTION("""COMPUTED_VALUE"""),38.67)</f>
        <v>38.67</v>
      </c>
      <c r="E54" s="1">
        <f>IFERROR(__xludf.DUMMYFUNCTION("""COMPUTED_VALUE"""),41.8)</f>
        <v>41.8</v>
      </c>
      <c r="F54" s="1">
        <f>IFERROR(__xludf.DUMMYFUNCTION("""COMPUTED_VALUE"""),2213800.0)</f>
        <v>2213800</v>
      </c>
      <c r="G54" s="2" t="s">
        <v>4</v>
      </c>
    </row>
    <row r="55">
      <c r="A55" s="3">
        <f>IFERROR(__xludf.DUMMYFUNCTION("""COMPUTED_VALUE"""),44637.72916666667)</f>
        <v>44637.72917</v>
      </c>
      <c r="B55" s="1">
        <f>IFERROR(__xludf.DUMMYFUNCTION("""COMPUTED_VALUE"""),42.15)</f>
        <v>42.15</v>
      </c>
      <c r="C55" s="1">
        <f>IFERROR(__xludf.DUMMYFUNCTION("""COMPUTED_VALUE"""),44.65)</f>
        <v>44.65</v>
      </c>
      <c r="D55" s="1">
        <f>IFERROR(__xludf.DUMMYFUNCTION("""COMPUTED_VALUE"""),41.08)</f>
        <v>41.08</v>
      </c>
      <c r="E55" s="1">
        <f>IFERROR(__xludf.DUMMYFUNCTION("""COMPUTED_VALUE"""),41.87)</f>
        <v>41.87</v>
      </c>
      <c r="F55" s="1">
        <f>IFERROR(__xludf.DUMMYFUNCTION("""COMPUTED_VALUE"""),1844080.0)</f>
        <v>1844080</v>
      </c>
      <c r="G55" s="2" t="s">
        <v>4</v>
      </c>
    </row>
    <row r="56">
      <c r="A56" s="3">
        <f>IFERROR(__xludf.DUMMYFUNCTION("""COMPUTED_VALUE"""),44638.72916666667)</f>
        <v>44638.72917</v>
      </c>
      <c r="B56" s="1">
        <f>IFERROR(__xludf.DUMMYFUNCTION("""COMPUTED_VALUE"""),42.04)</f>
        <v>42.04</v>
      </c>
      <c r="C56" s="1">
        <f>IFERROR(__xludf.DUMMYFUNCTION("""COMPUTED_VALUE"""),44.94)</f>
        <v>44.94</v>
      </c>
      <c r="D56" s="1">
        <f>IFERROR(__xludf.DUMMYFUNCTION("""COMPUTED_VALUE"""),41.05)</f>
        <v>41.05</v>
      </c>
      <c r="E56" s="1">
        <f>IFERROR(__xludf.DUMMYFUNCTION("""COMPUTED_VALUE"""),44.94)</f>
        <v>44.94</v>
      </c>
      <c r="F56" s="1">
        <f>IFERROR(__xludf.DUMMYFUNCTION("""COMPUTED_VALUE"""),2002027.0)</f>
        <v>2002027</v>
      </c>
      <c r="G56" s="2" t="s">
        <v>4</v>
      </c>
    </row>
    <row r="57">
      <c r="A57" s="3">
        <f>IFERROR(__xludf.DUMMYFUNCTION("""COMPUTED_VALUE"""),44641.72916666667)</f>
        <v>44641.72917</v>
      </c>
      <c r="B57" s="1">
        <f>IFERROR(__xludf.DUMMYFUNCTION("""COMPUTED_VALUE"""),44.73)</f>
        <v>44.73</v>
      </c>
      <c r="C57" s="1">
        <f>IFERROR(__xludf.DUMMYFUNCTION("""COMPUTED_VALUE"""),44.82)</f>
        <v>44.82</v>
      </c>
      <c r="D57" s="1">
        <f>IFERROR(__xludf.DUMMYFUNCTION("""COMPUTED_VALUE"""),41.25)</f>
        <v>41.25</v>
      </c>
      <c r="E57" s="1">
        <f>IFERROR(__xludf.DUMMYFUNCTION("""COMPUTED_VALUE"""),41.59)</f>
        <v>41.59</v>
      </c>
      <c r="F57" s="1">
        <f>IFERROR(__xludf.DUMMYFUNCTION("""COMPUTED_VALUE"""),1435885.0)</f>
        <v>1435885</v>
      </c>
      <c r="G57" s="2" t="s">
        <v>4</v>
      </c>
    </row>
    <row r="58">
      <c r="A58" s="3">
        <f>IFERROR(__xludf.DUMMYFUNCTION("""COMPUTED_VALUE"""),44642.72916666667)</f>
        <v>44642.72917</v>
      </c>
      <c r="B58" s="1">
        <f>IFERROR(__xludf.DUMMYFUNCTION("""COMPUTED_VALUE"""),41.59)</f>
        <v>41.59</v>
      </c>
      <c r="C58" s="1">
        <f>IFERROR(__xludf.DUMMYFUNCTION("""COMPUTED_VALUE"""),42.13)</f>
        <v>42.13</v>
      </c>
      <c r="D58" s="1">
        <f>IFERROR(__xludf.DUMMYFUNCTION("""COMPUTED_VALUE"""),39.34)</f>
        <v>39.34</v>
      </c>
      <c r="E58" s="1">
        <f>IFERROR(__xludf.DUMMYFUNCTION("""COMPUTED_VALUE"""),41.41)</f>
        <v>41.41</v>
      </c>
      <c r="F58" s="1">
        <f>IFERROR(__xludf.DUMMYFUNCTION("""COMPUTED_VALUE"""),1961785.0)</f>
        <v>1961785</v>
      </c>
      <c r="G58" s="2" t="s">
        <v>4</v>
      </c>
    </row>
    <row r="59">
      <c r="A59" s="3">
        <f>IFERROR(__xludf.DUMMYFUNCTION("""COMPUTED_VALUE"""),44643.72916666667)</f>
        <v>44643.72917</v>
      </c>
      <c r="B59" s="1">
        <f>IFERROR(__xludf.DUMMYFUNCTION("""COMPUTED_VALUE"""),41.87)</f>
        <v>41.87</v>
      </c>
      <c r="C59" s="1">
        <f>IFERROR(__xludf.DUMMYFUNCTION("""COMPUTED_VALUE"""),42.45)</f>
        <v>42.45</v>
      </c>
      <c r="D59" s="1">
        <f>IFERROR(__xludf.DUMMYFUNCTION("""COMPUTED_VALUE"""),38.08)</f>
        <v>38.08</v>
      </c>
      <c r="E59" s="1">
        <f>IFERROR(__xludf.DUMMYFUNCTION("""COMPUTED_VALUE"""),38.82)</f>
        <v>38.82</v>
      </c>
      <c r="F59" s="1">
        <f>IFERROR(__xludf.DUMMYFUNCTION("""COMPUTED_VALUE"""),1958001.0)</f>
        <v>1958001</v>
      </c>
      <c r="G59" s="2" t="s">
        <v>4</v>
      </c>
    </row>
    <row r="60">
      <c r="A60" s="3">
        <f>IFERROR(__xludf.DUMMYFUNCTION("""COMPUTED_VALUE"""),44644.72916666667)</f>
        <v>44644.72917</v>
      </c>
      <c r="B60" s="1">
        <f>IFERROR(__xludf.DUMMYFUNCTION("""COMPUTED_VALUE"""),38.68)</f>
        <v>38.68</v>
      </c>
      <c r="C60" s="1">
        <f>IFERROR(__xludf.DUMMYFUNCTION("""COMPUTED_VALUE"""),39.79)</f>
        <v>39.79</v>
      </c>
      <c r="D60" s="1">
        <f>IFERROR(__xludf.DUMMYFUNCTION("""COMPUTED_VALUE"""),37.95)</f>
        <v>37.95</v>
      </c>
      <c r="E60" s="1">
        <f>IFERROR(__xludf.DUMMYFUNCTION("""COMPUTED_VALUE"""),38.78)</f>
        <v>38.78</v>
      </c>
      <c r="F60" s="1">
        <f>IFERROR(__xludf.DUMMYFUNCTION("""COMPUTED_VALUE"""),1389899.0)</f>
        <v>1389899</v>
      </c>
      <c r="G60" s="2" t="s">
        <v>4</v>
      </c>
    </row>
    <row r="61">
      <c r="A61" s="3">
        <f>IFERROR(__xludf.DUMMYFUNCTION("""COMPUTED_VALUE"""),44645.72916666667)</f>
        <v>44645.72917</v>
      </c>
      <c r="B61" s="1">
        <f>IFERROR(__xludf.DUMMYFUNCTION("""COMPUTED_VALUE"""),39.01)</f>
        <v>39.01</v>
      </c>
      <c r="C61" s="1">
        <f>IFERROR(__xludf.DUMMYFUNCTION("""COMPUTED_VALUE"""),39.54)</f>
        <v>39.54</v>
      </c>
      <c r="D61" s="1">
        <f>IFERROR(__xludf.DUMMYFUNCTION("""COMPUTED_VALUE"""),37.14)</f>
        <v>37.14</v>
      </c>
      <c r="E61" s="1">
        <f>IFERROR(__xludf.DUMMYFUNCTION("""COMPUTED_VALUE"""),37.24)</f>
        <v>37.24</v>
      </c>
      <c r="F61" s="1">
        <f>IFERROR(__xludf.DUMMYFUNCTION("""COMPUTED_VALUE"""),1588709.0)</f>
        <v>1588709</v>
      </c>
      <c r="G61" s="2" t="s">
        <v>4</v>
      </c>
    </row>
    <row r="62">
      <c r="A62" s="3">
        <f>IFERROR(__xludf.DUMMYFUNCTION("""COMPUTED_VALUE"""),44648.72916666667)</f>
        <v>44648.72917</v>
      </c>
      <c r="B62" s="1">
        <f>IFERROR(__xludf.DUMMYFUNCTION("""COMPUTED_VALUE"""),37.46)</f>
        <v>37.46</v>
      </c>
      <c r="C62" s="1">
        <f>IFERROR(__xludf.DUMMYFUNCTION("""COMPUTED_VALUE"""),39.19)</f>
        <v>39.19</v>
      </c>
      <c r="D62" s="1">
        <f>IFERROR(__xludf.DUMMYFUNCTION("""COMPUTED_VALUE"""),36.45)</f>
        <v>36.45</v>
      </c>
      <c r="E62" s="1">
        <f>IFERROR(__xludf.DUMMYFUNCTION("""COMPUTED_VALUE"""),38.51)</f>
        <v>38.51</v>
      </c>
      <c r="F62" s="1">
        <f>IFERROR(__xludf.DUMMYFUNCTION("""COMPUTED_VALUE"""),1890539.0)</f>
        <v>1890539</v>
      </c>
      <c r="G62" s="2" t="s">
        <v>4</v>
      </c>
    </row>
    <row r="63">
      <c r="A63" s="3">
        <f>IFERROR(__xludf.DUMMYFUNCTION("""COMPUTED_VALUE"""),44649.72916666667)</f>
        <v>44649.72917</v>
      </c>
      <c r="B63" s="1">
        <f>IFERROR(__xludf.DUMMYFUNCTION("""COMPUTED_VALUE"""),39.82)</f>
        <v>39.82</v>
      </c>
      <c r="C63" s="1">
        <f>IFERROR(__xludf.DUMMYFUNCTION("""COMPUTED_VALUE"""),44.61)</f>
        <v>44.61</v>
      </c>
      <c r="D63" s="1">
        <f>IFERROR(__xludf.DUMMYFUNCTION("""COMPUTED_VALUE"""),39.82)</f>
        <v>39.82</v>
      </c>
      <c r="E63" s="1">
        <f>IFERROR(__xludf.DUMMYFUNCTION("""COMPUTED_VALUE"""),44.61)</f>
        <v>44.61</v>
      </c>
      <c r="F63" s="1">
        <f>IFERROR(__xludf.DUMMYFUNCTION("""COMPUTED_VALUE"""),2786263.0)</f>
        <v>2786263</v>
      </c>
      <c r="G63" s="2" t="s">
        <v>4</v>
      </c>
    </row>
    <row r="64">
      <c r="A64" s="3">
        <f>IFERROR(__xludf.DUMMYFUNCTION("""COMPUTED_VALUE"""),44650.72916666667)</f>
        <v>44650.72917</v>
      </c>
      <c r="B64" s="1">
        <f>IFERROR(__xludf.DUMMYFUNCTION("""COMPUTED_VALUE"""),44.4)</f>
        <v>44.4</v>
      </c>
      <c r="C64" s="1">
        <f>IFERROR(__xludf.DUMMYFUNCTION("""COMPUTED_VALUE"""),44.4)</f>
        <v>44.4</v>
      </c>
      <c r="D64" s="1">
        <f>IFERROR(__xludf.DUMMYFUNCTION("""COMPUTED_VALUE"""),42.12)</f>
        <v>42.12</v>
      </c>
      <c r="E64" s="1">
        <f>IFERROR(__xludf.DUMMYFUNCTION("""COMPUTED_VALUE"""),42.67)</f>
        <v>42.67</v>
      </c>
      <c r="F64" s="1">
        <f>IFERROR(__xludf.DUMMYFUNCTION("""COMPUTED_VALUE"""),1493672.0)</f>
        <v>1493672</v>
      </c>
      <c r="G64" s="2" t="s">
        <v>4</v>
      </c>
    </row>
    <row r="65">
      <c r="A65" s="3">
        <f>IFERROR(__xludf.DUMMYFUNCTION("""COMPUTED_VALUE"""),44651.72916666667)</f>
        <v>44651.72917</v>
      </c>
      <c r="B65" s="1">
        <f>IFERROR(__xludf.DUMMYFUNCTION("""COMPUTED_VALUE"""),43.03)</f>
        <v>43.03</v>
      </c>
      <c r="C65" s="1">
        <f>IFERROR(__xludf.DUMMYFUNCTION("""COMPUTED_VALUE"""),43.84)</f>
        <v>43.84</v>
      </c>
      <c r="D65" s="1">
        <f>IFERROR(__xludf.DUMMYFUNCTION("""COMPUTED_VALUE"""),39.86)</f>
        <v>39.86</v>
      </c>
      <c r="E65" s="1">
        <f>IFERROR(__xludf.DUMMYFUNCTION("""COMPUTED_VALUE"""),39.86)</f>
        <v>39.86</v>
      </c>
      <c r="F65" s="1">
        <f>IFERROR(__xludf.DUMMYFUNCTION("""COMPUTED_VALUE"""),1243676.0)</f>
        <v>1243676</v>
      </c>
      <c r="G65" s="2" t="s">
        <v>4</v>
      </c>
    </row>
    <row r="66">
      <c r="A66" s="3">
        <f>IFERROR(__xludf.DUMMYFUNCTION("""COMPUTED_VALUE"""),44652.72916666667)</f>
        <v>44652.72917</v>
      </c>
      <c r="B66" s="1">
        <f>IFERROR(__xludf.DUMMYFUNCTION("""COMPUTED_VALUE"""),40.0)</f>
        <v>40</v>
      </c>
      <c r="C66" s="1">
        <f>IFERROR(__xludf.DUMMYFUNCTION("""COMPUTED_VALUE"""),42.85)</f>
        <v>42.85</v>
      </c>
      <c r="D66" s="1">
        <f>IFERROR(__xludf.DUMMYFUNCTION("""COMPUTED_VALUE"""),39.86)</f>
        <v>39.86</v>
      </c>
      <c r="E66" s="1">
        <f>IFERROR(__xludf.DUMMYFUNCTION("""COMPUTED_VALUE"""),41.81)</f>
        <v>41.81</v>
      </c>
      <c r="F66" s="1">
        <f>IFERROR(__xludf.DUMMYFUNCTION("""COMPUTED_VALUE"""),1257104.0)</f>
        <v>1257104</v>
      </c>
      <c r="G66" s="2" t="s">
        <v>4</v>
      </c>
    </row>
    <row r="67">
      <c r="A67" s="3">
        <f>IFERROR(__xludf.DUMMYFUNCTION("""COMPUTED_VALUE"""),44655.72916666667)</f>
        <v>44655.72917</v>
      </c>
      <c r="B67" s="1">
        <f>IFERROR(__xludf.DUMMYFUNCTION("""COMPUTED_VALUE"""),46.0)</f>
        <v>46</v>
      </c>
      <c r="C67" s="1">
        <f>IFERROR(__xludf.DUMMYFUNCTION("""COMPUTED_VALUE"""),47.67)</f>
        <v>47.67</v>
      </c>
      <c r="D67" s="1">
        <f>IFERROR(__xludf.DUMMYFUNCTION("""COMPUTED_VALUE"""),45.1)</f>
        <v>45.1</v>
      </c>
      <c r="E67" s="1">
        <f>IFERROR(__xludf.DUMMYFUNCTION("""COMPUTED_VALUE"""),46.29)</f>
        <v>46.29</v>
      </c>
      <c r="F67" s="1">
        <f>IFERROR(__xludf.DUMMYFUNCTION("""COMPUTED_VALUE"""),2937051.0)</f>
        <v>2937051</v>
      </c>
      <c r="G67" s="2" t="s">
        <v>4</v>
      </c>
    </row>
    <row r="68">
      <c r="A68" s="3">
        <f>IFERROR(__xludf.DUMMYFUNCTION("""COMPUTED_VALUE"""),44656.72916666667)</f>
        <v>44656.72917</v>
      </c>
      <c r="B68" s="1">
        <f>IFERROR(__xludf.DUMMYFUNCTION("""COMPUTED_VALUE"""),46.5)</f>
        <v>46.5</v>
      </c>
      <c r="C68" s="1">
        <f>IFERROR(__xludf.DUMMYFUNCTION("""COMPUTED_VALUE"""),49.11)</f>
        <v>49.11</v>
      </c>
      <c r="D68" s="1">
        <f>IFERROR(__xludf.DUMMYFUNCTION("""COMPUTED_VALUE"""),45.76)</f>
        <v>45.76</v>
      </c>
      <c r="E68" s="1">
        <f>IFERROR(__xludf.DUMMYFUNCTION("""COMPUTED_VALUE"""),48.19)</f>
        <v>48.19</v>
      </c>
      <c r="F68" s="1">
        <f>IFERROR(__xludf.DUMMYFUNCTION("""COMPUTED_VALUE"""),3141882.0)</f>
        <v>3141882</v>
      </c>
      <c r="G68" s="2" t="s">
        <v>4</v>
      </c>
    </row>
    <row r="69">
      <c r="A69" s="3">
        <f>IFERROR(__xludf.DUMMYFUNCTION("""COMPUTED_VALUE"""),44657.72916666667)</f>
        <v>44657.72917</v>
      </c>
      <c r="B69" s="1">
        <f>IFERROR(__xludf.DUMMYFUNCTION("""COMPUTED_VALUE"""),48.1)</f>
        <v>48.1</v>
      </c>
      <c r="C69" s="1">
        <f>IFERROR(__xludf.DUMMYFUNCTION("""COMPUTED_VALUE"""),48.2)</f>
        <v>48.2</v>
      </c>
      <c r="D69" s="1">
        <f>IFERROR(__xludf.DUMMYFUNCTION("""COMPUTED_VALUE"""),44.76)</f>
        <v>44.76</v>
      </c>
      <c r="E69" s="1">
        <f>IFERROR(__xludf.DUMMYFUNCTION("""COMPUTED_VALUE"""),44.94)</f>
        <v>44.94</v>
      </c>
      <c r="F69" s="1">
        <f>IFERROR(__xludf.DUMMYFUNCTION("""COMPUTED_VALUE"""),1609115.0)</f>
        <v>1609115</v>
      </c>
      <c r="G69" s="2" t="s">
        <v>4</v>
      </c>
    </row>
    <row r="70">
      <c r="A70" s="3">
        <f>IFERROR(__xludf.DUMMYFUNCTION("""COMPUTED_VALUE"""),44658.72916666667)</f>
        <v>44658.72917</v>
      </c>
      <c r="B70" s="1">
        <f>IFERROR(__xludf.DUMMYFUNCTION("""COMPUTED_VALUE"""),45.02)</f>
        <v>45.02</v>
      </c>
      <c r="C70" s="1">
        <f>IFERROR(__xludf.DUMMYFUNCTION("""COMPUTED_VALUE"""),45.6)</f>
        <v>45.6</v>
      </c>
      <c r="D70" s="1">
        <f>IFERROR(__xludf.DUMMYFUNCTION("""COMPUTED_VALUE"""),42.62)</f>
        <v>42.62</v>
      </c>
      <c r="E70" s="1">
        <f>IFERROR(__xludf.DUMMYFUNCTION("""COMPUTED_VALUE"""),42.62)</f>
        <v>42.62</v>
      </c>
      <c r="F70" s="1">
        <f>IFERROR(__xludf.DUMMYFUNCTION("""COMPUTED_VALUE"""),1169958.0)</f>
        <v>1169958</v>
      </c>
      <c r="G70" s="2" t="s">
        <v>4</v>
      </c>
    </row>
    <row r="71">
      <c r="A71" s="3">
        <f>IFERROR(__xludf.DUMMYFUNCTION("""COMPUTED_VALUE"""),44659.72916666667)</f>
        <v>44659.72917</v>
      </c>
      <c r="B71" s="1">
        <f>IFERROR(__xludf.DUMMYFUNCTION("""COMPUTED_VALUE"""),43.21)</f>
        <v>43.21</v>
      </c>
      <c r="C71" s="1">
        <f>IFERROR(__xludf.DUMMYFUNCTION("""COMPUTED_VALUE"""),43.5)</f>
        <v>43.5</v>
      </c>
      <c r="D71" s="1">
        <f>IFERROR(__xludf.DUMMYFUNCTION("""COMPUTED_VALUE"""),40.89)</f>
        <v>40.89</v>
      </c>
      <c r="E71" s="1">
        <f>IFERROR(__xludf.DUMMYFUNCTION("""COMPUTED_VALUE"""),41.18)</f>
        <v>41.18</v>
      </c>
      <c r="F71" s="1">
        <f>IFERROR(__xludf.DUMMYFUNCTION("""COMPUTED_VALUE"""),1524707.0)</f>
        <v>1524707</v>
      </c>
      <c r="G71" s="2" t="s">
        <v>4</v>
      </c>
    </row>
    <row r="72">
      <c r="A72" s="3">
        <f>IFERROR(__xludf.DUMMYFUNCTION("""COMPUTED_VALUE"""),44662.72916666667)</f>
        <v>44662.72917</v>
      </c>
      <c r="B72" s="1">
        <f>IFERROR(__xludf.DUMMYFUNCTION("""COMPUTED_VALUE"""),40.42)</f>
        <v>40.42</v>
      </c>
      <c r="C72" s="1">
        <f>IFERROR(__xludf.DUMMYFUNCTION("""COMPUTED_VALUE"""),41.2)</f>
        <v>41.2</v>
      </c>
      <c r="D72" s="1">
        <f>IFERROR(__xludf.DUMMYFUNCTION("""COMPUTED_VALUE"""),38.75)</f>
        <v>38.75</v>
      </c>
      <c r="E72" s="1">
        <f>IFERROR(__xludf.DUMMYFUNCTION("""COMPUTED_VALUE"""),38.83)</f>
        <v>38.83</v>
      </c>
      <c r="F72" s="1">
        <f>IFERROR(__xludf.DUMMYFUNCTION("""COMPUTED_VALUE"""),1752514.0)</f>
        <v>1752514</v>
      </c>
      <c r="G72" s="2" t="s">
        <v>4</v>
      </c>
    </row>
    <row r="73">
      <c r="A73" s="3">
        <f>IFERROR(__xludf.DUMMYFUNCTION("""COMPUTED_VALUE"""),44663.72916666667)</f>
        <v>44663.72917</v>
      </c>
      <c r="B73" s="1">
        <f>IFERROR(__xludf.DUMMYFUNCTION("""COMPUTED_VALUE"""),38.31)</f>
        <v>38.31</v>
      </c>
      <c r="C73" s="1">
        <f>IFERROR(__xludf.DUMMYFUNCTION("""COMPUTED_VALUE"""),40.03)</f>
        <v>40.03</v>
      </c>
      <c r="D73" s="1">
        <f>IFERROR(__xludf.DUMMYFUNCTION("""COMPUTED_VALUE"""),37.98)</f>
        <v>37.98</v>
      </c>
      <c r="E73" s="1">
        <f>IFERROR(__xludf.DUMMYFUNCTION("""COMPUTED_VALUE"""),38.56)</f>
        <v>38.56</v>
      </c>
      <c r="F73" s="1">
        <f>IFERROR(__xludf.DUMMYFUNCTION("""COMPUTED_VALUE"""),2248848.0)</f>
        <v>2248848</v>
      </c>
      <c r="G73" s="2" t="s">
        <v>4</v>
      </c>
    </row>
    <row r="74">
      <c r="A74" s="3">
        <f>IFERROR(__xludf.DUMMYFUNCTION("""COMPUTED_VALUE"""),44664.72916666667)</f>
        <v>44664.72917</v>
      </c>
      <c r="B74" s="1">
        <f>IFERROR(__xludf.DUMMYFUNCTION("""COMPUTED_VALUE"""),38.39)</f>
        <v>38.39</v>
      </c>
      <c r="C74" s="1">
        <f>IFERROR(__xludf.DUMMYFUNCTION("""COMPUTED_VALUE"""),38.71)</f>
        <v>38.71</v>
      </c>
      <c r="D74" s="1">
        <f>IFERROR(__xludf.DUMMYFUNCTION("""COMPUTED_VALUE"""),36.88)</f>
        <v>36.88</v>
      </c>
      <c r="E74" s="1">
        <f>IFERROR(__xludf.DUMMYFUNCTION("""COMPUTED_VALUE"""),37.74)</f>
        <v>37.74</v>
      </c>
      <c r="F74" s="1">
        <f>IFERROR(__xludf.DUMMYFUNCTION("""COMPUTED_VALUE"""),1869168.0)</f>
        <v>1869168</v>
      </c>
      <c r="G74" s="2" t="s">
        <v>4</v>
      </c>
    </row>
    <row r="75">
      <c r="A75" s="3">
        <f>IFERROR(__xludf.DUMMYFUNCTION("""COMPUTED_VALUE"""),44665.72916666667)</f>
        <v>44665.72917</v>
      </c>
      <c r="B75" s="1">
        <f>IFERROR(__xludf.DUMMYFUNCTION("""COMPUTED_VALUE"""),36.62)</f>
        <v>36.62</v>
      </c>
      <c r="C75" s="1">
        <f>IFERROR(__xludf.DUMMYFUNCTION("""COMPUTED_VALUE"""),37.87)</f>
        <v>37.87</v>
      </c>
      <c r="D75" s="1">
        <f>IFERROR(__xludf.DUMMYFUNCTION("""COMPUTED_VALUE"""),36.04)</f>
        <v>36.04</v>
      </c>
      <c r="E75" s="1">
        <f>IFERROR(__xludf.DUMMYFUNCTION("""COMPUTED_VALUE"""),36.05)</f>
        <v>36.05</v>
      </c>
      <c r="F75" s="1">
        <f>IFERROR(__xludf.DUMMYFUNCTION("""COMPUTED_VALUE"""),2345093.0)</f>
        <v>2345093</v>
      </c>
      <c r="G75" s="2" t="s">
        <v>4</v>
      </c>
    </row>
    <row r="76">
      <c r="A76" s="3">
        <f>IFERROR(__xludf.DUMMYFUNCTION("""COMPUTED_VALUE"""),44670.72916666667)</f>
        <v>44670.72917</v>
      </c>
      <c r="B76" s="1">
        <f>IFERROR(__xludf.DUMMYFUNCTION("""COMPUTED_VALUE"""),36.0)</f>
        <v>36</v>
      </c>
      <c r="C76" s="1">
        <f>IFERROR(__xludf.DUMMYFUNCTION("""COMPUTED_VALUE"""),36.09)</f>
        <v>36.09</v>
      </c>
      <c r="D76" s="1">
        <f>IFERROR(__xludf.DUMMYFUNCTION("""COMPUTED_VALUE"""),34.38)</f>
        <v>34.38</v>
      </c>
      <c r="E76" s="1">
        <f>IFERROR(__xludf.DUMMYFUNCTION("""COMPUTED_VALUE"""),35.5)</f>
        <v>35.5</v>
      </c>
      <c r="F76" s="1">
        <f>IFERROR(__xludf.DUMMYFUNCTION("""COMPUTED_VALUE"""),1696232.0)</f>
        <v>1696232</v>
      </c>
      <c r="G76" s="2" t="s">
        <v>4</v>
      </c>
    </row>
    <row r="77">
      <c r="A77" s="3">
        <f>IFERROR(__xludf.DUMMYFUNCTION("""COMPUTED_VALUE"""),44671.72916666667)</f>
        <v>44671.72917</v>
      </c>
      <c r="B77" s="1">
        <f>IFERROR(__xludf.DUMMYFUNCTION("""COMPUTED_VALUE"""),34.63)</f>
        <v>34.63</v>
      </c>
      <c r="C77" s="1">
        <f>IFERROR(__xludf.DUMMYFUNCTION("""COMPUTED_VALUE"""),38.39)</f>
        <v>38.39</v>
      </c>
      <c r="D77" s="1">
        <f>IFERROR(__xludf.DUMMYFUNCTION("""COMPUTED_VALUE"""),34.05)</f>
        <v>34.05</v>
      </c>
      <c r="E77" s="1">
        <f>IFERROR(__xludf.DUMMYFUNCTION("""COMPUTED_VALUE"""),36.41)</f>
        <v>36.41</v>
      </c>
      <c r="F77" s="1">
        <f>IFERROR(__xludf.DUMMYFUNCTION("""COMPUTED_VALUE"""),1676711.0)</f>
        <v>1676711</v>
      </c>
      <c r="G77" s="2" t="s">
        <v>4</v>
      </c>
    </row>
    <row r="78">
      <c r="A78" s="3">
        <f>IFERROR(__xludf.DUMMYFUNCTION("""COMPUTED_VALUE"""),44672.72916666667)</f>
        <v>44672.72917</v>
      </c>
      <c r="B78" s="1">
        <f>IFERROR(__xludf.DUMMYFUNCTION("""COMPUTED_VALUE"""),36.16)</f>
        <v>36.16</v>
      </c>
      <c r="C78" s="1">
        <f>IFERROR(__xludf.DUMMYFUNCTION("""COMPUTED_VALUE"""),36.55)</f>
        <v>36.55</v>
      </c>
      <c r="D78" s="1">
        <f>IFERROR(__xludf.DUMMYFUNCTION("""COMPUTED_VALUE"""),34.12)</f>
        <v>34.12</v>
      </c>
      <c r="E78" s="1">
        <f>IFERROR(__xludf.DUMMYFUNCTION("""COMPUTED_VALUE"""),34.18)</f>
        <v>34.18</v>
      </c>
      <c r="F78" s="1">
        <f>IFERROR(__xludf.DUMMYFUNCTION("""COMPUTED_VALUE"""),1638532.0)</f>
        <v>1638532</v>
      </c>
      <c r="G78" s="2" t="s">
        <v>4</v>
      </c>
    </row>
    <row r="79">
      <c r="A79" s="3">
        <f>IFERROR(__xludf.DUMMYFUNCTION("""COMPUTED_VALUE"""),44673.72916666667)</f>
        <v>44673.72917</v>
      </c>
      <c r="B79" s="1">
        <f>IFERROR(__xludf.DUMMYFUNCTION("""COMPUTED_VALUE"""),33.5)</f>
        <v>33.5</v>
      </c>
      <c r="C79" s="1">
        <f>IFERROR(__xludf.DUMMYFUNCTION("""COMPUTED_VALUE"""),34.36)</f>
        <v>34.36</v>
      </c>
      <c r="D79" s="1">
        <f>IFERROR(__xludf.DUMMYFUNCTION("""COMPUTED_VALUE"""),32.28)</f>
        <v>32.28</v>
      </c>
      <c r="E79" s="1">
        <f>IFERROR(__xludf.DUMMYFUNCTION("""COMPUTED_VALUE"""),32.61)</f>
        <v>32.61</v>
      </c>
      <c r="F79" s="1">
        <f>IFERROR(__xludf.DUMMYFUNCTION("""COMPUTED_VALUE"""),2113709.0)</f>
        <v>2113709</v>
      </c>
      <c r="G79" s="2" t="s">
        <v>4</v>
      </c>
    </row>
    <row r="80">
      <c r="A80" s="3">
        <f>IFERROR(__xludf.DUMMYFUNCTION("""COMPUTED_VALUE"""),44676.72916666667)</f>
        <v>44676.72917</v>
      </c>
      <c r="B80" s="1">
        <f>IFERROR(__xludf.DUMMYFUNCTION("""COMPUTED_VALUE"""),31.66)</f>
        <v>31.66</v>
      </c>
      <c r="C80" s="1">
        <f>IFERROR(__xludf.DUMMYFUNCTION("""COMPUTED_VALUE"""),32.9)</f>
        <v>32.9</v>
      </c>
      <c r="D80" s="1">
        <f>IFERROR(__xludf.DUMMYFUNCTION("""COMPUTED_VALUE"""),30.67)</f>
        <v>30.67</v>
      </c>
      <c r="E80" s="1">
        <f>IFERROR(__xludf.DUMMYFUNCTION("""COMPUTED_VALUE"""),31.25)</f>
        <v>31.25</v>
      </c>
      <c r="F80" s="1">
        <f>IFERROR(__xludf.DUMMYFUNCTION("""COMPUTED_VALUE"""),2084554.0)</f>
        <v>2084554</v>
      </c>
      <c r="G80" s="2" t="s">
        <v>4</v>
      </c>
    </row>
    <row r="81">
      <c r="A81" s="3">
        <f>IFERROR(__xludf.DUMMYFUNCTION("""COMPUTED_VALUE"""),44677.72916666667)</f>
        <v>44677.72917</v>
      </c>
      <c r="B81" s="1">
        <f>IFERROR(__xludf.DUMMYFUNCTION("""COMPUTED_VALUE"""),31.95)</f>
        <v>31.95</v>
      </c>
      <c r="C81" s="1">
        <f>IFERROR(__xludf.DUMMYFUNCTION("""COMPUTED_VALUE"""),31.98)</f>
        <v>31.98</v>
      </c>
      <c r="D81" s="1">
        <f>IFERROR(__xludf.DUMMYFUNCTION("""COMPUTED_VALUE"""),28.68)</f>
        <v>28.68</v>
      </c>
      <c r="E81" s="1">
        <f>IFERROR(__xludf.DUMMYFUNCTION("""COMPUTED_VALUE"""),28.9)</f>
        <v>28.9</v>
      </c>
      <c r="F81" s="1">
        <f>IFERROR(__xludf.DUMMYFUNCTION("""COMPUTED_VALUE"""),2604429.0)</f>
        <v>2604429</v>
      </c>
      <c r="G81" s="2" t="s">
        <v>4</v>
      </c>
    </row>
    <row r="82">
      <c r="A82" s="3">
        <f>IFERROR(__xludf.DUMMYFUNCTION("""COMPUTED_VALUE"""),44678.72916666667)</f>
        <v>44678.72917</v>
      </c>
      <c r="B82" s="1">
        <f>IFERROR(__xludf.DUMMYFUNCTION("""COMPUTED_VALUE"""),28.61)</f>
        <v>28.61</v>
      </c>
      <c r="C82" s="1">
        <f>IFERROR(__xludf.DUMMYFUNCTION("""COMPUTED_VALUE"""),29.9)</f>
        <v>29.9</v>
      </c>
      <c r="D82" s="1">
        <f>IFERROR(__xludf.DUMMYFUNCTION("""COMPUTED_VALUE"""),27.72)</f>
        <v>27.72</v>
      </c>
      <c r="E82" s="1">
        <f>IFERROR(__xludf.DUMMYFUNCTION("""COMPUTED_VALUE"""),29.9)</f>
        <v>29.9</v>
      </c>
      <c r="F82" s="1">
        <f>IFERROR(__xludf.DUMMYFUNCTION("""COMPUTED_VALUE"""),2608078.0)</f>
        <v>2608078</v>
      </c>
      <c r="G82" s="2" t="s">
        <v>4</v>
      </c>
    </row>
    <row r="83">
      <c r="A83" s="3">
        <f>IFERROR(__xludf.DUMMYFUNCTION("""COMPUTED_VALUE"""),44679.72916666667)</f>
        <v>44679.72917</v>
      </c>
      <c r="B83" s="1">
        <f>IFERROR(__xludf.DUMMYFUNCTION("""COMPUTED_VALUE"""),32.1)</f>
        <v>32.1</v>
      </c>
      <c r="C83" s="1">
        <f>IFERROR(__xludf.DUMMYFUNCTION("""COMPUTED_VALUE"""),32.9)</f>
        <v>32.9</v>
      </c>
      <c r="D83" s="1">
        <f>IFERROR(__xludf.DUMMYFUNCTION("""COMPUTED_VALUE"""),26.18)</f>
        <v>26.18</v>
      </c>
      <c r="E83" s="1">
        <f>IFERROR(__xludf.DUMMYFUNCTION("""COMPUTED_VALUE"""),31.66)</f>
        <v>31.66</v>
      </c>
      <c r="F83" s="1">
        <f>IFERROR(__xludf.DUMMYFUNCTION("""COMPUTED_VALUE"""),6619774.0)</f>
        <v>6619774</v>
      </c>
      <c r="G83" s="2" t="s">
        <v>4</v>
      </c>
    </row>
    <row r="84">
      <c r="A84" s="3">
        <f>IFERROR(__xludf.DUMMYFUNCTION("""COMPUTED_VALUE"""),44680.72916666667)</f>
        <v>44680.72917</v>
      </c>
      <c r="B84" s="1">
        <f>IFERROR(__xludf.DUMMYFUNCTION("""COMPUTED_VALUE"""),31.68)</f>
        <v>31.68</v>
      </c>
      <c r="C84" s="1">
        <f>IFERROR(__xludf.DUMMYFUNCTION("""COMPUTED_VALUE"""),35.49)</f>
        <v>35.49</v>
      </c>
      <c r="D84" s="1">
        <f>IFERROR(__xludf.DUMMYFUNCTION("""COMPUTED_VALUE"""),31.68)</f>
        <v>31.68</v>
      </c>
      <c r="E84" s="1">
        <f>IFERROR(__xludf.DUMMYFUNCTION("""COMPUTED_VALUE"""),33.84)</f>
        <v>33.84</v>
      </c>
      <c r="F84" s="1">
        <f>IFERROR(__xludf.DUMMYFUNCTION("""COMPUTED_VALUE"""),2924222.0)</f>
        <v>2924222</v>
      </c>
      <c r="G84" s="2" t="s">
        <v>4</v>
      </c>
    </row>
    <row r="85">
      <c r="A85" s="3">
        <f>IFERROR(__xludf.DUMMYFUNCTION("""COMPUTED_VALUE"""),44683.72916666667)</f>
        <v>44683.72917</v>
      </c>
      <c r="B85" s="1">
        <f>IFERROR(__xludf.DUMMYFUNCTION("""COMPUTED_VALUE"""),33.38)</f>
        <v>33.38</v>
      </c>
      <c r="C85" s="1">
        <f>IFERROR(__xludf.DUMMYFUNCTION("""COMPUTED_VALUE"""),34.48)</f>
        <v>34.48</v>
      </c>
      <c r="D85" s="1">
        <f>IFERROR(__xludf.DUMMYFUNCTION("""COMPUTED_VALUE"""),31.74)</f>
        <v>31.74</v>
      </c>
      <c r="E85" s="1">
        <f>IFERROR(__xludf.DUMMYFUNCTION("""COMPUTED_VALUE"""),34.48)</f>
        <v>34.48</v>
      </c>
      <c r="F85" s="1">
        <f>IFERROR(__xludf.DUMMYFUNCTION("""COMPUTED_VALUE"""),1437133.0)</f>
        <v>1437133</v>
      </c>
      <c r="G85" s="2" t="s">
        <v>4</v>
      </c>
    </row>
    <row r="86">
      <c r="A86" s="3">
        <f>IFERROR(__xludf.DUMMYFUNCTION("""COMPUTED_VALUE"""),44684.72916666667)</f>
        <v>44684.72917</v>
      </c>
      <c r="B86" s="1">
        <f>IFERROR(__xludf.DUMMYFUNCTION("""COMPUTED_VALUE"""),34.64)</f>
        <v>34.64</v>
      </c>
      <c r="C86" s="1">
        <f>IFERROR(__xludf.DUMMYFUNCTION("""COMPUTED_VALUE"""),36.97)</f>
        <v>36.97</v>
      </c>
      <c r="D86" s="1">
        <f>IFERROR(__xludf.DUMMYFUNCTION("""COMPUTED_VALUE"""),33.59)</f>
        <v>33.59</v>
      </c>
      <c r="E86" s="1">
        <f>IFERROR(__xludf.DUMMYFUNCTION("""COMPUTED_VALUE"""),35.89)</f>
        <v>35.89</v>
      </c>
      <c r="F86" s="1">
        <f>IFERROR(__xludf.DUMMYFUNCTION("""COMPUTED_VALUE"""),2112469.0)</f>
        <v>2112469</v>
      </c>
      <c r="G86" s="2" t="s">
        <v>4</v>
      </c>
    </row>
    <row r="87">
      <c r="A87" s="3">
        <f>IFERROR(__xludf.DUMMYFUNCTION("""COMPUTED_VALUE"""),44685.72916666667)</f>
        <v>44685.72917</v>
      </c>
      <c r="B87" s="1">
        <f>IFERROR(__xludf.DUMMYFUNCTION("""COMPUTED_VALUE"""),35.41)</f>
        <v>35.41</v>
      </c>
      <c r="C87" s="1">
        <f>IFERROR(__xludf.DUMMYFUNCTION("""COMPUTED_VALUE"""),35.69)</f>
        <v>35.69</v>
      </c>
      <c r="D87" s="1">
        <f>IFERROR(__xludf.DUMMYFUNCTION("""COMPUTED_VALUE"""),32.92)</f>
        <v>32.92</v>
      </c>
      <c r="E87" s="1">
        <f>IFERROR(__xludf.DUMMYFUNCTION("""COMPUTED_VALUE"""),33.58)</f>
        <v>33.58</v>
      </c>
      <c r="F87" s="1">
        <f>IFERROR(__xludf.DUMMYFUNCTION("""COMPUTED_VALUE"""),2064163.0)</f>
        <v>2064163</v>
      </c>
      <c r="G87" s="2" t="s">
        <v>4</v>
      </c>
    </row>
    <row r="88">
      <c r="A88" s="3">
        <f>IFERROR(__xludf.DUMMYFUNCTION("""COMPUTED_VALUE"""),44686.72916666667)</f>
        <v>44686.72917</v>
      </c>
      <c r="B88" s="1">
        <f>IFERROR(__xludf.DUMMYFUNCTION("""COMPUTED_VALUE"""),35.0)</f>
        <v>35</v>
      </c>
      <c r="C88" s="1">
        <f>IFERROR(__xludf.DUMMYFUNCTION("""COMPUTED_VALUE"""),36.05)</f>
        <v>36.05</v>
      </c>
      <c r="D88" s="1">
        <f>IFERROR(__xludf.DUMMYFUNCTION("""COMPUTED_VALUE"""),30.79)</f>
        <v>30.79</v>
      </c>
      <c r="E88" s="1">
        <f>IFERROR(__xludf.DUMMYFUNCTION("""COMPUTED_VALUE"""),30.99)</f>
        <v>30.99</v>
      </c>
      <c r="F88" s="1">
        <f>IFERROR(__xludf.DUMMYFUNCTION("""COMPUTED_VALUE"""),2812361.0)</f>
        <v>2812361</v>
      </c>
      <c r="G88" s="2" t="s">
        <v>4</v>
      </c>
    </row>
    <row r="89">
      <c r="A89" s="3">
        <f>IFERROR(__xludf.DUMMYFUNCTION("""COMPUTED_VALUE"""),44687.72916666667)</f>
        <v>44687.72917</v>
      </c>
      <c r="B89" s="1">
        <f>IFERROR(__xludf.DUMMYFUNCTION("""COMPUTED_VALUE"""),30.65)</f>
        <v>30.65</v>
      </c>
      <c r="C89" s="1">
        <f>IFERROR(__xludf.DUMMYFUNCTION("""COMPUTED_VALUE"""),30.95)</f>
        <v>30.95</v>
      </c>
      <c r="D89" s="1">
        <f>IFERROR(__xludf.DUMMYFUNCTION("""COMPUTED_VALUE"""),29.22)</f>
        <v>29.22</v>
      </c>
      <c r="E89" s="1">
        <f>IFERROR(__xludf.DUMMYFUNCTION("""COMPUTED_VALUE"""),29.56)</f>
        <v>29.56</v>
      </c>
      <c r="F89" s="1">
        <f>IFERROR(__xludf.DUMMYFUNCTION("""COMPUTED_VALUE"""),1953375.0)</f>
        <v>1953375</v>
      </c>
      <c r="G89" s="2" t="s">
        <v>4</v>
      </c>
    </row>
    <row r="90">
      <c r="A90" s="3">
        <f>IFERROR(__xludf.DUMMYFUNCTION("""COMPUTED_VALUE"""),44690.72916666667)</f>
        <v>44690.72917</v>
      </c>
      <c r="B90" s="1">
        <f>IFERROR(__xludf.DUMMYFUNCTION("""COMPUTED_VALUE"""),29.05)</f>
        <v>29.05</v>
      </c>
      <c r="C90" s="1">
        <f>IFERROR(__xludf.DUMMYFUNCTION("""COMPUTED_VALUE"""),29.49)</f>
        <v>29.49</v>
      </c>
      <c r="D90" s="1">
        <f>IFERROR(__xludf.DUMMYFUNCTION("""COMPUTED_VALUE"""),25.64)</f>
        <v>25.64</v>
      </c>
      <c r="E90" s="1">
        <f>IFERROR(__xludf.DUMMYFUNCTION("""COMPUTED_VALUE"""),25.64)</f>
        <v>25.64</v>
      </c>
      <c r="F90" s="1">
        <f>IFERROR(__xludf.DUMMYFUNCTION("""COMPUTED_VALUE"""),2490685.0)</f>
        <v>2490685</v>
      </c>
      <c r="G90" s="2" t="s">
        <v>4</v>
      </c>
    </row>
    <row r="91">
      <c r="A91" s="3">
        <f>IFERROR(__xludf.DUMMYFUNCTION("""COMPUTED_VALUE"""),44691.72916666667)</f>
        <v>44691.72917</v>
      </c>
      <c r="B91" s="1">
        <f>IFERROR(__xludf.DUMMYFUNCTION("""COMPUTED_VALUE"""),26.18)</f>
        <v>26.18</v>
      </c>
      <c r="C91" s="1">
        <f>IFERROR(__xludf.DUMMYFUNCTION("""COMPUTED_VALUE"""),27.21)</f>
        <v>27.21</v>
      </c>
      <c r="D91" s="1">
        <f>IFERROR(__xludf.DUMMYFUNCTION("""COMPUTED_VALUE"""),24.96)</f>
        <v>24.96</v>
      </c>
      <c r="E91" s="1">
        <f>IFERROR(__xludf.DUMMYFUNCTION("""COMPUTED_VALUE"""),25.22)</f>
        <v>25.22</v>
      </c>
      <c r="F91" s="1">
        <f>IFERROR(__xludf.DUMMYFUNCTION("""COMPUTED_VALUE"""),2731195.0)</f>
        <v>2731195</v>
      </c>
      <c r="G91" s="2" t="s">
        <v>4</v>
      </c>
    </row>
    <row r="92">
      <c r="A92" s="3">
        <f>IFERROR(__xludf.DUMMYFUNCTION("""COMPUTED_VALUE"""),44692.72916666667)</f>
        <v>44692.72917</v>
      </c>
      <c r="B92" s="1">
        <f>IFERROR(__xludf.DUMMYFUNCTION("""COMPUTED_VALUE"""),25.56)</f>
        <v>25.56</v>
      </c>
      <c r="C92" s="1">
        <f>IFERROR(__xludf.DUMMYFUNCTION("""COMPUTED_VALUE"""),28.01)</f>
        <v>28.01</v>
      </c>
      <c r="D92" s="1">
        <f>IFERROR(__xludf.DUMMYFUNCTION("""COMPUTED_VALUE"""),25.14)</f>
        <v>25.14</v>
      </c>
      <c r="E92" s="1">
        <f>IFERROR(__xludf.DUMMYFUNCTION("""COMPUTED_VALUE"""),25.58)</f>
        <v>25.58</v>
      </c>
      <c r="F92" s="1">
        <f>IFERROR(__xludf.DUMMYFUNCTION("""COMPUTED_VALUE"""),3004529.0)</f>
        <v>3004529</v>
      </c>
      <c r="G92" s="2" t="s">
        <v>4</v>
      </c>
    </row>
    <row r="93">
      <c r="A93" s="3">
        <f>IFERROR(__xludf.DUMMYFUNCTION("""COMPUTED_VALUE"""),44693.72916666667)</f>
        <v>44693.72917</v>
      </c>
      <c r="B93" s="1">
        <f>IFERROR(__xludf.DUMMYFUNCTION("""COMPUTED_VALUE"""),25.0)</f>
        <v>25</v>
      </c>
      <c r="C93" s="1">
        <f>IFERROR(__xludf.DUMMYFUNCTION("""COMPUTED_VALUE"""),27.59)</f>
        <v>27.59</v>
      </c>
      <c r="D93" s="1">
        <f>IFERROR(__xludf.DUMMYFUNCTION("""COMPUTED_VALUE"""),23.88)</f>
        <v>23.88</v>
      </c>
      <c r="E93" s="1">
        <f>IFERROR(__xludf.DUMMYFUNCTION("""COMPUTED_VALUE"""),27.14)</f>
        <v>27.14</v>
      </c>
      <c r="F93" s="1">
        <f>IFERROR(__xludf.DUMMYFUNCTION("""COMPUTED_VALUE"""),3460116.0)</f>
        <v>3460116</v>
      </c>
      <c r="G93" s="2" t="s">
        <v>4</v>
      </c>
    </row>
    <row r="94">
      <c r="A94" s="3">
        <f>IFERROR(__xludf.DUMMYFUNCTION("""COMPUTED_VALUE"""),44694.72916666667)</f>
        <v>44694.72917</v>
      </c>
      <c r="B94" s="1">
        <f>IFERROR(__xludf.DUMMYFUNCTION("""COMPUTED_VALUE"""),27.31)</f>
        <v>27.31</v>
      </c>
      <c r="C94" s="1">
        <f>IFERROR(__xludf.DUMMYFUNCTION("""COMPUTED_VALUE"""),29.18)</f>
        <v>29.18</v>
      </c>
      <c r="D94" s="1">
        <f>IFERROR(__xludf.DUMMYFUNCTION("""COMPUTED_VALUE"""),27.26)</f>
        <v>27.26</v>
      </c>
      <c r="E94" s="1">
        <f>IFERROR(__xludf.DUMMYFUNCTION("""COMPUTED_VALUE"""),28.84)</f>
        <v>28.84</v>
      </c>
      <c r="F94" s="1">
        <f>IFERROR(__xludf.DUMMYFUNCTION("""COMPUTED_VALUE"""),2427580.0)</f>
        <v>2427580</v>
      </c>
      <c r="G94" s="2" t="s">
        <v>4</v>
      </c>
    </row>
    <row r="95">
      <c r="A95" s="3">
        <f>IFERROR(__xludf.DUMMYFUNCTION("""COMPUTED_VALUE"""),44697.72916666667)</f>
        <v>44697.72917</v>
      </c>
      <c r="B95" s="1">
        <f>IFERROR(__xludf.DUMMYFUNCTION("""COMPUTED_VALUE"""),28.63)</f>
        <v>28.63</v>
      </c>
      <c r="C95" s="1">
        <f>IFERROR(__xludf.DUMMYFUNCTION("""COMPUTED_VALUE"""),30.0)</f>
        <v>30</v>
      </c>
      <c r="D95" s="1">
        <f>IFERROR(__xludf.DUMMYFUNCTION("""COMPUTED_VALUE"""),28.05)</f>
        <v>28.05</v>
      </c>
      <c r="E95" s="1">
        <f>IFERROR(__xludf.DUMMYFUNCTION("""COMPUTED_VALUE"""),29.67)</f>
        <v>29.67</v>
      </c>
      <c r="F95" s="1">
        <f>IFERROR(__xludf.DUMMYFUNCTION("""COMPUTED_VALUE"""),1461344.0)</f>
        <v>1461344</v>
      </c>
      <c r="G95" s="2" t="s">
        <v>4</v>
      </c>
    </row>
    <row r="96">
      <c r="A96" s="3">
        <f>IFERROR(__xludf.DUMMYFUNCTION("""COMPUTED_VALUE"""),44698.72916666667)</f>
        <v>44698.72917</v>
      </c>
      <c r="B96" s="1">
        <f>IFERROR(__xludf.DUMMYFUNCTION("""COMPUTED_VALUE"""),30.5)</f>
        <v>30.5</v>
      </c>
      <c r="C96" s="1">
        <f>IFERROR(__xludf.DUMMYFUNCTION("""COMPUTED_VALUE"""),31.97)</f>
        <v>31.97</v>
      </c>
      <c r="D96" s="1">
        <f>IFERROR(__xludf.DUMMYFUNCTION("""COMPUTED_VALUE"""),29.93)</f>
        <v>29.93</v>
      </c>
      <c r="E96" s="1">
        <f>IFERROR(__xludf.DUMMYFUNCTION("""COMPUTED_VALUE"""),30.88)</f>
        <v>30.88</v>
      </c>
      <c r="F96" s="1">
        <f>IFERROR(__xludf.DUMMYFUNCTION("""COMPUTED_VALUE"""),2167136.0)</f>
        <v>2167136</v>
      </c>
      <c r="G96" s="2" t="s">
        <v>4</v>
      </c>
    </row>
    <row r="97">
      <c r="A97" s="3">
        <f>IFERROR(__xludf.DUMMYFUNCTION("""COMPUTED_VALUE"""),44699.72916666667)</f>
        <v>44699.72917</v>
      </c>
      <c r="B97" s="1">
        <f>IFERROR(__xludf.DUMMYFUNCTION("""COMPUTED_VALUE"""),31.1)</f>
        <v>31.1</v>
      </c>
      <c r="C97" s="1">
        <f>IFERROR(__xludf.DUMMYFUNCTION("""COMPUTED_VALUE"""),31.27)</f>
        <v>31.27</v>
      </c>
      <c r="D97" s="1">
        <f>IFERROR(__xludf.DUMMYFUNCTION("""COMPUTED_VALUE"""),28.2)</f>
        <v>28.2</v>
      </c>
      <c r="E97" s="1">
        <f>IFERROR(__xludf.DUMMYFUNCTION("""COMPUTED_VALUE"""),28.2)</f>
        <v>28.2</v>
      </c>
      <c r="F97" s="1">
        <f>IFERROR(__xludf.DUMMYFUNCTION("""COMPUTED_VALUE"""),2015122.0)</f>
        <v>2015122</v>
      </c>
      <c r="G97" s="2" t="s">
        <v>4</v>
      </c>
    </row>
    <row r="98">
      <c r="A98" s="3">
        <f>IFERROR(__xludf.DUMMYFUNCTION("""COMPUTED_VALUE"""),44700.72916666667)</f>
        <v>44700.72917</v>
      </c>
      <c r="B98" s="1">
        <f>IFERROR(__xludf.DUMMYFUNCTION("""COMPUTED_VALUE"""),27.81)</f>
        <v>27.81</v>
      </c>
      <c r="C98" s="1">
        <f>IFERROR(__xludf.DUMMYFUNCTION("""COMPUTED_VALUE"""),29.55)</f>
        <v>29.55</v>
      </c>
      <c r="D98" s="1">
        <f>IFERROR(__xludf.DUMMYFUNCTION("""COMPUTED_VALUE"""),27.5)</f>
        <v>27.5</v>
      </c>
      <c r="E98" s="1">
        <f>IFERROR(__xludf.DUMMYFUNCTION("""COMPUTED_VALUE"""),29.55)</f>
        <v>29.55</v>
      </c>
      <c r="F98" s="1">
        <f>IFERROR(__xludf.DUMMYFUNCTION("""COMPUTED_VALUE"""),1473684.0)</f>
        <v>1473684</v>
      </c>
      <c r="G98" s="2" t="s">
        <v>4</v>
      </c>
    </row>
    <row r="99">
      <c r="A99" s="3">
        <f>IFERROR(__xludf.DUMMYFUNCTION("""COMPUTED_VALUE"""),44701.72916666667)</f>
        <v>44701.72917</v>
      </c>
      <c r="B99" s="1">
        <f>IFERROR(__xludf.DUMMYFUNCTION("""COMPUTED_VALUE"""),29.94)</f>
        <v>29.94</v>
      </c>
      <c r="C99" s="1">
        <f>IFERROR(__xludf.DUMMYFUNCTION("""COMPUTED_VALUE"""),31.14)</f>
        <v>31.14</v>
      </c>
      <c r="D99" s="1">
        <f>IFERROR(__xludf.DUMMYFUNCTION("""COMPUTED_VALUE"""),29.32)</f>
        <v>29.32</v>
      </c>
      <c r="E99" s="1">
        <f>IFERROR(__xludf.DUMMYFUNCTION("""COMPUTED_VALUE"""),29.43)</f>
        <v>29.43</v>
      </c>
      <c r="F99" s="1">
        <f>IFERROR(__xludf.DUMMYFUNCTION("""COMPUTED_VALUE"""),1244259.0)</f>
        <v>1244259</v>
      </c>
      <c r="G99" s="2" t="s">
        <v>4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IFERROR(__xludf.DUMMYFUNCTION("""COMPUTED_VALUE"""),30.0)</f>
        <v>30</v>
      </c>
      <c r="C100" s="1">
        <f>IFERROR(__xludf.DUMMYFUNCTION("""COMPUTED_VALUE"""),30.36)</f>
        <v>30.36</v>
      </c>
      <c r="D100" s="1">
        <f>IFERROR(__xludf.DUMMYFUNCTION("""COMPUTED_VALUE"""),29.19)</f>
        <v>29.19</v>
      </c>
      <c r="E100" s="1">
        <f>IFERROR(__xludf.DUMMYFUNCTION("""COMPUTED_VALUE"""),29.69)</f>
        <v>29.69</v>
      </c>
      <c r="F100" s="1">
        <f>IFERROR(__xludf.DUMMYFUNCTION("""COMPUTED_VALUE"""),1514555.0)</f>
        <v>1514555</v>
      </c>
      <c r="G100" s="2" t="s">
        <v>4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IFERROR(__xludf.DUMMYFUNCTION("""COMPUTED_VALUE"""),28.99)</f>
        <v>28.99</v>
      </c>
      <c r="C101" s="1">
        <f>IFERROR(__xludf.DUMMYFUNCTION("""COMPUTED_VALUE"""),29.23)</f>
        <v>29.23</v>
      </c>
      <c r="D101" s="1">
        <f>IFERROR(__xludf.DUMMYFUNCTION("""COMPUTED_VALUE"""),28.2)</f>
        <v>28.2</v>
      </c>
      <c r="E101" s="1">
        <f>IFERROR(__xludf.DUMMYFUNCTION("""COMPUTED_VALUE"""),28.3)</f>
        <v>28.3</v>
      </c>
      <c r="F101" s="1">
        <f>IFERROR(__xludf.DUMMYFUNCTION("""COMPUTED_VALUE"""),1558574.0)</f>
        <v>1558574</v>
      </c>
      <c r="G101" s="2" t="s">
        <v>4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IFERROR(__xludf.DUMMYFUNCTION("""COMPUTED_VALUE"""),28.5)</f>
        <v>28.5</v>
      </c>
      <c r="C102" s="1">
        <f>IFERROR(__xludf.DUMMYFUNCTION("""COMPUTED_VALUE"""),30.47)</f>
        <v>30.47</v>
      </c>
      <c r="D102" s="1">
        <f>IFERROR(__xludf.DUMMYFUNCTION("""COMPUTED_VALUE"""),27.67)</f>
        <v>27.67</v>
      </c>
      <c r="E102" s="1">
        <f>IFERROR(__xludf.DUMMYFUNCTION("""COMPUTED_VALUE"""),30.36)</f>
        <v>30.36</v>
      </c>
      <c r="F102" s="1">
        <f>IFERROR(__xludf.DUMMYFUNCTION("""COMPUTED_VALUE"""),1356772.0)</f>
        <v>1356772</v>
      </c>
      <c r="G102" s="2" t="s">
        <v>4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IFERROR(__xludf.DUMMYFUNCTION("""COMPUTED_VALUE"""),30.15)</f>
        <v>30.15</v>
      </c>
      <c r="C103" s="1">
        <f>IFERROR(__xludf.DUMMYFUNCTION("""COMPUTED_VALUE"""),33.15)</f>
        <v>33.15</v>
      </c>
      <c r="D103" s="1">
        <f>IFERROR(__xludf.DUMMYFUNCTION("""COMPUTED_VALUE"""),29.64)</f>
        <v>29.64</v>
      </c>
      <c r="E103" s="1">
        <f>IFERROR(__xludf.DUMMYFUNCTION("""COMPUTED_VALUE"""),33.15)</f>
        <v>33.15</v>
      </c>
      <c r="F103" s="1">
        <f>IFERROR(__xludf.DUMMYFUNCTION("""COMPUTED_VALUE"""),1656156.0)</f>
        <v>1656156</v>
      </c>
      <c r="G103" s="2" t="s">
        <v>4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IFERROR(__xludf.DUMMYFUNCTION("""COMPUTED_VALUE"""),33.14)</f>
        <v>33.14</v>
      </c>
      <c r="C104" s="1">
        <f>IFERROR(__xludf.DUMMYFUNCTION("""COMPUTED_VALUE"""),34.33)</f>
        <v>34.33</v>
      </c>
      <c r="D104" s="1">
        <f>IFERROR(__xludf.DUMMYFUNCTION("""COMPUTED_VALUE"""),32.46)</f>
        <v>32.46</v>
      </c>
      <c r="E104" s="1">
        <f>IFERROR(__xludf.DUMMYFUNCTION("""COMPUTED_VALUE"""),34.13)</f>
        <v>34.13</v>
      </c>
      <c r="F104" s="1">
        <f>IFERROR(__xludf.DUMMYFUNCTION("""COMPUTED_VALUE"""),1835238.0)</f>
        <v>1835238</v>
      </c>
      <c r="G104" s="2" t="s">
        <v>4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IFERROR(__xludf.DUMMYFUNCTION("""COMPUTED_VALUE"""),34.6)</f>
        <v>34.6</v>
      </c>
      <c r="C105" s="1">
        <f>IFERROR(__xludf.DUMMYFUNCTION("""COMPUTED_VALUE"""),37.56)</f>
        <v>37.56</v>
      </c>
      <c r="D105" s="1">
        <f>IFERROR(__xludf.DUMMYFUNCTION("""COMPUTED_VALUE"""),34.4)</f>
        <v>34.4</v>
      </c>
      <c r="E105" s="1">
        <f>IFERROR(__xludf.DUMMYFUNCTION("""COMPUTED_VALUE"""),37.44)</f>
        <v>37.44</v>
      </c>
      <c r="F105" s="1">
        <f>IFERROR(__xludf.DUMMYFUNCTION("""COMPUTED_VALUE"""),2134265.0)</f>
        <v>2134265</v>
      </c>
      <c r="G105" s="2" t="s">
        <v>4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IFERROR(__xludf.DUMMYFUNCTION("""COMPUTED_VALUE"""),36.42)</f>
        <v>36.42</v>
      </c>
      <c r="C106" s="1">
        <f>IFERROR(__xludf.DUMMYFUNCTION("""COMPUTED_VALUE"""),37.22)</f>
        <v>37.22</v>
      </c>
      <c r="D106" s="1">
        <f>IFERROR(__xludf.DUMMYFUNCTION("""COMPUTED_VALUE"""),35.26)</f>
        <v>35.26</v>
      </c>
      <c r="E106" s="1">
        <f>IFERROR(__xludf.DUMMYFUNCTION("""COMPUTED_VALUE"""),35.74)</f>
        <v>35.74</v>
      </c>
      <c r="F106" s="1">
        <f>IFERROR(__xludf.DUMMYFUNCTION("""COMPUTED_VALUE"""),2433388.0)</f>
        <v>2433388</v>
      </c>
      <c r="G106" s="2" t="s">
        <v>4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IFERROR(__xludf.DUMMYFUNCTION("""COMPUTED_VALUE"""),35.51)</f>
        <v>35.51</v>
      </c>
      <c r="C107" s="1">
        <f>IFERROR(__xludf.DUMMYFUNCTION("""COMPUTED_VALUE"""),37.42)</f>
        <v>37.42</v>
      </c>
      <c r="D107" s="1">
        <f>IFERROR(__xludf.DUMMYFUNCTION("""COMPUTED_VALUE"""),34.77)</f>
        <v>34.77</v>
      </c>
      <c r="E107" s="1">
        <f>IFERROR(__xludf.DUMMYFUNCTION("""COMPUTED_VALUE"""),35.76)</f>
        <v>35.76</v>
      </c>
      <c r="F107" s="1">
        <f>IFERROR(__xludf.DUMMYFUNCTION("""COMPUTED_VALUE"""),1670734.0)</f>
        <v>1670734</v>
      </c>
      <c r="G107" s="2" t="s">
        <v>4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IFERROR(__xludf.DUMMYFUNCTION("""COMPUTED_VALUE"""),35.08)</f>
        <v>35.08</v>
      </c>
      <c r="C108" s="1">
        <f>IFERROR(__xludf.DUMMYFUNCTION("""COMPUTED_VALUE"""),37.37)</f>
        <v>37.37</v>
      </c>
      <c r="D108" s="1">
        <f>IFERROR(__xludf.DUMMYFUNCTION("""COMPUTED_VALUE"""),34.96)</f>
        <v>34.96</v>
      </c>
      <c r="E108" s="1">
        <f>IFERROR(__xludf.DUMMYFUNCTION("""COMPUTED_VALUE"""),37.37)</f>
        <v>37.37</v>
      </c>
      <c r="F108" s="1">
        <f>IFERROR(__xludf.DUMMYFUNCTION("""COMPUTED_VALUE"""),1154949.0)</f>
        <v>1154949</v>
      </c>
      <c r="G108" s="2" t="s">
        <v>4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IFERROR(__xludf.DUMMYFUNCTION("""COMPUTED_VALUE"""),37.5)</f>
        <v>37.5</v>
      </c>
      <c r="C109" s="1">
        <f>IFERROR(__xludf.DUMMYFUNCTION("""COMPUTED_VALUE"""),38.89)</f>
        <v>38.89</v>
      </c>
      <c r="D109" s="1">
        <f>IFERROR(__xludf.DUMMYFUNCTION("""COMPUTED_VALUE"""),36.21)</f>
        <v>36.21</v>
      </c>
      <c r="E109" s="1">
        <f>IFERROR(__xludf.DUMMYFUNCTION("""COMPUTED_VALUE"""),36.61)</f>
        <v>36.61</v>
      </c>
      <c r="F109" s="1">
        <f>IFERROR(__xludf.DUMMYFUNCTION("""COMPUTED_VALUE"""),1805779.0)</f>
        <v>1805779</v>
      </c>
      <c r="G109" s="2" t="s">
        <v>4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IFERROR(__xludf.DUMMYFUNCTION("""COMPUTED_VALUE"""),37.0)</f>
        <v>37</v>
      </c>
      <c r="C110" s="1">
        <f>IFERROR(__xludf.DUMMYFUNCTION("""COMPUTED_VALUE"""),40.98)</f>
        <v>40.98</v>
      </c>
      <c r="D110" s="1">
        <f>IFERROR(__xludf.DUMMYFUNCTION("""COMPUTED_VALUE"""),36.97)</f>
        <v>36.97</v>
      </c>
      <c r="E110" s="1">
        <f>IFERROR(__xludf.DUMMYFUNCTION("""COMPUTED_VALUE"""),40.04)</f>
        <v>40.04</v>
      </c>
      <c r="F110" s="1">
        <f>IFERROR(__xludf.DUMMYFUNCTION("""COMPUTED_VALUE"""),1511583.0)</f>
        <v>1511583</v>
      </c>
      <c r="G110" s="2" t="s">
        <v>4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IFERROR(__xludf.DUMMYFUNCTION("""COMPUTED_VALUE"""),39.5)</f>
        <v>39.5</v>
      </c>
      <c r="C111" s="1">
        <f>IFERROR(__xludf.DUMMYFUNCTION("""COMPUTED_VALUE"""),40.46)</f>
        <v>40.46</v>
      </c>
      <c r="D111" s="1">
        <f>IFERROR(__xludf.DUMMYFUNCTION("""COMPUTED_VALUE"""),38.22)</f>
        <v>38.22</v>
      </c>
      <c r="E111" s="1">
        <f>IFERROR(__xludf.DUMMYFUNCTION("""COMPUTED_VALUE"""),40.15)</f>
        <v>40.15</v>
      </c>
      <c r="F111" s="1">
        <f>IFERROR(__xludf.DUMMYFUNCTION("""COMPUTED_VALUE"""),1528225.0)</f>
        <v>1528225</v>
      </c>
      <c r="G111" s="2" t="s">
        <v>4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IFERROR(__xludf.DUMMYFUNCTION("""COMPUTED_VALUE"""),40.81)</f>
        <v>40.81</v>
      </c>
      <c r="C112" s="1">
        <f>IFERROR(__xludf.DUMMYFUNCTION("""COMPUTED_VALUE"""),41.57)</f>
        <v>41.57</v>
      </c>
      <c r="D112" s="1">
        <f>IFERROR(__xludf.DUMMYFUNCTION("""COMPUTED_VALUE"""),39.67)</f>
        <v>39.67</v>
      </c>
      <c r="E112" s="1">
        <f>IFERROR(__xludf.DUMMYFUNCTION("""COMPUTED_VALUE"""),40.8)</f>
        <v>40.8</v>
      </c>
      <c r="F112" s="1">
        <f>IFERROR(__xludf.DUMMYFUNCTION("""COMPUTED_VALUE"""),1323204.0)</f>
        <v>1323204</v>
      </c>
      <c r="G112" s="2" t="s">
        <v>4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IFERROR(__xludf.DUMMYFUNCTION("""COMPUTED_VALUE"""),40.33)</f>
        <v>40.33</v>
      </c>
      <c r="C113" s="1">
        <f>IFERROR(__xludf.DUMMYFUNCTION("""COMPUTED_VALUE"""),41.04)</f>
        <v>41.04</v>
      </c>
      <c r="D113" s="1">
        <f>IFERROR(__xludf.DUMMYFUNCTION("""COMPUTED_VALUE"""),38.09)</f>
        <v>38.09</v>
      </c>
      <c r="E113" s="1">
        <f>IFERROR(__xludf.DUMMYFUNCTION("""COMPUTED_VALUE"""),38.79)</f>
        <v>38.79</v>
      </c>
      <c r="F113" s="1">
        <f>IFERROR(__xludf.DUMMYFUNCTION("""COMPUTED_VALUE"""),1594523.0)</f>
        <v>1594523</v>
      </c>
      <c r="G113" s="2" t="s">
        <v>4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IFERROR(__xludf.DUMMYFUNCTION("""COMPUTED_VALUE"""),38.35)</f>
        <v>38.35</v>
      </c>
      <c r="C114" s="1">
        <f>IFERROR(__xludf.DUMMYFUNCTION("""COMPUTED_VALUE"""),40.2)</f>
        <v>40.2</v>
      </c>
      <c r="D114" s="1">
        <f>IFERROR(__xludf.DUMMYFUNCTION("""COMPUTED_VALUE"""),37.82)</f>
        <v>37.82</v>
      </c>
      <c r="E114" s="1">
        <f>IFERROR(__xludf.DUMMYFUNCTION("""COMPUTED_VALUE"""),38.02)</f>
        <v>38.02</v>
      </c>
      <c r="F114" s="1">
        <f>IFERROR(__xludf.DUMMYFUNCTION("""COMPUTED_VALUE"""),2317239.0)</f>
        <v>2317239</v>
      </c>
      <c r="G114" s="2" t="s">
        <v>4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IFERROR(__xludf.DUMMYFUNCTION("""COMPUTED_VALUE"""),36.6)</f>
        <v>36.6</v>
      </c>
      <c r="C115" s="1">
        <f>IFERROR(__xludf.DUMMYFUNCTION("""COMPUTED_VALUE"""),36.6)</f>
        <v>36.6</v>
      </c>
      <c r="D115" s="1">
        <f>IFERROR(__xludf.DUMMYFUNCTION("""COMPUTED_VALUE"""),33.28)</f>
        <v>33.28</v>
      </c>
      <c r="E115" s="1">
        <f>IFERROR(__xludf.DUMMYFUNCTION("""COMPUTED_VALUE"""),33.28)</f>
        <v>33.28</v>
      </c>
      <c r="F115" s="1">
        <f>IFERROR(__xludf.DUMMYFUNCTION("""COMPUTED_VALUE"""),1879891.0)</f>
        <v>1879891</v>
      </c>
      <c r="G115" s="2" t="s">
        <v>4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IFERROR(__xludf.DUMMYFUNCTION("""COMPUTED_VALUE"""),34.01)</f>
        <v>34.01</v>
      </c>
      <c r="C116" s="1">
        <f>IFERROR(__xludf.DUMMYFUNCTION("""COMPUTED_VALUE"""),34.92)</f>
        <v>34.92</v>
      </c>
      <c r="D116" s="1">
        <f>IFERROR(__xludf.DUMMYFUNCTION("""COMPUTED_VALUE"""),31.7)</f>
        <v>31.7</v>
      </c>
      <c r="E116" s="1">
        <f>IFERROR(__xludf.DUMMYFUNCTION("""COMPUTED_VALUE"""),31.83)</f>
        <v>31.83</v>
      </c>
      <c r="F116" s="1">
        <f>IFERROR(__xludf.DUMMYFUNCTION("""COMPUTED_VALUE"""),1763383.0)</f>
        <v>1763383</v>
      </c>
      <c r="G116" s="2" t="s">
        <v>4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IFERROR(__xludf.DUMMYFUNCTION("""COMPUTED_VALUE"""),32.59)</f>
        <v>32.59</v>
      </c>
      <c r="C117" s="1">
        <f>IFERROR(__xludf.DUMMYFUNCTION("""COMPUTED_VALUE"""),34.92)</f>
        <v>34.92</v>
      </c>
      <c r="D117" s="1">
        <f>IFERROR(__xludf.DUMMYFUNCTION("""COMPUTED_VALUE"""),31.66)</f>
        <v>31.66</v>
      </c>
      <c r="E117" s="1">
        <f>IFERROR(__xludf.DUMMYFUNCTION("""COMPUTED_VALUE"""),34.73)</f>
        <v>34.73</v>
      </c>
      <c r="F117" s="1">
        <f>IFERROR(__xludf.DUMMYFUNCTION("""COMPUTED_VALUE"""),1678728.0)</f>
        <v>1678728</v>
      </c>
      <c r="G117" s="2" t="s">
        <v>4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IFERROR(__xludf.DUMMYFUNCTION("""COMPUTED_VALUE"""),34.3)</f>
        <v>34.3</v>
      </c>
      <c r="C118" s="1">
        <f>IFERROR(__xludf.DUMMYFUNCTION("""COMPUTED_VALUE"""),34.3)</f>
        <v>34.3</v>
      </c>
      <c r="D118" s="1">
        <f>IFERROR(__xludf.DUMMYFUNCTION("""COMPUTED_VALUE"""),31.02)</f>
        <v>31.02</v>
      </c>
      <c r="E118" s="1">
        <f>IFERROR(__xludf.DUMMYFUNCTION("""COMPUTED_VALUE"""),31.34)</f>
        <v>31.34</v>
      </c>
      <c r="F118" s="1">
        <f>IFERROR(__xludf.DUMMYFUNCTION("""COMPUTED_VALUE"""),1936518.0)</f>
        <v>1936518</v>
      </c>
      <c r="G118" s="2" t="s">
        <v>4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IFERROR(__xludf.DUMMYFUNCTION("""COMPUTED_VALUE"""),31.6)</f>
        <v>31.6</v>
      </c>
      <c r="C119" s="1">
        <f>IFERROR(__xludf.DUMMYFUNCTION("""COMPUTED_VALUE"""),35.14)</f>
        <v>35.14</v>
      </c>
      <c r="D119" s="1">
        <f>IFERROR(__xludf.DUMMYFUNCTION("""COMPUTED_VALUE"""),31.28)</f>
        <v>31.28</v>
      </c>
      <c r="E119" s="1">
        <f>IFERROR(__xludf.DUMMYFUNCTION("""COMPUTED_VALUE"""),35.14)</f>
        <v>35.14</v>
      </c>
      <c r="F119" s="1">
        <f>IFERROR(__xludf.DUMMYFUNCTION("""COMPUTED_VALUE"""),6434931.0)</f>
        <v>6434931</v>
      </c>
      <c r="G119" s="2" t="s">
        <v>4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IFERROR(__xludf.DUMMYFUNCTION("""COMPUTED_VALUE"""),35.08)</f>
        <v>35.08</v>
      </c>
      <c r="C120" s="1">
        <f>IFERROR(__xludf.DUMMYFUNCTION("""COMPUTED_VALUE"""),36.94)</f>
        <v>36.94</v>
      </c>
      <c r="D120" s="1">
        <f>IFERROR(__xludf.DUMMYFUNCTION("""COMPUTED_VALUE"""),34.21)</f>
        <v>34.21</v>
      </c>
      <c r="E120" s="1">
        <f>IFERROR(__xludf.DUMMYFUNCTION("""COMPUTED_VALUE"""),36.48)</f>
        <v>36.48</v>
      </c>
      <c r="F120" s="1">
        <f>IFERROR(__xludf.DUMMYFUNCTION("""COMPUTED_VALUE"""),1542487.0)</f>
        <v>1542487</v>
      </c>
      <c r="G120" s="2" t="s">
        <v>4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IFERROR(__xludf.DUMMYFUNCTION("""COMPUTED_VALUE"""),36.73)</f>
        <v>36.73</v>
      </c>
      <c r="C121" s="1">
        <f>IFERROR(__xludf.DUMMYFUNCTION("""COMPUTED_VALUE"""),37.65)</f>
        <v>37.65</v>
      </c>
      <c r="D121" s="1">
        <f>IFERROR(__xludf.DUMMYFUNCTION("""COMPUTED_VALUE"""),33.15)</f>
        <v>33.15</v>
      </c>
      <c r="E121" s="1">
        <f>IFERROR(__xludf.DUMMYFUNCTION("""COMPUTED_VALUE"""),34.0)</f>
        <v>34</v>
      </c>
      <c r="F121" s="1">
        <f>IFERROR(__xludf.DUMMYFUNCTION("""COMPUTED_VALUE"""),1595931.0)</f>
        <v>1595931</v>
      </c>
      <c r="G121" s="2" t="s">
        <v>4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IFERROR(__xludf.DUMMYFUNCTION("""COMPUTED_VALUE"""),33.12)</f>
        <v>33.12</v>
      </c>
      <c r="C122" s="1">
        <f>IFERROR(__xludf.DUMMYFUNCTION("""COMPUTED_VALUE"""),35.98)</f>
        <v>35.98</v>
      </c>
      <c r="D122" s="1">
        <f>IFERROR(__xludf.DUMMYFUNCTION("""COMPUTED_VALUE"""),32.32)</f>
        <v>32.32</v>
      </c>
      <c r="E122" s="1">
        <f>IFERROR(__xludf.DUMMYFUNCTION("""COMPUTED_VALUE"""),35.22)</f>
        <v>35.22</v>
      </c>
      <c r="F122" s="1">
        <f>IFERROR(__xludf.DUMMYFUNCTION("""COMPUTED_VALUE"""),1398573.0)</f>
        <v>1398573</v>
      </c>
      <c r="G122" s="2" t="s">
        <v>4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IFERROR(__xludf.DUMMYFUNCTION("""COMPUTED_VALUE"""),34.83)</f>
        <v>34.83</v>
      </c>
      <c r="C123" s="1">
        <f>IFERROR(__xludf.DUMMYFUNCTION("""COMPUTED_VALUE"""),38.14)</f>
        <v>38.14</v>
      </c>
      <c r="D123" s="1">
        <f>IFERROR(__xludf.DUMMYFUNCTION("""COMPUTED_VALUE"""),34.21)</f>
        <v>34.21</v>
      </c>
      <c r="E123" s="1">
        <f>IFERROR(__xludf.DUMMYFUNCTION("""COMPUTED_VALUE"""),38.14)</f>
        <v>38.14</v>
      </c>
      <c r="F123" s="1">
        <f>IFERROR(__xludf.DUMMYFUNCTION("""COMPUTED_VALUE"""),1179022.0)</f>
        <v>1179022</v>
      </c>
      <c r="G123" s="2" t="s">
        <v>4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IFERROR(__xludf.DUMMYFUNCTION("""COMPUTED_VALUE"""),37.83)</f>
        <v>37.83</v>
      </c>
      <c r="C124" s="1">
        <f>IFERROR(__xludf.DUMMYFUNCTION("""COMPUTED_VALUE"""),39.59)</f>
        <v>39.59</v>
      </c>
      <c r="D124" s="1">
        <f>IFERROR(__xludf.DUMMYFUNCTION("""COMPUTED_VALUE"""),35.85)</f>
        <v>35.85</v>
      </c>
      <c r="E124" s="1">
        <f>IFERROR(__xludf.DUMMYFUNCTION("""COMPUTED_VALUE"""),39.59)</f>
        <v>39.59</v>
      </c>
      <c r="F124" s="1">
        <f>IFERROR(__xludf.DUMMYFUNCTION("""COMPUTED_VALUE"""),1739047.0)</f>
        <v>1739047</v>
      </c>
      <c r="G124" s="2" t="s">
        <v>4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IFERROR(__xludf.DUMMYFUNCTION("""COMPUTED_VALUE"""),39.5)</f>
        <v>39.5</v>
      </c>
      <c r="C125" s="1">
        <f>IFERROR(__xludf.DUMMYFUNCTION("""COMPUTED_VALUE"""),40.43)</f>
        <v>40.43</v>
      </c>
      <c r="D125" s="1">
        <f>IFERROR(__xludf.DUMMYFUNCTION("""COMPUTED_VALUE"""),38.0)</f>
        <v>38</v>
      </c>
      <c r="E125" s="1">
        <f>IFERROR(__xludf.DUMMYFUNCTION("""COMPUTED_VALUE"""),38.72)</f>
        <v>38.72</v>
      </c>
      <c r="F125" s="1">
        <f>IFERROR(__xludf.DUMMYFUNCTION("""COMPUTED_VALUE"""),1251546.0)</f>
        <v>1251546</v>
      </c>
      <c r="G125" s="2" t="s">
        <v>4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IFERROR(__xludf.DUMMYFUNCTION("""COMPUTED_VALUE"""),38.64)</f>
        <v>38.64</v>
      </c>
      <c r="C126" s="1">
        <f>IFERROR(__xludf.DUMMYFUNCTION("""COMPUTED_VALUE"""),39.1)</f>
        <v>39.1</v>
      </c>
      <c r="D126" s="1">
        <f>IFERROR(__xludf.DUMMYFUNCTION("""COMPUTED_VALUE"""),36.0)</f>
        <v>36</v>
      </c>
      <c r="E126" s="1">
        <f>IFERROR(__xludf.DUMMYFUNCTION("""COMPUTED_VALUE"""),36.0)</f>
        <v>36</v>
      </c>
      <c r="F126" s="1">
        <f>IFERROR(__xludf.DUMMYFUNCTION("""COMPUTED_VALUE"""),1185349.0)</f>
        <v>1185349</v>
      </c>
      <c r="G126" s="2" t="s">
        <v>4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IFERROR(__xludf.DUMMYFUNCTION("""COMPUTED_VALUE"""),35.23)</f>
        <v>35.23</v>
      </c>
      <c r="C127" s="1">
        <f>IFERROR(__xludf.DUMMYFUNCTION("""COMPUTED_VALUE"""),35.86)</f>
        <v>35.86</v>
      </c>
      <c r="D127" s="1">
        <f>IFERROR(__xludf.DUMMYFUNCTION("""COMPUTED_VALUE"""),33.58)</f>
        <v>33.58</v>
      </c>
      <c r="E127" s="1">
        <f>IFERROR(__xludf.DUMMYFUNCTION("""COMPUTED_VALUE"""),35.25)</f>
        <v>35.25</v>
      </c>
      <c r="F127" s="1">
        <f>IFERROR(__xludf.DUMMYFUNCTION("""COMPUTED_VALUE"""),1326569.0)</f>
        <v>1326569</v>
      </c>
      <c r="G127" s="2" t="s">
        <v>4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IFERROR(__xludf.DUMMYFUNCTION("""COMPUTED_VALUE"""),34.38)</f>
        <v>34.38</v>
      </c>
      <c r="C128" s="1">
        <f>IFERROR(__xludf.DUMMYFUNCTION("""COMPUTED_VALUE"""),36.21)</f>
        <v>36.21</v>
      </c>
      <c r="D128" s="1">
        <f>IFERROR(__xludf.DUMMYFUNCTION("""COMPUTED_VALUE"""),34.01)</f>
        <v>34.01</v>
      </c>
      <c r="E128" s="1">
        <f>IFERROR(__xludf.DUMMYFUNCTION("""COMPUTED_VALUE"""),35.77)</f>
        <v>35.77</v>
      </c>
      <c r="F128" s="1">
        <f>IFERROR(__xludf.DUMMYFUNCTION("""COMPUTED_VALUE"""),929940.0)</f>
        <v>929940</v>
      </c>
      <c r="G128" s="2" t="s">
        <v>4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IFERROR(__xludf.DUMMYFUNCTION("""COMPUTED_VALUE"""),35.47)</f>
        <v>35.47</v>
      </c>
      <c r="C129" s="1">
        <f>IFERROR(__xludf.DUMMYFUNCTION("""COMPUTED_VALUE"""),38.26)</f>
        <v>38.26</v>
      </c>
      <c r="D129" s="1">
        <f>IFERROR(__xludf.DUMMYFUNCTION("""COMPUTED_VALUE"""),34.79)</f>
        <v>34.79</v>
      </c>
      <c r="E129" s="1">
        <f>IFERROR(__xludf.DUMMYFUNCTION("""COMPUTED_VALUE"""),38.21)</f>
        <v>38.21</v>
      </c>
      <c r="F129" s="1">
        <f>IFERROR(__xludf.DUMMYFUNCTION("""COMPUTED_VALUE"""),1167223.0)</f>
        <v>1167223</v>
      </c>
      <c r="G129" s="2" t="s">
        <v>4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IFERROR(__xludf.DUMMYFUNCTION("""COMPUTED_VALUE"""),38.38)</f>
        <v>38.38</v>
      </c>
      <c r="C130" s="1">
        <f>IFERROR(__xludf.DUMMYFUNCTION("""COMPUTED_VALUE"""),38.68)</f>
        <v>38.68</v>
      </c>
      <c r="D130" s="1">
        <f>IFERROR(__xludf.DUMMYFUNCTION("""COMPUTED_VALUE"""),35.08)</f>
        <v>35.08</v>
      </c>
      <c r="E130" s="1">
        <f>IFERROR(__xludf.DUMMYFUNCTION("""COMPUTED_VALUE"""),35.1)</f>
        <v>35.1</v>
      </c>
      <c r="F130" s="1">
        <f>IFERROR(__xludf.DUMMYFUNCTION("""COMPUTED_VALUE"""),860672.0)</f>
        <v>860672</v>
      </c>
      <c r="G130" s="2" t="s">
        <v>4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IFERROR(__xludf.DUMMYFUNCTION("""COMPUTED_VALUE"""),35.51)</f>
        <v>35.51</v>
      </c>
      <c r="C131" s="1">
        <f>IFERROR(__xludf.DUMMYFUNCTION("""COMPUTED_VALUE"""),37.19)</f>
        <v>37.19</v>
      </c>
      <c r="D131" s="1">
        <f>IFERROR(__xludf.DUMMYFUNCTION("""COMPUTED_VALUE"""),34.14)</f>
        <v>34.14</v>
      </c>
      <c r="E131" s="1">
        <f>IFERROR(__xludf.DUMMYFUNCTION("""COMPUTED_VALUE"""),35.67)</f>
        <v>35.67</v>
      </c>
      <c r="F131" s="1">
        <f>IFERROR(__xludf.DUMMYFUNCTION("""COMPUTED_VALUE"""),856870.0)</f>
        <v>856870</v>
      </c>
      <c r="G131" s="2" t="s">
        <v>4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IFERROR(__xludf.DUMMYFUNCTION("""COMPUTED_VALUE"""),36.5)</f>
        <v>36.5</v>
      </c>
      <c r="C132" s="1">
        <f>IFERROR(__xludf.DUMMYFUNCTION("""COMPUTED_VALUE"""),38.45)</f>
        <v>38.45</v>
      </c>
      <c r="D132" s="1">
        <f>IFERROR(__xludf.DUMMYFUNCTION("""COMPUTED_VALUE"""),33.83)</f>
        <v>33.83</v>
      </c>
      <c r="E132" s="1">
        <f>IFERROR(__xludf.DUMMYFUNCTION("""COMPUTED_VALUE"""),34.2)</f>
        <v>34.2</v>
      </c>
      <c r="F132" s="1">
        <f>IFERROR(__xludf.DUMMYFUNCTION("""COMPUTED_VALUE"""),2014645.0)</f>
        <v>2014645</v>
      </c>
      <c r="G132" s="2" t="s">
        <v>4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IFERROR(__xludf.DUMMYFUNCTION("""COMPUTED_VALUE"""),34.61)</f>
        <v>34.61</v>
      </c>
      <c r="C133" s="1">
        <f>IFERROR(__xludf.DUMMYFUNCTION("""COMPUTED_VALUE"""),39.24)</f>
        <v>39.24</v>
      </c>
      <c r="D133" s="1">
        <f>IFERROR(__xludf.DUMMYFUNCTION("""COMPUTED_VALUE"""),33.66)</f>
        <v>33.66</v>
      </c>
      <c r="E133" s="1">
        <f>IFERROR(__xludf.DUMMYFUNCTION("""COMPUTED_VALUE"""),38.82)</f>
        <v>38.82</v>
      </c>
      <c r="F133" s="1">
        <f>IFERROR(__xludf.DUMMYFUNCTION("""COMPUTED_VALUE"""),1230091.0)</f>
        <v>1230091</v>
      </c>
      <c r="G133" s="2" t="s">
        <v>4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IFERROR(__xludf.DUMMYFUNCTION("""COMPUTED_VALUE"""),38.48)</f>
        <v>38.48</v>
      </c>
      <c r="C134" s="1">
        <f>IFERROR(__xludf.DUMMYFUNCTION("""COMPUTED_VALUE"""),39.4)</f>
        <v>39.4</v>
      </c>
      <c r="D134" s="1">
        <f>IFERROR(__xludf.DUMMYFUNCTION("""COMPUTED_VALUE"""),37.27)</f>
        <v>37.27</v>
      </c>
      <c r="E134" s="1">
        <f>IFERROR(__xludf.DUMMYFUNCTION("""COMPUTED_VALUE"""),38.82)</f>
        <v>38.82</v>
      </c>
      <c r="F134" s="1">
        <f>IFERROR(__xludf.DUMMYFUNCTION("""COMPUTED_VALUE"""),886494.0)</f>
        <v>886494</v>
      </c>
      <c r="G134" s="2" t="s">
        <v>4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IFERROR(__xludf.DUMMYFUNCTION("""COMPUTED_VALUE"""),37.83)</f>
        <v>37.83</v>
      </c>
      <c r="C135" s="1">
        <f>IFERROR(__xludf.DUMMYFUNCTION("""COMPUTED_VALUE"""),39.68)</f>
        <v>39.68</v>
      </c>
      <c r="D135" s="1">
        <f>IFERROR(__xludf.DUMMYFUNCTION("""COMPUTED_VALUE"""),37.77)</f>
        <v>37.77</v>
      </c>
      <c r="E135" s="1">
        <f>IFERROR(__xludf.DUMMYFUNCTION("""COMPUTED_VALUE"""),38.67)</f>
        <v>38.67</v>
      </c>
      <c r="F135" s="1">
        <f>IFERROR(__xludf.DUMMYFUNCTION("""COMPUTED_VALUE"""),783333.0)</f>
        <v>783333</v>
      </c>
      <c r="G135" s="2" t="s">
        <v>4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IFERROR(__xludf.DUMMYFUNCTION("""COMPUTED_VALUE"""),37.92)</f>
        <v>37.92</v>
      </c>
      <c r="C136" s="1">
        <f>IFERROR(__xludf.DUMMYFUNCTION("""COMPUTED_VALUE"""),40.16)</f>
        <v>40.16</v>
      </c>
      <c r="D136" s="1">
        <f>IFERROR(__xludf.DUMMYFUNCTION("""COMPUTED_VALUE"""),37.26)</f>
        <v>37.26</v>
      </c>
      <c r="E136" s="1">
        <f>IFERROR(__xludf.DUMMYFUNCTION("""COMPUTED_VALUE"""),39.09)</f>
        <v>39.09</v>
      </c>
      <c r="F136" s="1">
        <f>IFERROR(__xludf.DUMMYFUNCTION("""COMPUTED_VALUE"""),816248.0)</f>
        <v>816248</v>
      </c>
      <c r="G136" s="2" t="s">
        <v>4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IFERROR(__xludf.DUMMYFUNCTION("""COMPUTED_VALUE"""),38.85)</f>
        <v>38.85</v>
      </c>
      <c r="C137" s="1">
        <f>IFERROR(__xludf.DUMMYFUNCTION("""COMPUTED_VALUE"""),39.38)</f>
        <v>39.38</v>
      </c>
      <c r="D137" s="1">
        <f>IFERROR(__xludf.DUMMYFUNCTION("""COMPUTED_VALUE"""),35.42)</f>
        <v>35.42</v>
      </c>
      <c r="E137" s="1">
        <f>IFERROR(__xludf.DUMMYFUNCTION("""COMPUTED_VALUE"""),37.39)</f>
        <v>37.39</v>
      </c>
      <c r="F137" s="1">
        <f>IFERROR(__xludf.DUMMYFUNCTION("""COMPUTED_VALUE"""),838735.0)</f>
        <v>838735</v>
      </c>
      <c r="G137" s="2" t="s">
        <v>4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IFERROR(__xludf.DUMMYFUNCTION("""COMPUTED_VALUE"""),37.5)</f>
        <v>37.5</v>
      </c>
      <c r="C138" s="1">
        <f>IFERROR(__xludf.DUMMYFUNCTION("""COMPUTED_VALUE"""),38.96)</f>
        <v>38.96</v>
      </c>
      <c r="D138" s="1">
        <f>IFERROR(__xludf.DUMMYFUNCTION("""COMPUTED_VALUE"""),36.58)</f>
        <v>36.58</v>
      </c>
      <c r="E138" s="1">
        <f>IFERROR(__xludf.DUMMYFUNCTION("""COMPUTED_VALUE"""),36.88)</f>
        <v>36.88</v>
      </c>
      <c r="F138" s="1">
        <f>IFERROR(__xludf.DUMMYFUNCTION("""COMPUTED_VALUE"""),753896.0)</f>
        <v>753896</v>
      </c>
      <c r="G138" s="2" t="s">
        <v>4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IFERROR(__xludf.DUMMYFUNCTION("""COMPUTED_VALUE"""),37.02)</f>
        <v>37.02</v>
      </c>
      <c r="C139" s="1">
        <f>IFERROR(__xludf.DUMMYFUNCTION("""COMPUTED_VALUE"""),37.36)</f>
        <v>37.36</v>
      </c>
      <c r="D139" s="1">
        <f>IFERROR(__xludf.DUMMYFUNCTION("""COMPUTED_VALUE"""),35.7)</f>
        <v>35.7</v>
      </c>
      <c r="E139" s="1">
        <f>IFERROR(__xludf.DUMMYFUNCTION("""COMPUTED_VALUE"""),36.17)</f>
        <v>36.17</v>
      </c>
      <c r="F139" s="1">
        <f>IFERROR(__xludf.DUMMYFUNCTION("""COMPUTED_VALUE"""),484624.0)</f>
        <v>484624</v>
      </c>
      <c r="G139" s="2" t="s">
        <v>4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IFERROR(__xludf.DUMMYFUNCTION("""COMPUTED_VALUE"""),35.9)</f>
        <v>35.9</v>
      </c>
      <c r="C140" s="1">
        <f>IFERROR(__xludf.DUMMYFUNCTION("""COMPUTED_VALUE"""),39.06)</f>
        <v>39.06</v>
      </c>
      <c r="D140" s="1">
        <f>IFERROR(__xludf.DUMMYFUNCTION("""COMPUTED_VALUE"""),35.58)</f>
        <v>35.58</v>
      </c>
      <c r="E140" s="1">
        <f>IFERROR(__xludf.DUMMYFUNCTION("""COMPUTED_VALUE"""),39.06)</f>
        <v>39.06</v>
      </c>
      <c r="F140" s="1">
        <f>IFERROR(__xludf.DUMMYFUNCTION("""COMPUTED_VALUE"""),1075057.0)</f>
        <v>1075057</v>
      </c>
      <c r="G140" s="2" t="s">
        <v>4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IFERROR(__xludf.DUMMYFUNCTION("""COMPUTED_VALUE"""),37.65)</f>
        <v>37.65</v>
      </c>
      <c r="C141" s="1">
        <f>IFERROR(__xludf.DUMMYFUNCTION("""COMPUTED_VALUE"""),39.22)</f>
        <v>39.22</v>
      </c>
      <c r="D141" s="1">
        <f>IFERROR(__xludf.DUMMYFUNCTION("""COMPUTED_VALUE"""),37.06)</f>
        <v>37.06</v>
      </c>
      <c r="E141" s="1">
        <f>IFERROR(__xludf.DUMMYFUNCTION("""COMPUTED_VALUE"""),38.58)</f>
        <v>38.58</v>
      </c>
      <c r="F141" s="1">
        <f>IFERROR(__xludf.DUMMYFUNCTION("""COMPUTED_VALUE"""),1048761.0)</f>
        <v>1048761</v>
      </c>
      <c r="G141" s="2" t="s">
        <v>4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IFERROR(__xludf.DUMMYFUNCTION("""COMPUTED_VALUE"""),38.8)</f>
        <v>38.8</v>
      </c>
      <c r="C142" s="1">
        <f>IFERROR(__xludf.DUMMYFUNCTION("""COMPUTED_VALUE"""),42.89)</f>
        <v>42.89</v>
      </c>
      <c r="D142" s="1">
        <f>IFERROR(__xludf.DUMMYFUNCTION("""COMPUTED_VALUE"""),38.63)</f>
        <v>38.63</v>
      </c>
      <c r="E142" s="1">
        <f>IFERROR(__xludf.DUMMYFUNCTION("""COMPUTED_VALUE"""),41.61)</f>
        <v>41.61</v>
      </c>
      <c r="F142" s="1">
        <f>IFERROR(__xludf.DUMMYFUNCTION("""COMPUTED_VALUE"""),2457113.0)</f>
        <v>2457113</v>
      </c>
      <c r="G142" s="2" t="s">
        <v>4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IFERROR(__xludf.DUMMYFUNCTION("""COMPUTED_VALUE"""),41.54)</f>
        <v>41.54</v>
      </c>
      <c r="C143" s="1">
        <f>IFERROR(__xludf.DUMMYFUNCTION("""COMPUTED_VALUE"""),42.21)</f>
        <v>42.21</v>
      </c>
      <c r="D143" s="1">
        <f>IFERROR(__xludf.DUMMYFUNCTION("""COMPUTED_VALUE"""),40.5)</f>
        <v>40.5</v>
      </c>
      <c r="E143" s="1">
        <f>IFERROR(__xludf.DUMMYFUNCTION("""COMPUTED_VALUE"""),41.35)</f>
        <v>41.35</v>
      </c>
      <c r="F143" s="1">
        <f>IFERROR(__xludf.DUMMYFUNCTION("""COMPUTED_VALUE"""),795907.0)</f>
        <v>795907</v>
      </c>
      <c r="G143" s="2" t="s">
        <v>4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IFERROR(__xludf.DUMMYFUNCTION("""COMPUTED_VALUE"""),41.07)</f>
        <v>41.07</v>
      </c>
      <c r="C144" s="1">
        <f>IFERROR(__xludf.DUMMYFUNCTION("""COMPUTED_VALUE"""),49.97)</f>
        <v>49.97</v>
      </c>
      <c r="D144" s="1">
        <f>IFERROR(__xludf.DUMMYFUNCTION("""COMPUTED_VALUE"""),40.19)</f>
        <v>40.19</v>
      </c>
      <c r="E144" s="1">
        <f>IFERROR(__xludf.DUMMYFUNCTION("""COMPUTED_VALUE"""),43.66)</f>
        <v>43.66</v>
      </c>
      <c r="F144" s="1">
        <f>IFERROR(__xludf.DUMMYFUNCTION("""COMPUTED_VALUE"""),2851568.0)</f>
        <v>2851568</v>
      </c>
      <c r="G144" s="2" t="s">
        <v>4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IFERROR(__xludf.DUMMYFUNCTION("""COMPUTED_VALUE"""),42.97)</f>
        <v>42.97</v>
      </c>
      <c r="C145" s="1">
        <f>IFERROR(__xludf.DUMMYFUNCTION("""COMPUTED_VALUE"""),45.9)</f>
        <v>45.9</v>
      </c>
      <c r="D145" s="1">
        <f>IFERROR(__xludf.DUMMYFUNCTION("""COMPUTED_VALUE"""),42.7)</f>
        <v>42.7</v>
      </c>
      <c r="E145" s="1">
        <f>IFERROR(__xludf.DUMMYFUNCTION("""COMPUTED_VALUE"""),44.79)</f>
        <v>44.79</v>
      </c>
      <c r="F145" s="1">
        <f>IFERROR(__xludf.DUMMYFUNCTION("""COMPUTED_VALUE"""),1168018.0)</f>
        <v>1168018</v>
      </c>
      <c r="G145" s="2" t="s">
        <v>4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IFERROR(__xludf.DUMMYFUNCTION("""COMPUTED_VALUE"""),45.38)</f>
        <v>45.38</v>
      </c>
      <c r="C146" s="1">
        <f>IFERROR(__xludf.DUMMYFUNCTION("""COMPUTED_VALUE"""),45.78)</f>
        <v>45.78</v>
      </c>
      <c r="D146" s="1">
        <f>IFERROR(__xludf.DUMMYFUNCTION("""COMPUTED_VALUE"""),43.07)</f>
        <v>43.07</v>
      </c>
      <c r="E146" s="1">
        <f>IFERROR(__xludf.DUMMYFUNCTION("""COMPUTED_VALUE"""),43.39)</f>
        <v>43.39</v>
      </c>
      <c r="F146" s="1">
        <f>IFERROR(__xludf.DUMMYFUNCTION("""COMPUTED_VALUE"""),743707.0)</f>
        <v>743707</v>
      </c>
      <c r="G146" s="2" t="s">
        <v>4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IFERROR(__xludf.DUMMYFUNCTION("""COMPUTED_VALUE"""),43.51)</f>
        <v>43.51</v>
      </c>
      <c r="C147" s="1">
        <f>IFERROR(__xludf.DUMMYFUNCTION("""COMPUTED_VALUE"""),45.61)</f>
        <v>45.61</v>
      </c>
      <c r="D147" s="1">
        <f>IFERROR(__xludf.DUMMYFUNCTION("""COMPUTED_VALUE"""),43.5)</f>
        <v>43.5</v>
      </c>
      <c r="E147" s="1">
        <f>IFERROR(__xludf.DUMMYFUNCTION("""COMPUTED_VALUE"""),45.05)</f>
        <v>45.05</v>
      </c>
      <c r="F147" s="1">
        <f>IFERROR(__xludf.DUMMYFUNCTION("""COMPUTED_VALUE"""),491426.0)</f>
        <v>491426</v>
      </c>
      <c r="G147" s="2" t="s">
        <v>4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IFERROR(__xludf.DUMMYFUNCTION("""COMPUTED_VALUE"""),45.74)</f>
        <v>45.74</v>
      </c>
      <c r="C148" s="1">
        <f>IFERROR(__xludf.DUMMYFUNCTION("""COMPUTED_VALUE"""),45.89)</f>
        <v>45.89</v>
      </c>
      <c r="D148" s="1">
        <f>IFERROR(__xludf.DUMMYFUNCTION("""COMPUTED_VALUE"""),43.77)</f>
        <v>43.77</v>
      </c>
      <c r="E148" s="1">
        <f>IFERROR(__xludf.DUMMYFUNCTION("""COMPUTED_VALUE"""),45.12)</f>
        <v>45.12</v>
      </c>
      <c r="F148" s="1">
        <f>IFERROR(__xludf.DUMMYFUNCTION("""COMPUTED_VALUE"""),605568.0)</f>
        <v>605568</v>
      </c>
      <c r="G148" s="2" t="s">
        <v>4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IFERROR(__xludf.DUMMYFUNCTION("""COMPUTED_VALUE"""),45.68)</f>
        <v>45.68</v>
      </c>
      <c r="C149" s="1">
        <f>IFERROR(__xludf.DUMMYFUNCTION("""COMPUTED_VALUE"""),47.38)</f>
        <v>47.38</v>
      </c>
      <c r="D149" s="1">
        <f>IFERROR(__xludf.DUMMYFUNCTION("""COMPUTED_VALUE"""),45.26)</f>
        <v>45.26</v>
      </c>
      <c r="E149" s="1">
        <f>IFERROR(__xludf.DUMMYFUNCTION("""COMPUTED_VALUE"""),46.91)</f>
        <v>46.91</v>
      </c>
      <c r="F149" s="1">
        <f>IFERROR(__xludf.DUMMYFUNCTION("""COMPUTED_VALUE"""),865266.0)</f>
        <v>865266</v>
      </c>
      <c r="G149" s="2" t="s">
        <v>4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IFERROR(__xludf.DUMMYFUNCTION("""COMPUTED_VALUE"""),46.82)</f>
        <v>46.82</v>
      </c>
      <c r="C150" s="1">
        <f>IFERROR(__xludf.DUMMYFUNCTION("""COMPUTED_VALUE"""),48.39)</f>
        <v>48.39</v>
      </c>
      <c r="D150" s="1">
        <f>IFERROR(__xludf.DUMMYFUNCTION("""COMPUTED_VALUE"""),46.25)</f>
        <v>46.25</v>
      </c>
      <c r="E150" s="1">
        <f>IFERROR(__xludf.DUMMYFUNCTION("""COMPUTED_VALUE"""),47.81)</f>
        <v>47.81</v>
      </c>
      <c r="F150" s="1">
        <f>IFERROR(__xludf.DUMMYFUNCTION("""COMPUTED_VALUE"""),665883.0)</f>
        <v>665883</v>
      </c>
      <c r="G150" s="2" t="s">
        <v>4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IFERROR(__xludf.DUMMYFUNCTION("""COMPUTED_VALUE"""),48.63)</f>
        <v>48.63</v>
      </c>
      <c r="C151" s="1">
        <f>IFERROR(__xludf.DUMMYFUNCTION("""COMPUTED_VALUE"""),49.3)</f>
        <v>49.3</v>
      </c>
      <c r="D151" s="1">
        <f>IFERROR(__xludf.DUMMYFUNCTION("""COMPUTED_VALUE"""),47.54)</f>
        <v>47.54</v>
      </c>
      <c r="E151" s="1">
        <f>IFERROR(__xludf.DUMMYFUNCTION("""COMPUTED_VALUE"""),48.09)</f>
        <v>48.09</v>
      </c>
      <c r="F151" s="1">
        <f>IFERROR(__xludf.DUMMYFUNCTION("""COMPUTED_VALUE"""),931336.0)</f>
        <v>931336</v>
      </c>
      <c r="G151" s="2" t="s">
        <v>4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IFERROR(__xludf.DUMMYFUNCTION("""COMPUTED_VALUE"""),47.9)</f>
        <v>47.9</v>
      </c>
      <c r="C152" s="1">
        <f>IFERROR(__xludf.DUMMYFUNCTION("""COMPUTED_VALUE"""),52.1)</f>
        <v>52.1</v>
      </c>
      <c r="D152" s="1">
        <f>IFERROR(__xludf.DUMMYFUNCTION("""COMPUTED_VALUE"""),47.78)</f>
        <v>47.78</v>
      </c>
      <c r="E152" s="1">
        <f>IFERROR(__xludf.DUMMYFUNCTION("""COMPUTED_VALUE"""),51.36)</f>
        <v>51.36</v>
      </c>
      <c r="F152" s="1">
        <f>IFERROR(__xludf.DUMMYFUNCTION("""COMPUTED_VALUE"""),1222085.0)</f>
        <v>1222085</v>
      </c>
      <c r="G152" s="2" t="s">
        <v>4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IFERROR(__xludf.DUMMYFUNCTION("""COMPUTED_VALUE"""),51.36)</f>
        <v>51.36</v>
      </c>
      <c r="C153" s="1">
        <f>IFERROR(__xludf.DUMMYFUNCTION("""COMPUTED_VALUE"""),52.9)</f>
        <v>52.9</v>
      </c>
      <c r="D153" s="1">
        <f>IFERROR(__xludf.DUMMYFUNCTION("""COMPUTED_VALUE"""),50.18)</f>
        <v>50.18</v>
      </c>
      <c r="E153" s="1">
        <f>IFERROR(__xludf.DUMMYFUNCTION("""COMPUTED_VALUE"""),52.3)</f>
        <v>52.3</v>
      </c>
      <c r="F153" s="1">
        <f>IFERROR(__xludf.DUMMYFUNCTION("""COMPUTED_VALUE"""),816744.0)</f>
        <v>816744</v>
      </c>
      <c r="G153" s="2" t="s">
        <v>4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IFERROR(__xludf.DUMMYFUNCTION("""COMPUTED_VALUE"""),52.82)</f>
        <v>52.82</v>
      </c>
      <c r="C154" s="1">
        <f>IFERROR(__xludf.DUMMYFUNCTION("""COMPUTED_VALUE"""),53.6)</f>
        <v>53.6</v>
      </c>
      <c r="D154" s="1">
        <f>IFERROR(__xludf.DUMMYFUNCTION("""COMPUTED_VALUE"""),49.03)</f>
        <v>49.03</v>
      </c>
      <c r="E154" s="1">
        <f>IFERROR(__xludf.DUMMYFUNCTION("""COMPUTED_VALUE"""),50.26)</f>
        <v>50.26</v>
      </c>
      <c r="F154" s="1">
        <f>IFERROR(__xludf.DUMMYFUNCTION("""COMPUTED_VALUE"""),823784.0)</f>
        <v>823784</v>
      </c>
      <c r="G154" s="2" t="s">
        <v>4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IFERROR(__xludf.DUMMYFUNCTION("""COMPUTED_VALUE"""),50.26)</f>
        <v>50.26</v>
      </c>
      <c r="C155" s="1">
        <f>IFERROR(__xludf.DUMMYFUNCTION("""COMPUTED_VALUE"""),51.8)</f>
        <v>51.8</v>
      </c>
      <c r="D155" s="1">
        <f>IFERROR(__xludf.DUMMYFUNCTION("""COMPUTED_VALUE"""),49.66)</f>
        <v>49.66</v>
      </c>
      <c r="E155" s="1">
        <f>IFERROR(__xludf.DUMMYFUNCTION("""COMPUTED_VALUE"""),49.9)</f>
        <v>49.9</v>
      </c>
      <c r="F155" s="1">
        <f>IFERROR(__xludf.DUMMYFUNCTION("""COMPUTED_VALUE"""),621569.0)</f>
        <v>621569</v>
      </c>
      <c r="G155" s="2" t="s">
        <v>4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IFERROR(__xludf.DUMMYFUNCTION("""COMPUTED_VALUE"""),49.99)</f>
        <v>49.99</v>
      </c>
      <c r="C156" s="1">
        <f>IFERROR(__xludf.DUMMYFUNCTION("""COMPUTED_VALUE"""),50.5)</f>
        <v>50.5</v>
      </c>
      <c r="D156" s="1">
        <f>IFERROR(__xludf.DUMMYFUNCTION("""COMPUTED_VALUE"""),46.55)</f>
        <v>46.55</v>
      </c>
      <c r="E156" s="1">
        <f>IFERROR(__xludf.DUMMYFUNCTION("""COMPUTED_VALUE"""),46.87)</f>
        <v>46.87</v>
      </c>
      <c r="F156" s="1">
        <f>IFERROR(__xludf.DUMMYFUNCTION("""COMPUTED_VALUE"""),887730.0)</f>
        <v>887730</v>
      </c>
      <c r="G156" s="2" t="s">
        <v>4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IFERROR(__xludf.DUMMYFUNCTION("""COMPUTED_VALUE"""),46.68)</f>
        <v>46.68</v>
      </c>
      <c r="C157" s="1">
        <f>IFERROR(__xludf.DUMMYFUNCTION("""COMPUTED_VALUE"""),49.41)</f>
        <v>49.41</v>
      </c>
      <c r="D157" s="1">
        <f>IFERROR(__xludf.DUMMYFUNCTION("""COMPUTED_VALUE"""),46.62)</f>
        <v>46.62</v>
      </c>
      <c r="E157" s="1">
        <f>IFERROR(__xludf.DUMMYFUNCTION("""COMPUTED_VALUE"""),49.0)</f>
        <v>49</v>
      </c>
      <c r="F157" s="1">
        <f>IFERROR(__xludf.DUMMYFUNCTION("""COMPUTED_VALUE"""),736027.0)</f>
        <v>736027</v>
      </c>
      <c r="G157" s="2" t="s">
        <v>4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IFERROR(__xludf.DUMMYFUNCTION("""COMPUTED_VALUE"""),49.44)</f>
        <v>49.44</v>
      </c>
      <c r="C158" s="1">
        <f>IFERROR(__xludf.DUMMYFUNCTION("""COMPUTED_VALUE"""),51.14)</f>
        <v>51.14</v>
      </c>
      <c r="D158" s="1">
        <f>IFERROR(__xludf.DUMMYFUNCTION("""COMPUTED_VALUE"""),48.9)</f>
        <v>48.9</v>
      </c>
      <c r="E158" s="1">
        <f>IFERROR(__xludf.DUMMYFUNCTION("""COMPUTED_VALUE"""),49.86)</f>
        <v>49.86</v>
      </c>
      <c r="F158" s="1">
        <f>IFERROR(__xludf.DUMMYFUNCTION("""COMPUTED_VALUE"""),646407.0)</f>
        <v>646407</v>
      </c>
      <c r="G158" s="2" t="s">
        <v>4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IFERROR(__xludf.DUMMYFUNCTION("""COMPUTED_VALUE"""),49.67)</f>
        <v>49.67</v>
      </c>
      <c r="C159" s="1">
        <f>IFERROR(__xludf.DUMMYFUNCTION("""COMPUTED_VALUE"""),50.54)</f>
        <v>50.54</v>
      </c>
      <c r="D159" s="1">
        <f>IFERROR(__xludf.DUMMYFUNCTION("""COMPUTED_VALUE"""),49.17)</f>
        <v>49.17</v>
      </c>
      <c r="E159" s="1">
        <f>IFERROR(__xludf.DUMMYFUNCTION("""COMPUTED_VALUE"""),50.16)</f>
        <v>50.16</v>
      </c>
      <c r="F159" s="1">
        <f>IFERROR(__xludf.DUMMYFUNCTION("""COMPUTED_VALUE"""),494469.0)</f>
        <v>494469</v>
      </c>
      <c r="G159" s="2" t="s">
        <v>4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IFERROR(__xludf.DUMMYFUNCTION("""COMPUTED_VALUE"""),50.46)</f>
        <v>50.46</v>
      </c>
      <c r="C160" s="1">
        <f>IFERROR(__xludf.DUMMYFUNCTION("""COMPUTED_VALUE"""),51.0)</f>
        <v>51</v>
      </c>
      <c r="D160" s="1">
        <f>IFERROR(__xludf.DUMMYFUNCTION("""COMPUTED_VALUE"""),49.93)</f>
        <v>49.93</v>
      </c>
      <c r="E160" s="1">
        <f>IFERROR(__xludf.DUMMYFUNCTION("""COMPUTED_VALUE"""),49.96)</f>
        <v>49.96</v>
      </c>
      <c r="F160" s="1">
        <f>IFERROR(__xludf.DUMMYFUNCTION("""COMPUTED_VALUE"""),487887.0)</f>
        <v>487887</v>
      </c>
      <c r="G160" s="2" t="s">
        <v>4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IFERROR(__xludf.DUMMYFUNCTION("""COMPUTED_VALUE"""),50.4)</f>
        <v>50.4</v>
      </c>
      <c r="C161" s="1">
        <f>IFERROR(__xludf.DUMMYFUNCTION("""COMPUTED_VALUE"""),57.16)</f>
        <v>57.16</v>
      </c>
      <c r="D161" s="1">
        <f>IFERROR(__xludf.DUMMYFUNCTION("""COMPUTED_VALUE"""),49.84)</f>
        <v>49.84</v>
      </c>
      <c r="E161" s="1">
        <f>IFERROR(__xludf.DUMMYFUNCTION("""COMPUTED_VALUE"""),52.68)</f>
        <v>52.68</v>
      </c>
      <c r="F161" s="1">
        <f>IFERROR(__xludf.DUMMYFUNCTION("""COMPUTED_VALUE"""),1819703.0)</f>
        <v>1819703</v>
      </c>
      <c r="G161" s="2" t="s">
        <v>4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IFERROR(__xludf.DUMMYFUNCTION("""COMPUTED_VALUE"""),52.24)</f>
        <v>52.24</v>
      </c>
      <c r="C162" s="1">
        <f>IFERROR(__xludf.DUMMYFUNCTION("""COMPUTED_VALUE"""),53.08)</f>
        <v>53.08</v>
      </c>
      <c r="D162" s="1">
        <f>IFERROR(__xludf.DUMMYFUNCTION("""COMPUTED_VALUE"""),50.26)</f>
        <v>50.26</v>
      </c>
      <c r="E162" s="1">
        <f>IFERROR(__xludf.DUMMYFUNCTION("""COMPUTED_VALUE"""),51.44)</f>
        <v>51.44</v>
      </c>
      <c r="F162" s="1">
        <f>IFERROR(__xludf.DUMMYFUNCTION("""COMPUTED_VALUE"""),808961.0)</f>
        <v>808961</v>
      </c>
      <c r="G162" s="2" t="s">
        <v>4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IFERROR(__xludf.DUMMYFUNCTION("""COMPUTED_VALUE"""),51.62)</f>
        <v>51.62</v>
      </c>
      <c r="C163" s="1">
        <f>IFERROR(__xludf.DUMMYFUNCTION("""COMPUTED_VALUE"""),52.66)</f>
        <v>52.66</v>
      </c>
      <c r="D163" s="1">
        <f>IFERROR(__xludf.DUMMYFUNCTION("""COMPUTED_VALUE"""),49.87)</f>
        <v>49.87</v>
      </c>
      <c r="E163" s="1">
        <f>IFERROR(__xludf.DUMMYFUNCTION("""COMPUTED_VALUE"""),50.66)</f>
        <v>50.66</v>
      </c>
      <c r="F163" s="1">
        <f>IFERROR(__xludf.DUMMYFUNCTION("""COMPUTED_VALUE"""),430448.0)</f>
        <v>430448</v>
      </c>
      <c r="G163" s="2" t="s">
        <v>4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IFERROR(__xludf.DUMMYFUNCTION("""COMPUTED_VALUE"""),51.5)</f>
        <v>51.5</v>
      </c>
      <c r="C164" s="1">
        <f>IFERROR(__xludf.DUMMYFUNCTION("""COMPUTED_VALUE"""),53.8)</f>
        <v>53.8</v>
      </c>
      <c r="D164" s="1">
        <f>IFERROR(__xludf.DUMMYFUNCTION("""COMPUTED_VALUE"""),50.08)</f>
        <v>50.08</v>
      </c>
      <c r="E164" s="1">
        <f>IFERROR(__xludf.DUMMYFUNCTION("""COMPUTED_VALUE"""),50.68)</f>
        <v>50.68</v>
      </c>
      <c r="F164" s="1">
        <f>IFERROR(__xludf.DUMMYFUNCTION("""COMPUTED_VALUE"""),1188566.0)</f>
        <v>1188566</v>
      </c>
      <c r="G164" s="2" t="s">
        <v>4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IFERROR(__xludf.DUMMYFUNCTION("""COMPUTED_VALUE"""),50.2)</f>
        <v>50.2</v>
      </c>
      <c r="C165" s="1">
        <f>IFERROR(__xludf.DUMMYFUNCTION("""COMPUTED_VALUE"""),50.68)</f>
        <v>50.68</v>
      </c>
      <c r="D165" s="1">
        <f>IFERROR(__xludf.DUMMYFUNCTION("""COMPUTED_VALUE"""),46.92)</f>
        <v>46.92</v>
      </c>
      <c r="E165" s="1">
        <f>IFERROR(__xludf.DUMMYFUNCTION("""COMPUTED_VALUE"""),47.07)</f>
        <v>47.07</v>
      </c>
      <c r="F165" s="1">
        <f>IFERROR(__xludf.DUMMYFUNCTION("""COMPUTED_VALUE"""),581016.0)</f>
        <v>581016</v>
      </c>
      <c r="G165" s="2" t="s">
        <v>4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IFERROR(__xludf.DUMMYFUNCTION("""COMPUTED_VALUE"""),47.01)</f>
        <v>47.01</v>
      </c>
      <c r="C166" s="1">
        <f>IFERROR(__xludf.DUMMYFUNCTION("""COMPUTED_VALUE"""),48.57)</f>
        <v>48.57</v>
      </c>
      <c r="D166" s="1">
        <f>IFERROR(__xludf.DUMMYFUNCTION("""COMPUTED_VALUE"""),46.8)</f>
        <v>46.8</v>
      </c>
      <c r="E166" s="1">
        <f>IFERROR(__xludf.DUMMYFUNCTION("""COMPUTED_VALUE"""),47.78)</f>
        <v>47.78</v>
      </c>
      <c r="F166" s="1">
        <f>IFERROR(__xludf.DUMMYFUNCTION("""COMPUTED_VALUE"""),435272.0)</f>
        <v>435272</v>
      </c>
      <c r="G166" s="2" t="s">
        <v>4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IFERROR(__xludf.DUMMYFUNCTION("""COMPUTED_VALUE"""),47.59)</f>
        <v>47.59</v>
      </c>
      <c r="C167" s="1">
        <f>IFERROR(__xludf.DUMMYFUNCTION("""COMPUTED_VALUE"""),48.57)</f>
        <v>48.57</v>
      </c>
      <c r="D167" s="1">
        <f>IFERROR(__xludf.DUMMYFUNCTION("""COMPUTED_VALUE"""),47.05)</f>
        <v>47.05</v>
      </c>
      <c r="E167" s="1">
        <f>IFERROR(__xludf.DUMMYFUNCTION("""COMPUTED_VALUE"""),47.85)</f>
        <v>47.85</v>
      </c>
      <c r="F167" s="1">
        <f>IFERROR(__xludf.DUMMYFUNCTION("""COMPUTED_VALUE"""),465908.0)</f>
        <v>465908</v>
      </c>
      <c r="G167" s="2" t="s">
        <v>4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IFERROR(__xludf.DUMMYFUNCTION("""COMPUTED_VALUE"""),47.55)</f>
        <v>47.55</v>
      </c>
      <c r="C168" s="1">
        <f>IFERROR(__xludf.DUMMYFUNCTION("""COMPUTED_VALUE"""),47.85)</f>
        <v>47.85</v>
      </c>
      <c r="D168" s="1">
        <f>IFERROR(__xludf.DUMMYFUNCTION("""COMPUTED_VALUE"""),45.38)</f>
        <v>45.38</v>
      </c>
      <c r="E168" s="1">
        <f>IFERROR(__xludf.DUMMYFUNCTION("""COMPUTED_VALUE"""),45.73)</f>
        <v>45.73</v>
      </c>
      <c r="F168" s="1">
        <f>IFERROR(__xludf.DUMMYFUNCTION("""COMPUTED_VALUE"""),659235.0)</f>
        <v>659235</v>
      </c>
      <c r="G168" s="2" t="s">
        <v>4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IFERROR(__xludf.DUMMYFUNCTION("""COMPUTED_VALUE"""),46.07)</f>
        <v>46.07</v>
      </c>
      <c r="C169" s="1">
        <f>IFERROR(__xludf.DUMMYFUNCTION("""COMPUTED_VALUE"""),46.58)</f>
        <v>46.58</v>
      </c>
      <c r="D169" s="1">
        <f>IFERROR(__xludf.DUMMYFUNCTION("""COMPUTED_VALUE"""),42.1)</f>
        <v>42.1</v>
      </c>
      <c r="E169" s="1">
        <f>IFERROR(__xludf.DUMMYFUNCTION("""COMPUTED_VALUE"""),42.41)</f>
        <v>42.41</v>
      </c>
      <c r="F169" s="1">
        <f>IFERROR(__xludf.DUMMYFUNCTION("""COMPUTED_VALUE"""),785260.0)</f>
        <v>785260</v>
      </c>
      <c r="G169" s="2" t="s">
        <v>4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IFERROR(__xludf.DUMMYFUNCTION("""COMPUTED_VALUE"""),41.78)</f>
        <v>41.78</v>
      </c>
      <c r="C170" s="1">
        <f>IFERROR(__xludf.DUMMYFUNCTION("""COMPUTED_VALUE"""),44.22)</f>
        <v>44.22</v>
      </c>
      <c r="D170" s="1">
        <f>IFERROR(__xludf.DUMMYFUNCTION("""COMPUTED_VALUE"""),41.75)</f>
        <v>41.75</v>
      </c>
      <c r="E170" s="1">
        <f>IFERROR(__xludf.DUMMYFUNCTION("""COMPUTED_VALUE"""),43.42)</f>
        <v>43.42</v>
      </c>
      <c r="F170" s="1">
        <f>IFERROR(__xludf.DUMMYFUNCTION("""COMPUTED_VALUE"""),526070.0)</f>
        <v>526070</v>
      </c>
      <c r="G170" s="2" t="s">
        <v>4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IFERROR(__xludf.DUMMYFUNCTION("""COMPUTED_VALUE"""),43.2)</f>
        <v>43.2</v>
      </c>
      <c r="C171" s="1">
        <f>IFERROR(__xludf.DUMMYFUNCTION("""COMPUTED_VALUE"""),44.43)</f>
        <v>44.43</v>
      </c>
      <c r="D171" s="1">
        <f>IFERROR(__xludf.DUMMYFUNCTION("""COMPUTED_VALUE"""),42.73)</f>
        <v>42.73</v>
      </c>
      <c r="E171" s="1">
        <f>IFERROR(__xludf.DUMMYFUNCTION("""COMPUTED_VALUE"""),43.09)</f>
        <v>43.09</v>
      </c>
      <c r="F171" s="1">
        <f>IFERROR(__xludf.DUMMYFUNCTION("""COMPUTED_VALUE"""),538579.0)</f>
        <v>538579</v>
      </c>
      <c r="G171" s="2" t="s">
        <v>4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IFERROR(__xludf.DUMMYFUNCTION("""COMPUTED_VALUE"""),43.39)</f>
        <v>43.39</v>
      </c>
      <c r="C172" s="1">
        <f>IFERROR(__xludf.DUMMYFUNCTION("""COMPUTED_VALUE"""),43.72)</f>
        <v>43.72</v>
      </c>
      <c r="D172" s="1">
        <f>IFERROR(__xludf.DUMMYFUNCTION("""COMPUTED_VALUE"""),41.5)</f>
        <v>41.5</v>
      </c>
      <c r="E172" s="1">
        <f>IFERROR(__xludf.DUMMYFUNCTION("""COMPUTED_VALUE"""),41.5)</f>
        <v>41.5</v>
      </c>
      <c r="F172" s="1">
        <f>IFERROR(__xludf.DUMMYFUNCTION("""COMPUTED_VALUE"""),910552.0)</f>
        <v>910552</v>
      </c>
      <c r="G172" s="2" t="s">
        <v>4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IFERROR(__xludf.DUMMYFUNCTION("""COMPUTED_VALUE"""),40.84)</f>
        <v>40.84</v>
      </c>
      <c r="C173" s="1">
        <f>IFERROR(__xludf.DUMMYFUNCTION("""COMPUTED_VALUE"""),41.77)</f>
        <v>41.77</v>
      </c>
      <c r="D173" s="1">
        <f>IFERROR(__xludf.DUMMYFUNCTION("""COMPUTED_VALUE"""),39.57)</f>
        <v>39.57</v>
      </c>
      <c r="E173" s="1">
        <f>IFERROR(__xludf.DUMMYFUNCTION("""COMPUTED_VALUE"""),39.57)</f>
        <v>39.57</v>
      </c>
      <c r="F173" s="1">
        <f>IFERROR(__xludf.DUMMYFUNCTION("""COMPUTED_VALUE"""),589184.0)</f>
        <v>589184</v>
      </c>
      <c r="G173" s="2" t="s">
        <v>4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IFERROR(__xludf.DUMMYFUNCTION("""COMPUTED_VALUE"""),40.3)</f>
        <v>40.3</v>
      </c>
      <c r="C174" s="1">
        <f>IFERROR(__xludf.DUMMYFUNCTION("""COMPUTED_VALUE"""),41.97)</f>
        <v>41.97</v>
      </c>
      <c r="D174" s="1">
        <f>IFERROR(__xludf.DUMMYFUNCTION("""COMPUTED_VALUE"""),39.97)</f>
        <v>39.97</v>
      </c>
      <c r="E174" s="1">
        <f>IFERROR(__xludf.DUMMYFUNCTION("""COMPUTED_VALUE"""),41.44)</f>
        <v>41.44</v>
      </c>
      <c r="F174" s="1">
        <f>IFERROR(__xludf.DUMMYFUNCTION("""COMPUTED_VALUE"""),581674.0)</f>
        <v>581674</v>
      </c>
      <c r="G174" s="2" t="s">
        <v>4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IFERROR(__xludf.DUMMYFUNCTION("""COMPUTED_VALUE"""),39.99)</f>
        <v>39.99</v>
      </c>
      <c r="C175" s="1">
        <f>IFERROR(__xludf.DUMMYFUNCTION("""COMPUTED_VALUE"""),41.23)</f>
        <v>41.23</v>
      </c>
      <c r="D175" s="1">
        <f>IFERROR(__xludf.DUMMYFUNCTION("""COMPUTED_VALUE"""),39.86)</f>
        <v>39.86</v>
      </c>
      <c r="E175" s="1">
        <f>IFERROR(__xludf.DUMMYFUNCTION("""COMPUTED_VALUE"""),41.23)</f>
        <v>41.23</v>
      </c>
      <c r="F175" s="1">
        <f>IFERROR(__xludf.DUMMYFUNCTION("""COMPUTED_VALUE"""),442279.0)</f>
        <v>442279</v>
      </c>
      <c r="G175" s="2" t="s">
        <v>4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IFERROR(__xludf.DUMMYFUNCTION("""COMPUTED_VALUE"""),42.0)</f>
        <v>42</v>
      </c>
      <c r="C176" s="1">
        <f>IFERROR(__xludf.DUMMYFUNCTION("""COMPUTED_VALUE"""),45.47)</f>
        <v>45.47</v>
      </c>
      <c r="D176" s="1">
        <f>IFERROR(__xludf.DUMMYFUNCTION("""COMPUTED_VALUE"""),42.0)</f>
        <v>42</v>
      </c>
      <c r="E176" s="1">
        <f>IFERROR(__xludf.DUMMYFUNCTION("""COMPUTED_VALUE"""),44.4)</f>
        <v>44.4</v>
      </c>
      <c r="F176" s="1">
        <f>IFERROR(__xludf.DUMMYFUNCTION("""COMPUTED_VALUE"""),917689.0)</f>
        <v>917689</v>
      </c>
      <c r="G176" s="2" t="s">
        <v>4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IFERROR(__xludf.DUMMYFUNCTION("""COMPUTED_VALUE"""),43.81)</f>
        <v>43.81</v>
      </c>
      <c r="C177" s="1">
        <f>IFERROR(__xludf.DUMMYFUNCTION("""COMPUTED_VALUE"""),45.15)</f>
        <v>45.15</v>
      </c>
      <c r="D177" s="1">
        <f>IFERROR(__xludf.DUMMYFUNCTION("""COMPUTED_VALUE"""),43.27)</f>
        <v>43.27</v>
      </c>
      <c r="E177" s="1">
        <f>IFERROR(__xludf.DUMMYFUNCTION("""COMPUTED_VALUE"""),44.93)</f>
        <v>44.93</v>
      </c>
      <c r="F177" s="1">
        <f>IFERROR(__xludf.DUMMYFUNCTION("""COMPUTED_VALUE"""),540415.0)</f>
        <v>540415</v>
      </c>
      <c r="G177" s="2" t="s">
        <v>4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IFERROR(__xludf.DUMMYFUNCTION("""COMPUTED_VALUE"""),45.23)</f>
        <v>45.23</v>
      </c>
      <c r="C178" s="1">
        <f>IFERROR(__xludf.DUMMYFUNCTION("""COMPUTED_VALUE"""),46.31)</f>
        <v>46.31</v>
      </c>
      <c r="D178" s="1">
        <f>IFERROR(__xludf.DUMMYFUNCTION("""COMPUTED_VALUE"""),43.71)</f>
        <v>43.71</v>
      </c>
      <c r="E178" s="1">
        <f>IFERROR(__xludf.DUMMYFUNCTION("""COMPUTED_VALUE"""),46.24)</f>
        <v>46.24</v>
      </c>
      <c r="F178" s="1">
        <f>IFERROR(__xludf.DUMMYFUNCTION("""COMPUTED_VALUE"""),504336.0)</f>
        <v>504336</v>
      </c>
      <c r="G178" s="2" t="s">
        <v>4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IFERROR(__xludf.DUMMYFUNCTION("""COMPUTED_VALUE"""),45.97)</f>
        <v>45.97</v>
      </c>
      <c r="C179" s="1">
        <f>IFERROR(__xludf.DUMMYFUNCTION("""COMPUTED_VALUE"""),49.16)</f>
        <v>49.16</v>
      </c>
      <c r="D179" s="1">
        <f>IFERROR(__xludf.DUMMYFUNCTION("""COMPUTED_VALUE"""),45.95)</f>
        <v>45.95</v>
      </c>
      <c r="E179" s="1">
        <f>IFERROR(__xludf.DUMMYFUNCTION("""COMPUTED_VALUE"""),49.08)</f>
        <v>49.08</v>
      </c>
      <c r="F179" s="1">
        <f>IFERROR(__xludf.DUMMYFUNCTION("""COMPUTED_VALUE"""),703048.0)</f>
        <v>703048</v>
      </c>
      <c r="G179" s="2" t="s">
        <v>4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IFERROR(__xludf.DUMMYFUNCTION("""COMPUTED_VALUE"""),49.89)</f>
        <v>49.89</v>
      </c>
      <c r="C180" s="1">
        <f>IFERROR(__xludf.DUMMYFUNCTION("""COMPUTED_VALUE"""),50.58)</f>
        <v>50.58</v>
      </c>
      <c r="D180" s="1">
        <f>IFERROR(__xludf.DUMMYFUNCTION("""COMPUTED_VALUE"""),49.01)</f>
        <v>49.01</v>
      </c>
      <c r="E180" s="1">
        <f>IFERROR(__xludf.DUMMYFUNCTION("""COMPUTED_VALUE"""),50.0)</f>
        <v>50</v>
      </c>
      <c r="F180" s="1">
        <f>IFERROR(__xludf.DUMMYFUNCTION("""COMPUTED_VALUE"""),822824.0)</f>
        <v>822824</v>
      </c>
      <c r="G180" s="2" t="s">
        <v>4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IFERROR(__xludf.DUMMYFUNCTION("""COMPUTED_VALUE"""),50.16)</f>
        <v>50.16</v>
      </c>
      <c r="C181" s="1">
        <f>IFERROR(__xludf.DUMMYFUNCTION("""COMPUTED_VALUE"""),50.44)</f>
        <v>50.44</v>
      </c>
      <c r="D181" s="1">
        <f>IFERROR(__xludf.DUMMYFUNCTION("""COMPUTED_VALUE"""),46.0)</f>
        <v>46</v>
      </c>
      <c r="E181" s="1">
        <f>IFERROR(__xludf.DUMMYFUNCTION("""COMPUTED_VALUE"""),46.17)</f>
        <v>46.17</v>
      </c>
      <c r="F181" s="1">
        <f>IFERROR(__xludf.DUMMYFUNCTION("""COMPUTED_VALUE"""),794090.0)</f>
        <v>794090</v>
      </c>
      <c r="G181" s="2" t="s">
        <v>4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IFERROR(__xludf.DUMMYFUNCTION("""COMPUTED_VALUE"""),45.97)</f>
        <v>45.97</v>
      </c>
      <c r="C182" s="1">
        <f>IFERROR(__xludf.DUMMYFUNCTION("""COMPUTED_VALUE"""),48.89)</f>
        <v>48.89</v>
      </c>
      <c r="D182" s="1">
        <f>IFERROR(__xludf.DUMMYFUNCTION("""COMPUTED_VALUE"""),45.7)</f>
        <v>45.7</v>
      </c>
      <c r="E182" s="1">
        <f>IFERROR(__xludf.DUMMYFUNCTION("""COMPUTED_VALUE"""),48.07)</f>
        <v>48.07</v>
      </c>
      <c r="F182" s="1">
        <f>IFERROR(__xludf.DUMMYFUNCTION("""COMPUTED_VALUE"""),572200.0)</f>
        <v>572200</v>
      </c>
      <c r="G182" s="2" t="s">
        <v>4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IFERROR(__xludf.DUMMYFUNCTION("""COMPUTED_VALUE"""),46.8)</f>
        <v>46.8</v>
      </c>
      <c r="C183" s="1">
        <f>IFERROR(__xludf.DUMMYFUNCTION("""COMPUTED_VALUE"""),47.33)</f>
        <v>47.33</v>
      </c>
      <c r="D183" s="1">
        <f>IFERROR(__xludf.DUMMYFUNCTION("""COMPUTED_VALUE"""),44.93)</f>
        <v>44.93</v>
      </c>
      <c r="E183" s="1">
        <f>IFERROR(__xludf.DUMMYFUNCTION("""COMPUTED_VALUE"""),45.28)</f>
        <v>45.28</v>
      </c>
      <c r="F183" s="1">
        <f>IFERROR(__xludf.DUMMYFUNCTION("""COMPUTED_VALUE"""),886785.0)</f>
        <v>886785</v>
      </c>
      <c r="G183" s="2" t="s">
        <v>4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IFERROR(__xludf.DUMMYFUNCTION("""COMPUTED_VALUE"""),44.61)</f>
        <v>44.61</v>
      </c>
      <c r="C184" s="1">
        <f>IFERROR(__xludf.DUMMYFUNCTION("""COMPUTED_VALUE"""),45.54)</f>
        <v>45.54</v>
      </c>
      <c r="D184" s="1">
        <f>IFERROR(__xludf.DUMMYFUNCTION("""COMPUTED_VALUE"""),43.91)</f>
        <v>43.91</v>
      </c>
      <c r="E184" s="1">
        <f>IFERROR(__xludf.DUMMYFUNCTION("""COMPUTED_VALUE"""),44.16)</f>
        <v>44.16</v>
      </c>
      <c r="F184" s="1">
        <f>IFERROR(__xludf.DUMMYFUNCTION("""COMPUTED_VALUE"""),1818090.0)</f>
        <v>1818090</v>
      </c>
      <c r="G184" s="2" t="s">
        <v>4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IFERROR(__xludf.DUMMYFUNCTION("""COMPUTED_VALUE"""),44.05)</f>
        <v>44.05</v>
      </c>
      <c r="C185" s="1">
        <f>IFERROR(__xludf.DUMMYFUNCTION("""COMPUTED_VALUE"""),44.67)</f>
        <v>44.67</v>
      </c>
      <c r="D185" s="1">
        <f>IFERROR(__xludf.DUMMYFUNCTION("""COMPUTED_VALUE"""),42.07)</f>
        <v>42.07</v>
      </c>
      <c r="E185" s="1">
        <f>IFERROR(__xludf.DUMMYFUNCTION("""COMPUTED_VALUE"""),42.26)</f>
        <v>42.26</v>
      </c>
      <c r="F185" s="1">
        <f>IFERROR(__xludf.DUMMYFUNCTION("""COMPUTED_VALUE"""),420517.0)</f>
        <v>420517</v>
      </c>
      <c r="G185" s="2" t="s">
        <v>4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IFERROR(__xludf.DUMMYFUNCTION("""COMPUTED_VALUE"""),42.49)</f>
        <v>42.49</v>
      </c>
      <c r="C186" s="1">
        <f>IFERROR(__xludf.DUMMYFUNCTION("""COMPUTED_VALUE"""),43.1)</f>
        <v>43.1</v>
      </c>
      <c r="D186" s="1">
        <f>IFERROR(__xludf.DUMMYFUNCTION("""COMPUTED_VALUE"""),40.92)</f>
        <v>40.92</v>
      </c>
      <c r="E186" s="1">
        <f>IFERROR(__xludf.DUMMYFUNCTION("""COMPUTED_VALUE"""),42.9)</f>
        <v>42.9</v>
      </c>
      <c r="F186" s="1">
        <f>IFERROR(__xludf.DUMMYFUNCTION("""COMPUTED_VALUE"""),811898.0)</f>
        <v>811898</v>
      </c>
      <c r="G186" s="2" t="s">
        <v>4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IFERROR(__xludf.DUMMYFUNCTION("""COMPUTED_VALUE"""),42.11)</f>
        <v>42.11</v>
      </c>
      <c r="C187" s="1">
        <f>IFERROR(__xludf.DUMMYFUNCTION("""COMPUTED_VALUE"""),43.44)</f>
        <v>43.44</v>
      </c>
      <c r="D187" s="1">
        <f>IFERROR(__xludf.DUMMYFUNCTION("""COMPUTED_VALUE"""),41.28)</f>
        <v>41.28</v>
      </c>
      <c r="E187" s="1">
        <f>IFERROR(__xludf.DUMMYFUNCTION("""COMPUTED_VALUE"""),42.97)</f>
        <v>42.97</v>
      </c>
      <c r="F187" s="1">
        <f>IFERROR(__xludf.DUMMYFUNCTION("""COMPUTED_VALUE"""),464547.0)</f>
        <v>464547</v>
      </c>
      <c r="G187" s="2" t="s">
        <v>4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IFERROR(__xludf.DUMMYFUNCTION("""COMPUTED_VALUE"""),41.56)</f>
        <v>41.56</v>
      </c>
      <c r="C188" s="1">
        <f>IFERROR(__xludf.DUMMYFUNCTION("""COMPUTED_VALUE"""),42.93)</f>
        <v>42.93</v>
      </c>
      <c r="D188" s="1">
        <f>IFERROR(__xludf.DUMMYFUNCTION("""COMPUTED_VALUE"""),40.8)</f>
        <v>40.8</v>
      </c>
      <c r="E188" s="1">
        <f>IFERROR(__xludf.DUMMYFUNCTION("""COMPUTED_VALUE"""),40.8)</f>
        <v>40.8</v>
      </c>
      <c r="F188" s="1">
        <f>IFERROR(__xludf.DUMMYFUNCTION("""COMPUTED_VALUE"""),918782.0)</f>
        <v>918782</v>
      </c>
      <c r="G188" s="2" t="s">
        <v>4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IFERROR(__xludf.DUMMYFUNCTION("""COMPUTED_VALUE"""),40.64)</f>
        <v>40.64</v>
      </c>
      <c r="C189" s="1">
        <f>IFERROR(__xludf.DUMMYFUNCTION("""COMPUTED_VALUE"""),41.01)</f>
        <v>41.01</v>
      </c>
      <c r="D189" s="1">
        <f>IFERROR(__xludf.DUMMYFUNCTION("""COMPUTED_VALUE"""),38.12)</f>
        <v>38.12</v>
      </c>
      <c r="E189" s="1">
        <f>IFERROR(__xludf.DUMMYFUNCTION("""COMPUTED_VALUE"""),38.12)</f>
        <v>38.12</v>
      </c>
      <c r="F189" s="1">
        <f>IFERROR(__xludf.DUMMYFUNCTION("""COMPUTED_VALUE"""),933065.0)</f>
        <v>933065</v>
      </c>
      <c r="G189" s="2" t="s">
        <v>4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IFERROR(__xludf.DUMMYFUNCTION("""COMPUTED_VALUE"""),37.98)</f>
        <v>37.98</v>
      </c>
      <c r="C190" s="1">
        <f>IFERROR(__xludf.DUMMYFUNCTION("""COMPUTED_VALUE"""),38.96)</f>
        <v>38.96</v>
      </c>
      <c r="D190" s="1">
        <f>IFERROR(__xludf.DUMMYFUNCTION("""COMPUTED_VALUE"""),37.22)</f>
        <v>37.22</v>
      </c>
      <c r="E190" s="1">
        <f>IFERROR(__xludf.DUMMYFUNCTION("""COMPUTED_VALUE"""),37.38)</f>
        <v>37.38</v>
      </c>
      <c r="F190" s="1">
        <f>IFERROR(__xludf.DUMMYFUNCTION("""COMPUTED_VALUE"""),653726.0)</f>
        <v>653726</v>
      </c>
      <c r="G190" s="2" t="s">
        <v>4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IFERROR(__xludf.DUMMYFUNCTION("""COMPUTED_VALUE"""),37.49)</f>
        <v>37.49</v>
      </c>
      <c r="C191" s="1">
        <f>IFERROR(__xludf.DUMMYFUNCTION("""COMPUTED_VALUE"""),39.39)</f>
        <v>39.39</v>
      </c>
      <c r="D191" s="1">
        <f>IFERROR(__xludf.DUMMYFUNCTION("""COMPUTED_VALUE"""),36.89)</f>
        <v>36.89</v>
      </c>
      <c r="E191" s="1">
        <f>IFERROR(__xludf.DUMMYFUNCTION("""COMPUTED_VALUE"""),37.94)</f>
        <v>37.94</v>
      </c>
      <c r="F191" s="1">
        <f>IFERROR(__xludf.DUMMYFUNCTION("""COMPUTED_VALUE"""),1176999.0)</f>
        <v>1176999</v>
      </c>
      <c r="G191" s="2" t="s">
        <v>4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IFERROR(__xludf.DUMMYFUNCTION("""COMPUTED_VALUE"""),37.07)</f>
        <v>37.07</v>
      </c>
      <c r="C192" s="1">
        <f>IFERROR(__xludf.DUMMYFUNCTION("""COMPUTED_VALUE"""),39.0)</f>
        <v>39</v>
      </c>
      <c r="D192" s="1">
        <f>IFERROR(__xludf.DUMMYFUNCTION("""COMPUTED_VALUE"""),36.59)</f>
        <v>36.59</v>
      </c>
      <c r="E192" s="1">
        <f>IFERROR(__xludf.DUMMYFUNCTION("""COMPUTED_VALUE"""),38.79)</f>
        <v>38.79</v>
      </c>
      <c r="F192" s="1">
        <f>IFERROR(__xludf.DUMMYFUNCTION("""COMPUTED_VALUE"""),683283.0)</f>
        <v>683283</v>
      </c>
      <c r="G192" s="2" t="s">
        <v>4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IFERROR(__xludf.DUMMYFUNCTION("""COMPUTED_VALUE"""),38.62)</f>
        <v>38.62</v>
      </c>
      <c r="C193" s="1">
        <f>IFERROR(__xludf.DUMMYFUNCTION("""COMPUTED_VALUE"""),39.0)</f>
        <v>39</v>
      </c>
      <c r="D193" s="1">
        <f>IFERROR(__xludf.DUMMYFUNCTION("""COMPUTED_VALUE"""),36.04)</f>
        <v>36.04</v>
      </c>
      <c r="E193" s="1">
        <f>IFERROR(__xludf.DUMMYFUNCTION("""COMPUTED_VALUE"""),36.04)</f>
        <v>36.04</v>
      </c>
      <c r="F193" s="1">
        <f>IFERROR(__xludf.DUMMYFUNCTION("""COMPUTED_VALUE"""),646500.0)</f>
        <v>646500</v>
      </c>
      <c r="G193" s="2" t="s">
        <v>4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IFERROR(__xludf.DUMMYFUNCTION("""COMPUTED_VALUE"""),36.35)</f>
        <v>36.35</v>
      </c>
      <c r="C194" s="1">
        <f>IFERROR(__xludf.DUMMYFUNCTION("""COMPUTED_VALUE"""),38.89)</f>
        <v>38.89</v>
      </c>
      <c r="D194" s="1">
        <f>IFERROR(__xludf.DUMMYFUNCTION("""COMPUTED_VALUE"""),36.12)</f>
        <v>36.12</v>
      </c>
      <c r="E194" s="1">
        <f>IFERROR(__xludf.DUMMYFUNCTION("""COMPUTED_VALUE"""),37.94)</f>
        <v>37.94</v>
      </c>
      <c r="F194" s="1">
        <f>IFERROR(__xludf.DUMMYFUNCTION("""COMPUTED_VALUE"""),702859.0)</f>
        <v>702859</v>
      </c>
      <c r="G194" s="2" t="s">
        <v>4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IFERROR(__xludf.DUMMYFUNCTION("""COMPUTED_VALUE"""),37.78)</f>
        <v>37.78</v>
      </c>
      <c r="C195" s="1">
        <f>IFERROR(__xludf.DUMMYFUNCTION("""COMPUTED_VALUE"""),37.78)</f>
        <v>37.78</v>
      </c>
      <c r="D195" s="1">
        <f>IFERROR(__xludf.DUMMYFUNCTION("""COMPUTED_VALUE"""),35.47)</f>
        <v>35.47</v>
      </c>
      <c r="E195" s="1">
        <f>IFERROR(__xludf.DUMMYFUNCTION("""COMPUTED_VALUE"""),37.4)</f>
        <v>37.4</v>
      </c>
      <c r="F195" s="1">
        <f>IFERROR(__xludf.DUMMYFUNCTION("""COMPUTED_VALUE"""),648815.0)</f>
        <v>648815</v>
      </c>
      <c r="G195" s="2" t="s">
        <v>4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IFERROR(__xludf.DUMMYFUNCTION("""COMPUTED_VALUE"""),38.26)</f>
        <v>38.26</v>
      </c>
      <c r="C196" s="1">
        <f>IFERROR(__xludf.DUMMYFUNCTION("""COMPUTED_VALUE"""),40.91)</f>
        <v>40.91</v>
      </c>
      <c r="D196" s="1">
        <f>IFERROR(__xludf.DUMMYFUNCTION("""COMPUTED_VALUE"""),37.52)</f>
        <v>37.52</v>
      </c>
      <c r="E196" s="1">
        <f>IFERROR(__xludf.DUMMYFUNCTION("""COMPUTED_VALUE"""),40.5)</f>
        <v>40.5</v>
      </c>
      <c r="F196" s="1">
        <f>IFERROR(__xludf.DUMMYFUNCTION("""COMPUTED_VALUE"""),667315.0)</f>
        <v>667315</v>
      </c>
      <c r="G196" s="2" t="s">
        <v>4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IFERROR(__xludf.DUMMYFUNCTION("""COMPUTED_VALUE"""),40.23)</f>
        <v>40.23</v>
      </c>
      <c r="C197" s="1">
        <f>IFERROR(__xludf.DUMMYFUNCTION("""COMPUTED_VALUE"""),40.7)</f>
        <v>40.7</v>
      </c>
      <c r="D197" s="1">
        <f>IFERROR(__xludf.DUMMYFUNCTION("""COMPUTED_VALUE"""),37.76)</f>
        <v>37.76</v>
      </c>
      <c r="E197" s="1">
        <f>IFERROR(__xludf.DUMMYFUNCTION("""COMPUTED_VALUE"""),38.13)</f>
        <v>38.13</v>
      </c>
      <c r="F197" s="1">
        <f>IFERROR(__xludf.DUMMYFUNCTION("""COMPUTED_VALUE"""),521009.0)</f>
        <v>521009</v>
      </c>
      <c r="G197" s="2" t="s">
        <v>4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IFERROR(__xludf.DUMMYFUNCTION("""COMPUTED_VALUE"""),38.64)</f>
        <v>38.64</v>
      </c>
      <c r="C198" s="1">
        <f>IFERROR(__xludf.DUMMYFUNCTION("""COMPUTED_VALUE"""),40.2)</f>
        <v>40.2</v>
      </c>
      <c r="D198" s="1">
        <f>IFERROR(__xludf.DUMMYFUNCTION("""COMPUTED_VALUE"""),38.57)</f>
        <v>38.57</v>
      </c>
      <c r="E198" s="1">
        <f>IFERROR(__xludf.DUMMYFUNCTION("""COMPUTED_VALUE"""),39.42)</f>
        <v>39.42</v>
      </c>
      <c r="F198" s="1">
        <f>IFERROR(__xludf.DUMMYFUNCTION("""COMPUTED_VALUE"""),405187.0)</f>
        <v>405187</v>
      </c>
      <c r="G198" s="2" t="s">
        <v>4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IFERROR(__xludf.DUMMYFUNCTION("""COMPUTED_VALUE"""),39.0)</f>
        <v>39</v>
      </c>
      <c r="C199" s="1">
        <f>IFERROR(__xludf.DUMMYFUNCTION("""COMPUTED_VALUE"""),39.05)</f>
        <v>39.05</v>
      </c>
      <c r="D199" s="1">
        <f>IFERROR(__xludf.DUMMYFUNCTION("""COMPUTED_VALUE"""),36.4)</f>
        <v>36.4</v>
      </c>
      <c r="E199" s="1">
        <f>IFERROR(__xludf.DUMMYFUNCTION("""COMPUTED_VALUE"""),36.81)</f>
        <v>36.81</v>
      </c>
      <c r="F199" s="1">
        <f>IFERROR(__xludf.DUMMYFUNCTION("""COMPUTED_VALUE"""),444056.0)</f>
        <v>444056</v>
      </c>
      <c r="G199" s="2" t="s">
        <v>4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IFERROR(__xludf.DUMMYFUNCTION("""COMPUTED_VALUE"""),35.7)</f>
        <v>35.7</v>
      </c>
      <c r="C200" s="1">
        <f>IFERROR(__xludf.DUMMYFUNCTION("""COMPUTED_VALUE"""),37.53)</f>
        <v>37.53</v>
      </c>
      <c r="D200" s="1">
        <f>IFERROR(__xludf.DUMMYFUNCTION("""COMPUTED_VALUE"""),33.93)</f>
        <v>33.93</v>
      </c>
      <c r="E200" s="1">
        <f>IFERROR(__xludf.DUMMYFUNCTION("""COMPUTED_VALUE"""),34.15)</f>
        <v>34.15</v>
      </c>
      <c r="F200" s="1">
        <f>IFERROR(__xludf.DUMMYFUNCTION("""COMPUTED_VALUE"""),948866.0)</f>
        <v>948866</v>
      </c>
      <c r="G200" s="2" t="s">
        <v>4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IFERROR(__xludf.DUMMYFUNCTION("""COMPUTED_VALUE"""),33.8)</f>
        <v>33.8</v>
      </c>
      <c r="C201" s="1">
        <f>IFERROR(__xludf.DUMMYFUNCTION("""COMPUTED_VALUE"""),34.56)</f>
        <v>34.56</v>
      </c>
      <c r="D201" s="1">
        <f>IFERROR(__xludf.DUMMYFUNCTION("""COMPUTED_VALUE"""),31.97)</f>
        <v>31.97</v>
      </c>
      <c r="E201" s="1">
        <f>IFERROR(__xludf.DUMMYFUNCTION("""COMPUTED_VALUE"""),33.33)</f>
        <v>33.33</v>
      </c>
      <c r="F201" s="1">
        <f>IFERROR(__xludf.DUMMYFUNCTION("""COMPUTED_VALUE"""),800343.0)</f>
        <v>800343</v>
      </c>
      <c r="G201" s="2" t="s">
        <v>4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IFERROR(__xludf.DUMMYFUNCTION("""COMPUTED_VALUE"""),33.22)</f>
        <v>33.22</v>
      </c>
      <c r="C202" s="1">
        <f>IFERROR(__xludf.DUMMYFUNCTION("""COMPUTED_VALUE"""),33.79)</f>
        <v>33.79</v>
      </c>
      <c r="D202" s="1">
        <f>IFERROR(__xludf.DUMMYFUNCTION("""COMPUTED_VALUE"""),32.14)</f>
        <v>32.14</v>
      </c>
      <c r="E202" s="1">
        <f>IFERROR(__xludf.DUMMYFUNCTION("""COMPUTED_VALUE"""),32.83)</f>
        <v>32.83</v>
      </c>
      <c r="F202" s="1">
        <f>IFERROR(__xludf.DUMMYFUNCTION("""COMPUTED_VALUE"""),946195.0)</f>
        <v>946195</v>
      </c>
      <c r="G202" s="2" t="s">
        <v>4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IFERROR(__xludf.DUMMYFUNCTION("""COMPUTED_VALUE"""),32.61)</f>
        <v>32.61</v>
      </c>
      <c r="C203" s="1">
        <f>IFERROR(__xludf.DUMMYFUNCTION("""COMPUTED_VALUE"""),33.19)</f>
        <v>33.19</v>
      </c>
      <c r="D203" s="1">
        <f>IFERROR(__xludf.DUMMYFUNCTION("""COMPUTED_VALUE"""),30.61)</f>
        <v>30.61</v>
      </c>
      <c r="E203" s="1">
        <f>IFERROR(__xludf.DUMMYFUNCTION("""COMPUTED_VALUE"""),32.0)</f>
        <v>32</v>
      </c>
      <c r="F203" s="1">
        <f>IFERROR(__xludf.DUMMYFUNCTION("""COMPUTED_VALUE"""),825355.0)</f>
        <v>825355</v>
      </c>
      <c r="G203" s="2" t="s">
        <v>4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IFERROR(__xludf.DUMMYFUNCTION("""COMPUTED_VALUE"""),32.64)</f>
        <v>32.64</v>
      </c>
      <c r="C204" s="1">
        <f>IFERROR(__xludf.DUMMYFUNCTION("""COMPUTED_VALUE"""),33.44)</f>
        <v>33.44</v>
      </c>
      <c r="D204" s="1">
        <f>IFERROR(__xludf.DUMMYFUNCTION("""COMPUTED_VALUE"""),31.73)</f>
        <v>31.73</v>
      </c>
      <c r="E204" s="1">
        <f>IFERROR(__xludf.DUMMYFUNCTION("""COMPUTED_VALUE"""),31.89)</f>
        <v>31.89</v>
      </c>
      <c r="F204" s="1">
        <f>IFERROR(__xludf.DUMMYFUNCTION("""COMPUTED_VALUE"""),591544.0)</f>
        <v>591544</v>
      </c>
      <c r="G204" s="2" t="s">
        <v>4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IFERROR(__xludf.DUMMYFUNCTION("""COMPUTED_VALUE"""),31.43)</f>
        <v>31.43</v>
      </c>
      <c r="C205" s="1">
        <f>IFERROR(__xludf.DUMMYFUNCTION("""COMPUTED_VALUE"""),34.8)</f>
        <v>34.8</v>
      </c>
      <c r="D205" s="1">
        <f>IFERROR(__xludf.DUMMYFUNCTION("""COMPUTED_VALUE"""),31.27)</f>
        <v>31.27</v>
      </c>
      <c r="E205" s="1">
        <f>IFERROR(__xludf.DUMMYFUNCTION("""COMPUTED_VALUE"""),34.8)</f>
        <v>34.8</v>
      </c>
      <c r="F205" s="1">
        <f>IFERROR(__xludf.DUMMYFUNCTION("""COMPUTED_VALUE"""),845392.0)</f>
        <v>845392</v>
      </c>
      <c r="G205" s="2" t="s">
        <v>4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IFERROR(__xludf.DUMMYFUNCTION("""COMPUTED_VALUE"""),35.33)</f>
        <v>35.33</v>
      </c>
      <c r="C206" s="1">
        <f>IFERROR(__xludf.DUMMYFUNCTION("""COMPUTED_VALUE"""),37.07)</f>
        <v>37.07</v>
      </c>
      <c r="D206" s="1">
        <f>IFERROR(__xludf.DUMMYFUNCTION("""COMPUTED_VALUE"""),35.28)</f>
        <v>35.28</v>
      </c>
      <c r="E206" s="1">
        <f>IFERROR(__xludf.DUMMYFUNCTION("""COMPUTED_VALUE"""),35.65)</f>
        <v>35.65</v>
      </c>
      <c r="F206" s="1">
        <f>IFERROR(__xludf.DUMMYFUNCTION("""COMPUTED_VALUE"""),730785.0)</f>
        <v>730785</v>
      </c>
      <c r="G206" s="2" t="s">
        <v>4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IFERROR(__xludf.DUMMYFUNCTION("""COMPUTED_VALUE"""),35.97)</f>
        <v>35.97</v>
      </c>
      <c r="C207" s="1">
        <f>IFERROR(__xludf.DUMMYFUNCTION("""COMPUTED_VALUE"""),36.12)</f>
        <v>36.12</v>
      </c>
      <c r="D207" s="1">
        <f>IFERROR(__xludf.DUMMYFUNCTION("""COMPUTED_VALUE"""),34.8)</f>
        <v>34.8</v>
      </c>
      <c r="E207" s="1">
        <f>IFERROR(__xludf.DUMMYFUNCTION("""COMPUTED_VALUE"""),35.71)</f>
        <v>35.71</v>
      </c>
      <c r="F207" s="1">
        <f>IFERROR(__xludf.DUMMYFUNCTION("""COMPUTED_VALUE"""),496337.0)</f>
        <v>496337</v>
      </c>
      <c r="G207" s="2" t="s">
        <v>4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IFERROR(__xludf.DUMMYFUNCTION("""COMPUTED_VALUE"""),35.47)</f>
        <v>35.47</v>
      </c>
      <c r="C208" s="1">
        <f>IFERROR(__xludf.DUMMYFUNCTION("""COMPUTED_VALUE"""),37.13)</f>
        <v>37.13</v>
      </c>
      <c r="D208" s="1">
        <f>IFERROR(__xludf.DUMMYFUNCTION("""COMPUTED_VALUE"""),34.78)</f>
        <v>34.78</v>
      </c>
      <c r="E208" s="1">
        <f>IFERROR(__xludf.DUMMYFUNCTION("""COMPUTED_VALUE"""),36.75)</f>
        <v>36.75</v>
      </c>
      <c r="F208" s="1">
        <f>IFERROR(__xludf.DUMMYFUNCTION("""COMPUTED_VALUE"""),575460.0)</f>
        <v>575460</v>
      </c>
      <c r="G208" s="2" t="s">
        <v>4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IFERROR(__xludf.DUMMYFUNCTION("""COMPUTED_VALUE"""),36.07)</f>
        <v>36.07</v>
      </c>
      <c r="C209" s="1">
        <f>IFERROR(__xludf.DUMMYFUNCTION("""COMPUTED_VALUE"""),36.13)</f>
        <v>36.13</v>
      </c>
      <c r="D209" s="1">
        <f>IFERROR(__xludf.DUMMYFUNCTION("""COMPUTED_VALUE"""),34.25)</f>
        <v>34.25</v>
      </c>
      <c r="E209" s="1">
        <f>IFERROR(__xludf.DUMMYFUNCTION("""COMPUTED_VALUE"""),34.26)</f>
        <v>34.26</v>
      </c>
      <c r="F209" s="1">
        <f>IFERROR(__xludf.DUMMYFUNCTION("""COMPUTED_VALUE"""),648296.0)</f>
        <v>648296</v>
      </c>
      <c r="G209" s="2" t="s">
        <v>4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IFERROR(__xludf.DUMMYFUNCTION("""COMPUTED_VALUE"""),35.3)</f>
        <v>35.3</v>
      </c>
      <c r="C210" s="1">
        <f>IFERROR(__xludf.DUMMYFUNCTION("""COMPUTED_VALUE"""),35.4)</f>
        <v>35.4</v>
      </c>
      <c r="D210" s="1">
        <f>IFERROR(__xludf.DUMMYFUNCTION("""COMPUTED_VALUE"""),33.13)</f>
        <v>33.13</v>
      </c>
      <c r="E210" s="1">
        <f>IFERROR(__xludf.DUMMYFUNCTION("""COMPUTED_VALUE"""),34.05)</f>
        <v>34.05</v>
      </c>
      <c r="F210" s="1">
        <f>IFERROR(__xludf.DUMMYFUNCTION("""COMPUTED_VALUE"""),466730.0)</f>
        <v>466730</v>
      </c>
      <c r="G210" s="2" t="s">
        <v>4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IFERROR(__xludf.DUMMYFUNCTION("""COMPUTED_VALUE"""),34.5)</f>
        <v>34.5</v>
      </c>
      <c r="C211" s="1">
        <f>IFERROR(__xludf.DUMMYFUNCTION("""COMPUTED_VALUE"""),36.37)</f>
        <v>36.37</v>
      </c>
      <c r="D211" s="1">
        <f>IFERROR(__xludf.DUMMYFUNCTION("""COMPUTED_VALUE"""),33.78)</f>
        <v>33.78</v>
      </c>
      <c r="E211" s="1">
        <f>IFERROR(__xludf.DUMMYFUNCTION("""COMPUTED_VALUE"""),36.17)</f>
        <v>36.17</v>
      </c>
      <c r="F211" s="1">
        <f>IFERROR(__xludf.DUMMYFUNCTION("""COMPUTED_VALUE"""),659743.0)</f>
        <v>659743</v>
      </c>
      <c r="G211" s="2" t="s">
        <v>4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IFERROR(__xludf.DUMMYFUNCTION("""COMPUTED_VALUE"""),35.66)</f>
        <v>35.66</v>
      </c>
      <c r="C212" s="1">
        <f>IFERROR(__xludf.DUMMYFUNCTION("""COMPUTED_VALUE"""),37.34)</f>
        <v>37.34</v>
      </c>
      <c r="D212" s="1">
        <f>IFERROR(__xludf.DUMMYFUNCTION("""COMPUTED_VALUE"""),35.63)</f>
        <v>35.63</v>
      </c>
      <c r="E212" s="1">
        <f>IFERROR(__xludf.DUMMYFUNCTION("""COMPUTED_VALUE"""),37.13)</f>
        <v>37.13</v>
      </c>
      <c r="F212" s="1">
        <f>IFERROR(__xludf.DUMMYFUNCTION("""COMPUTED_VALUE"""),492706.0)</f>
        <v>492706</v>
      </c>
      <c r="G212" s="2" t="s">
        <v>4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IFERROR(__xludf.DUMMYFUNCTION("""COMPUTED_VALUE"""),36.75)</f>
        <v>36.75</v>
      </c>
      <c r="C213" s="1">
        <f>IFERROR(__xludf.DUMMYFUNCTION("""COMPUTED_VALUE"""),36.94)</f>
        <v>36.94</v>
      </c>
      <c r="D213" s="1">
        <f>IFERROR(__xludf.DUMMYFUNCTION("""COMPUTED_VALUE"""),33.7)</f>
        <v>33.7</v>
      </c>
      <c r="E213" s="1">
        <f>IFERROR(__xludf.DUMMYFUNCTION("""COMPUTED_VALUE"""),34.14)</f>
        <v>34.14</v>
      </c>
      <c r="F213" s="1">
        <f>IFERROR(__xludf.DUMMYFUNCTION("""COMPUTED_VALUE"""),799752.0)</f>
        <v>799752</v>
      </c>
      <c r="G213" s="2" t="s">
        <v>4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IFERROR(__xludf.DUMMYFUNCTION("""COMPUTED_VALUE"""),33.6)</f>
        <v>33.6</v>
      </c>
      <c r="C214" s="1">
        <f>IFERROR(__xludf.DUMMYFUNCTION("""COMPUTED_VALUE"""),34.08)</f>
        <v>34.08</v>
      </c>
      <c r="D214" s="1">
        <f>IFERROR(__xludf.DUMMYFUNCTION("""COMPUTED_VALUE"""),32.64)</f>
        <v>32.64</v>
      </c>
      <c r="E214" s="1">
        <f>IFERROR(__xludf.DUMMYFUNCTION("""COMPUTED_VALUE"""),32.74)</f>
        <v>32.74</v>
      </c>
      <c r="F214" s="1">
        <f>IFERROR(__xludf.DUMMYFUNCTION("""COMPUTED_VALUE"""),571943.0)</f>
        <v>571943</v>
      </c>
      <c r="G214" s="2" t="s">
        <v>4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IFERROR(__xludf.DUMMYFUNCTION("""COMPUTED_VALUE"""),33.09)</f>
        <v>33.09</v>
      </c>
      <c r="C215" s="1">
        <f>IFERROR(__xludf.DUMMYFUNCTION("""COMPUTED_VALUE"""),34.79)</f>
        <v>34.79</v>
      </c>
      <c r="D215" s="1">
        <f>IFERROR(__xludf.DUMMYFUNCTION("""COMPUTED_VALUE"""),32.96)</f>
        <v>32.96</v>
      </c>
      <c r="E215" s="1">
        <f>IFERROR(__xludf.DUMMYFUNCTION("""COMPUTED_VALUE"""),33.35)</f>
        <v>33.35</v>
      </c>
      <c r="F215" s="1">
        <f>IFERROR(__xludf.DUMMYFUNCTION("""COMPUTED_VALUE"""),560414.0)</f>
        <v>560414</v>
      </c>
      <c r="G215" s="2" t="s">
        <v>4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IFERROR(__xludf.DUMMYFUNCTION("""COMPUTED_VALUE"""),34.27)</f>
        <v>34.27</v>
      </c>
      <c r="C216" s="1">
        <f>IFERROR(__xludf.DUMMYFUNCTION("""COMPUTED_VALUE"""),38.21)</f>
        <v>38.21</v>
      </c>
      <c r="D216" s="1">
        <f>IFERROR(__xludf.DUMMYFUNCTION("""COMPUTED_VALUE"""),34.24)</f>
        <v>34.24</v>
      </c>
      <c r="E216" s="1">
        <f>IFERROR(__xludf.DUMMYFUNCTION("""COMPUTED_VALUE"""),35.84)</f>
        <v>35.84</v>
      </c>
      <c r="F216" s="1">
        <f>IFERROR(__xludf.DUMMYFUNCTION("""COMPUTED_VALUE"""),1250644.0)</f>
        <v>1250644</v>
      </c>
      <c r="G216" s="2" t="s">
        <v>4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IFERROR(__xludf.DUMMYFUNCTION("""COMPUTED_VALUE"""),35.73)</f>
        <v>35.73</v>
      </c>
      <c r="C217" s="1">
        <f>IFERROR(__xludf.DUMMYFUNCTION("""COMPUTED_VALUE"""),35.99)</f>
        <v>35.99</v>
      </c>
      <c r="D217" s="1">
        <f>IFERROR(__xludf.DUMMYFUNCTION("""COMPUTED_VALUE"""),33.51)</f>
        <v>33.51</v>
      </c>
      <c r="E217" s="1">
        <f>IFERROR(__xludf.DUMMYFUNCTION("""COMPUTED_VALUE"""),33.87)</f>
        <v>33.87</v>
      </c>
      <c r="F217" s="1">
        <f>IFERROR(__xludf.DUMMYFUNCTION("""COMPUTED_VALUE"""),678589.0)</f>
        <v>678589</v>
      </c>
      <c r="G217" s="2" t="s">
        <v>4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IFERROR(__xludf.DUMMYFUNCTION("""COMPUTED_VALUE"""),33.0)</f>
        <v>33</v>
      </c>
      <c r="C218" s="1">
        <f>IFERROR(__xludf.DUMMYFUNCTION("""COMPUTED_VALUE"""),34.29)</f>
        <v>34.29</v>
      </c>
      <c r="D218" s="1">
        <f>IFERROR(__xludf.DUMMYFUNCTION("""COMPUTED_VALUE"""),32.37)</f>
        <v>32.37</v>
      </c>
      <c r="E218" s="1">
        <f>IFERROR(__xludf.DUMMYFUNCTION("""COMPUTED_VALUE"""),32.9)</f>
        <v>32.9</v>
      </c>
      <c r="F218" s="1">
        <f>IFERROR(__xludf.DUMMYFUNCTION("""COMPUTED_VALUE"""),645945.0)</f>
        <v>645945</v>
      </c>
      <c r="G218" s="2" t="s">
        <v>4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IFERROR(__xludf.DUMMYFUNCTION("""COMPUTED_VALUE"""),33.37)</f>
        <v>33.37</v>
      </c>
      <c r="C219" s="1">
        <f>IFERROR(__xludf.DUMMYFUNCTION("""COMPUTED_VALUE"""),35.74)</f>
        <v>35.74</v>
      </c>
      <c r="D219" s="1">
        <f>IFERROR(__xludf.DUMMYFUNCTION("""COMPUTED_VALUE"""),33.37)</f>
        <v>33.37</v>
      </c>
      <c r="E219" s="1">
        <f>IFERROR(__xludf.DUMMYFUNCTION("""COMPUTED_VALUE"""),35.22)</f>
        <v>35.22</v>
      </c>
      <c r="F219" s="1">
        <f>IFERROR(__xludf.DUMMYFUNCTION("""COMPUTED_VALUE"""),1072960.0)</f>
        <v>1072960</v>
      </c>
      <c r="G219" s="2" t="s">
        <v>4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IFERROR(__xludf.DUMMYFUNCTION("""COMPUTED_VALUE"""),34.63)</f>
        <v>34.63</v>
      </c>
      <c r="C220" s="1">
        <f>IFERROR(__xludf.DUMMYFUNCTION("""COMPUTED_VALUE"""),35.24)</f>
        <v>35.24</v>
      </c>
      <c r="D220" s="1">
        <f>IFERROR(__xludf.DUMMYFUNCTION("""COMPUTED_VALUE"""),34.17)</f>
        <v>34.17</v>
      </c>
      <c r="E220" s="1">
        <f>IFERROR(__xludf.DUMMYFUNCTION("""COMPUTED_VALUE"""),34.76)</f>
        <v>34.76</v>
      </c>
      <c r="F220" s="1">
        <f>IFERROR(__xludf.DUMMYFUNCTION("""COMPUTED_VALUE"""),706292.0)</f>
        <v>706292</v>
      </c>
      <c r="G220" s="2" t="s">
        <v>4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IFERROR(__xludf.DUMMYFUNCTION("""COMPUTED_VALUE"""),34.77)</f>
        <v>34.77</v>
      </c>
      <c r="C221" s="1">
        <f>IFERROR(__xludf.DUMMYFUNCTION("""COMPUTED_VALUE"""),35.34)</f>
        <v>35.34</v>
      </c>
      <c r="D221" s="1">
        <f>IFERROR(__xludf.DUMMYFUNCTION("""COMPUTED_VALUE"""),33.84)</f>
        <v>33.84</v>
      </c>
      <c r="E221" s="1">
        <f>IFERROR(__xludf.DUMMYFUNCTION("""COMPUTED_VALUE"""),35.33)</f>
        <v>35.33</v>
      </c>
      <c r="F221" s="1">
        <f>IFERROR(__xludf.DUMMYFUNCTION("""COMPUTED_VALUE"""),930253.0)</f>
        <v>930253</v>
      </c>
      <c r="G221" s="2" t="s">
        <v>4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IFERROR(__xludf.DUMMYFUNCTION("""COMPUTED_VALUE"""),34.95)</f>
        <v>34.95</v>
      </c>
      <c r="C222" s="1">
        <f>IFERROR(__xludf.DUMMYFUNCTION("""COMPUTED_VALUE"""),35.39)</f>
        <v>35.39</v>
      </c>
      <c r="D222" s="1">
        <f>IFERROR(__xludf.DUMMYFUNCTION("""COMPUTED_VALUE"""),33.88)</f>
        <v>33.88</v>
      </c>
      <c r="E222" s="1">
        <f>IFERROR(__xludf.DUMMYFUNCTION("""COMPUTED_VALUE"""),34.82)</f>
        <v>34.82</v>
      </c>
      <c r="F222" s="1">
        <f>IFERROR(__xludf.DUMMYFUNCTION("""COMPUTED_VALUE"""),816704.0)</f>
        <v>816704</v>
      </c>
      <c r="G222" s="2" t="s">
        <v>4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IFERROR(__xludf.DUMMYFUNCTION("""COMPUTED_VALUE"""),35.6)</f>
        <v>35.6</v>
      </c>
      <c r="C223" s="1">
        <f>IFERROR(__xludf.DUMMYFUNCTION("""COMPUTED_VALUE"""),41.37)</f>
        <v>41.37</v>
      </c>
      <c r="D223" s="1">
        <f>IFERROR(__xludf.DUMMYFUNCTION("""COMPUTED_VALUE"""),35.48)</f>
        <v>35.48</v>
      </c>
      <c r="E223" s="1">
        <f>IFERROR(__xludf.DUMMYFUNCTION("""COMPUTED_VALUE"""),41.31)</f>
        <v>41.31</v>
      </c>
      <c r="F223" s="1">
        <f>IFERROR(__xludf.DUMMYFUNCTION("""COMPUTED_VALUE"""),2110392.0)</f>
        <v>2110392</v>
      </c>
      <c r="G223" s="2" t="s">
        <v>4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IFERROR(__xludf.DUMMYFUNCTION("""COMPUTED_VALUE"""),42.5)</f>
        <v>42.5</v>
      </c>
      <c r="C224" s="1">
        <f>IFERROR(__xludf.DUMMYFUNCTION("""COMPUTED_VALUE"""),46.65)</f>
        <v>46.65</v>
      </c>
      <c r="D224" s="1">
        <f>IFERROR(__xludf.DUMMYFUNCTION("""COMPUTED_VALUE"""),42.26)</f>
        <v>42.26</v>
      </c>
      <c r="E224" s="1">
        <f>IFERROR(__xludf.DUMMYFUNCTION("""COMPUTED_VALUE"""),44.95)</f>
        <v>44.95</v>
      </c>
      <c r="F224" s="1">
        <f>IFERROR(__xludf.DUMMYFUNCTION("""COMPUTED_VALUE"""),1736533.0)</f>
        <v>1736533</v>
      </c>
      <c r="G224" s="2" t="s">
        <v>4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IFERROR(__xludf.DUMMYFUNCTION("""COMPUTED_VALUE"""),45.2)</f>
        <v>45.2</v>
      </c>
      <c r="C225" s="1">
        <f>IFERROR(__xludf.DUMMYFUNCTION("""COMPUTED_VALUE"""),45.81)</f>
        <v>45.81</v>
      </c>
      <c r="D225" s="1">
        <f>IFERROR(__xludf.DUMMYFUNCTION("""COMPUTED_VALUE"""),43.87)</f>
        <v>43.87</v>
      </c>
      <c r="E225" s="1">
        <f>IFERROR(__xludf.DUMMYFUNCTION("""COMPUTED_VALUE"""),45.58)</f>
        <v>45.58</v>
      </c>
      <c r="F225" s="1">
        <f>IFERROR(__xludf.DUMMYFUNCTION("""COMPUTED_VALUE"""),1014648.0)</f>
        <v>1014648</v>
      </c>
      <c r="G225" s="2" t="s">
        <v>4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IFERROR(__xludf.DUMMYFUNCTION("""COMPUTED_VALUE"""),46.05)</f>
        <v>46.05</v>
      </c>
      <c r="C226" s="1">
        <f>IFERROR(__xludf.DUMMYFUNCTION("""COMPUTED_VALUE"""),46.74)</f>
        <v>46.74</v>
      </c>
      <c r="D226" s="1">
        <f>IFERROR(__xludf.DUMMYFUNCTION("""COMPUTED_VALUE"""),44.07)</f>
        <v>44.07</v>
      </c>
      <c r="E226" s="1">
        <f>IFERROR(__xludf.DUMMYFUNCTION("""COMPUTED_VALUE"""),44.52)</f>
        <v>44.52</v>
      </c>
      <c r="F226" s="1">
        <f>IFERROR(__xludf.DUMMYFUNCTION("""COMPUTED_VALUE"""),1020973.0)</f>
        <v>1020973</v>
      </c>
      <c r="G226" s="2" t="s">
        <v>4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IFERROR(__xludf.DUMMYFUNCTION("""COMPUTED_VALUE"""),46.55)</f>
        <v>46.55</v>
      </c>
      <c r="C227" s="1">
        <f>IFERROR(__xludf.DUMMYFUNCTION("""COMPUTED_VALUE"""),46.91)</f>
        <v>46.91</v>
      </c>
      <c r="D227" s="1">
        <f>IFERROR(__xludf.DUMMYFUNCTION("""COMPUTED_VALUE"""),43.82)</f>
        <v>43.82</v>
      </c>
      <c r="E227" s="1">
        <f>IFERROR(__xludf.DUMMYFUNCTION("""COMPUTED_VALUE"""),43.95)</f>
        <v>43.95</v>
      </c>
      <c r="F227" s="1">
        <f>IFERROR(__xludf.DUMMYFUNCTION("""COMPUTED_VALUE"""),821896.0)</f>
        <v>821896</v>
      </c>
      <c r="G227" s="2" t="s">
        <v>4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IFERROR(__xludf.DUMMYFUNCTION("""COMPUTED_VALUE"""),43.8)</f>
        <v>43.8</v>
      </c>
      <c r="C228" s="1">
        <f>IFERROR(__xludf.DUMMYFUNCTION("""COMPUTED_VALUE"""),45.02)</f>
        <v>45.02</v>
      </c>
      <c r="D228" s="1">
        <f>IFERROR(__xludf.DUMMYFUNCTION("""COMPUTED_VALUE"""),43.29)</f>
        <v>43.29</v>
      </c>
      <c r="E228" s="1">
        <f>IFERROR(__xludf.DUMMYFUNCTION("""COMPUTED_VALUE"""),44.29)</f>
        <v>44.29</v>
      </c>
      <c r="F228" s="1">
        <f>IFERROR(__xludf.DUMMYFUNCTION("""COMPUTED_VALUE"""),522039.0)</f>
        <v>522039</v>
      </c>
      <c r="G228" s="2" t="s">
        <v>4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IFERROR(__xludf.DUMMYFUNCTION("""COMPUTED_VALUE"""),44.2)</f>
        <v>44.2</v>
      </c>
      <c r="C229" s="1">
        <f>IFERROR(__xludf.DUMMYFUNCTION("""COMPUTED_VALUE"""),45.36)</f>
        <v>45.36</v>
      </c>
      <c r="D229" s="1">
        <f>IFERROR(__xludf.DUMMYFUNCTION("""COMPUTED_VALUE"""),43.5)</f>
        <v>43.5</v>
      </c>
      <c r="E229" s="1">
        <f>IFERROR(__xludf.DUMMYFUNCTION("""COMPUTED_VALUE"""),44.19)</f>
        <v>44.19</v>
      </c>
      <c r="F229" s="1">
        <f>IFERROR(__xludf.DUMMYFUNCTION("""COMPUTED_VALUE"""),704143.0)</f>
        <v>704143</v>
      </c>
      <c r="G229" s="2" t="s">
        <v>4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IFERROR(__xludf.DUMMYFUNCTION("""COMPUTED_VALUE"""),43.97)</f>
        <v>43.97</v>
      </c>
      <c r="C230" s="1">
        <f>IFERROR(__xludf.DUMMYFUNCTION("""COMPUTED_VALUE"""),44.59)</f>
        <v>44.59</v>
      </c>
      <c r="D230" s="1">
        <f>IFERROR(__xludf.DUMMYFUNCTION("""COMPUTED_VALUE"""),42.25)</f>
        <v>42.25</v>
      </c>
      <c r="E230" s="1">
        <f>IFERROR(__xludf.DUMMYFUNCTION("""COMPUTED_VALUE"""),42.25)</f>
        <v>42.25</v>
      </c>
      <c r="F230" s="1">
        <f>IFERROR(__xludf.DUMMYFUNCTION("""COMPUTED_VALUE"""),688976.0)</f>
        <v>688976</v>
      </c>
      <c r="G230" s="2" t="s">
        <v>4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IFERROR(__xludf.DUMMYFUNCTION("""COMPUTED_VALUE"""),41.5)</f>
        <v>41.5</v>
      </c>
      <c r="C231" s="1">
        <f>IFERROR(__xludf.DUMMYFUNCTION("""COMPUTED_VALUE"""),41.86)</f>
        <v>41.86</v>
      </c>
      <c r="D231" s="1">
        <f>IFERROR(__xludf.DUMMYFUNCTION("""COMPUTED_VALUE"""),40.21)</f>
        <v>40.21</v>
      </c>
      <c r="E231" s="1">
        <f>IFERROR(__xludf.DUMMYFUNCTION("""COMPUTED_VALUE"""),40.79)</f>
        <v>40.79</v>
      </c>
      <c r="F231" s="1">
        <f>IFERROR(__xludf.DUMMYFUNCTION("""COMPUTED_VALUE"""),561233.0)</f>
        <v>561233</v>
      </c>
      <c r="G231" s="2" t="s">
        <v>4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IFERROR(__xludf.DUMMYFUNCTION("""COMPUTED_VALUE"""),40.72)</f>
        <v>40.72</v>
      </c>
      <c r="C232" s="1">
        <f>IFERROR(__xludf.DUMMYFUNCTION("""COMPUTED_VALUE"""),41.09)</f>
        <v>41.09</v>
      </c>
      <c r="D232" s="1">
        <f>IFERROR(__xludf.DUMMYFUNCTION("""COMPUTED_VALUE"""),39.62)</f>
        <v>39.62</v>
      </c>
      <c r="E232" s="1">
        <f>IFERROR(__xludf.DUMMYFUNCTION("""COMPUTED_VALUE"""),40.42)</f>
        <v>40.42</v>
      </c>
      <c r="F232" s="1">
        <f>IFERROR(__xludf.DUMMYFUNCTION("""COMPUTED_VALUE"""),449701.0)</f>
        <v>449701</v>
      </c>
      <c r="G232" s="2" t="s">
        <v>4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IFERROR(__xludf.DUMMYFUNCTION("""COMPUTED_VALUE"""),40.42)</f>
        <v>40.42</v>
      </c>
      <c r="C233" s="1">
        <f>IFERROR(__xludf.DUMMYFUNCTION("""COMPUTED_VALUE"""),42.88)</f>
        <v>42.88</v>
      </c>
      <c r="D233" s="1">
        <f>IFERROR(__xludf.DUMMYFUNCTION("""COMPUTED_VALUE"""),40.42)</f>
        <v>40.42</v>
      </c>
      <c r="E233" s="1">
        <f>IFERROR(__xludf.DUMMYFUNCTION("""COMPUTED_VALUE"""),41.7)</f>
        <v>41.7</v>
      </c>
      <c r="F233" s="1">
        <f>IFERROR(__xludf.DUMMYFUNCTION("""COMPUTED_VALUE"""),376241.0)</f>
        <v>376241</v>
      </c>
      <c r="G233" s="2" t="s">
        <v>4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IFERROR(__xludf.DUMMYFUNCTION("""COMPUTED_VALUE"""),41.53)</f>
        <v>41.53</v>
      </c>
      <c r="C234" s="1">
        <f>IFERROR(__xludf.DUMMYFUNCTION("""COMPUTED_VALUE"""),41.73)</f>
        <v>41.73</v>
      </c>
      <c r="D234" s="1">
        <f>IFERROR(__xludf.DUMMYFUNCTION("""COMPUTED_VALUE"""),39.8)</f>
        <v>39.8</v>
      </c>
      <c r="E234" s="1">
        <f>IFERROR(__xludf.DUMMYFUNCTION("""COMPUTED_VALUE"""),40.45)</f>
        <v>40.45</v>
      </c>
      <c r="F234" s="1">
        <f>IFERROR(__xludf.DUMMYFUNCTION("""COMPUTED_VALUE"""),391742.0)</f>
        <v>391742</v>
      </c>
      <c r="G234" s="2" t="s">
        <v>4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IFERROR(__xludf.DUMMYFUNCTION("""COMPUTED_VALUE"""),39.91)</f>
        <v>39.91</v>
      </c>
      <c r="C235" s="1">
        <f>IFERROR(__xludf.DUMMYFUNCTION("""COMPUTED_VALUE"""),40.58)</f>
        <v>40.58</v>
      </c>
      <c r="D235" s="1">
        <f>IFERROR(__xludf.DUMMYFUNCTION("""COMPUTED_VALUE"""),38.51)</f>
        <v>38.51</v>
      </c>
      <c r="E235" s="1">
        <f>IFERROR(__xludf.DUMMYFUNCTION("""COMPUTED_VALUE"""),39.94)</f>
        <v>39.94</v>
      </c>
      <c r="F235" s="1">
        <f>IFERROR(__xludf.DUMMYFUNCTION("""COMPUTED_VALUE"""),421949.0)</f>
        <v>421949</v>
      </c>
      <c r="G235" s="2" t="s">
        <v>4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IFERROR(__xludf.DUMMYFUNCTION("""COMPUTED_VALUE"""),40.2)</f>
        <v>40.2</v>
      </c>
      <c r="C236" s="1">
        <f>IFERROR(__xludf.DUMMYFUNCTION("""COMPUTED_VALUE"""),40.94)</f>
        <v>40.94</v>
      </c>
      <c r="D236" s="1">
        <f>IFERROR(__xludf.DUMMYFUNCTION("""COMPUTED_VALUE"""),38.6)</f>
        <v>38.6</v>
      </c>
      <c r="E236" s="1">
        <f>IFERROR(__xludf.DUMMYFUNCTION("""COMPUTED_VALUE"""),39.38)</f>
        <v>39.38</v>
      </c>
      <c r="F236" s="1">
        <f>IFERROR(__xludf.DUMMYFUNCTION("""COMPUTED_VALUE"""),580454.0)</f>
        <v>580454</v>
      </c>
      <c r="G236" s="2" t="s">
        <v>4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IFERROR(__xludf.DUMMYFUNCTION("""COMPUTED_VALUE"""),39.8)</f>
        <v>39.8</v>
      </c>
      <c r="C237" s="1">
        <f>IFERROR(__xludf.DUMMYFUNCTION("""COMPUTED_VALUE"""),41.92)</f>
        <v>41.92</v>
      </c>
      <c r="D237" s="1">
        <f>IFERROR(__xludf.DUMMYFUNCTION("""COMPUTED_VALUE"""),39.72)</f>
        <v>39.72</v>
      </c>
      <c r="E237" s="1">
        <f>IFERROR(__xludf.DUMMYFUNCTION("""COMPUTED_VALUE"""),40.97)</f>
        <v>40.97</v>
      </c>
      <c r="F237" s="1">
        <f>IFERROR(__xludf.DUMMYFUNCTION("""COMPUTED_VALUE"""),1191129.0)</f>
        <v>1191129</v>
      </c>
      <c r="G237" s="2" t="s">
        <v>4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IFERROR(__xludf.DUMMYFUNCTION("""COMPUTED_VALUE"""),42.76)</f>
        <v>42.76</v>
      </c>
      <c r="C238" s="1">
        <f>IFERROR(__xludf.DUMMYFUNCTION("""COMPUTED_VALUE"""),44.13)</f>
        <v>44.13</v>
      </c>
      <c r="D238" s="1">
        <f>IFERROR(__xludf.DUMMYFUNCTION("""COMPUTED_VALUE"""),42.23)</f>
        <v>42.23</v>
      </c>
      <c r="E238" s="1">
        <f>IFERROR(__xludf.DUMMYFUNCTION("""COMPUTED_VALUE"""),42.56)</f>
        <v>42.56</v>
      </c>
      <c r="F238" s="1">
        <f>IFERROR(__xludf.DUMMYFUNCTION("""COMPUTED_VALUE"""),840683.0)</f>
        <v>840683</v>
      </c>
      <c r="G238" s="2" t="s">
        <v>4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IFERROR(__xludf.DUMMYFUNCTION("""COMPUTED_VALUE"""),42.8)</f>
        <v>42.8</v>
      </c>
      <c r="C239" s="1">
        <f>IFERROR(__xludf.DUMMYFUNCTION("""COMPUTED_VALUE"""),44.27)</f>
        <v>44.27</v>
      </c>
      <c r="D239" s="1">
        <f>IFERROR(__xludf.DUMMYFUNCTION("""COMPUTED_VALUE"""),41.12)</f>
        <v>41.12</v>
      </c>
      <c r="E239" s="1">
        <f>IFERROR(__xludf.DUMMYFUNCTION("""COMPUTED_VALUE"""),42.96)</f>
        <v>42.96</v>
      </c>
      <c r="F239" s="1">
        <f>IFERROR(__xludf.DUMMYFUNCTION("""COMPUTED_VALUE"""),684467.0)</f>
        <v>684467</v>
      </c>
      <c r="G239" s="2" t="s">
        <v>4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IFERROR(__xludf.DUMMYFUNCTION("""COMPUTED_VALUE"""),42.76)</f>
        <v>42.76</v>
      </c>
      <c r="C240" s="1">
        <f>IFERROR(__xludf.DUMMYFUNCTION("""COMPUTED_VALUE"""),43.99)</f>
        <v>43.99</v>
      </c>
      <c r="D240" s="1">
        <f>IFERROR(__xludf.DUMMYFUNCTION("""COMPUTED_VALUE"""),41.75)</f>
        <v>41.75</v>
      </c>
      <c r="E240" s="1">
        <f>IFERROR(__xludf.DUMMYFUNCTION("""COMPUTED_VALUE"""),41.98)</f>
        <v>41.98</v>
      </c>
      <c r="F240" s="1">
        <f>IFERROR(__xludf.DUMMYFUNCTION("""COMPUTED_VALUE"""),469353.0)</f>
        <v>469353</v>
      </c>
      <c r="G240" s="2" t="s">
        <v>4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IFERROR(__xludf.DUMMYFUNCTION("""COMPUTED_VALUE"""),41.38)</f>
        <v>41.38</v>
      </c>
      <c r="C241" s="1">
        <f>IFERROR(__xludf.DUMMYFUNCTION("""COMPUTED_VALUE"""),42.11)</f>
        <v>42.11</v>
      </c>
      <c r="D241" s="1">
        <f>IFERROR(__xludf.DUMMYFUNCTION("""COMPUTED_VALUE"""),40.46)</f>
        <v>40.46</v>
      </c>
      <c r="E241" s="1">
        <f>IFERROR(__xludf.DUMMYFUNCTION("""COMPUTED_VALUE"""),41.54)</f>
        <v>41.54</v>
      </c>
      <c r="F241" s="1">
        <f>IFERROR(__xludf.DUMMYFUNCTION("""COMPUTED_VALUE"""),410382.0)</f>
        <v>410382</v>
      </c>
      <c r="G241" s="2" t="s">
        <v>4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IFERROR(__xludf.DUMMYFUNCTION("""COMPUTED_VALUE"""),40.93)</f>
        <v>40.93</v>
      </c>
      <c r="C242" s="1">
        <f>IFERROR(__xludf.DUMMYFUNCTION("""COMPUTED_VALUE"""),41.86)</f>
        <v>41.86</v>
      </c>
      <c r="D242" s="1">
        <f>IFERROR(__xludf.DUMMYFUNCTION("""COMPUTED_VALUE"""),40.41)</f>
        <v>40.41</v>
      </c>
      <c r="E242" s="1">
        <f>IFERROR(__xludf.DUMMYFUNCTION("""COMPUTED_VALUE"""),40.75)</f>
        <v>40.75</v>
      </c>
      <c r="F242" s="1">
        <f>IFERROR(__xludf.DUMMYFUNCTION("""COMPUTED_VALUE"""),283032.0)</f>
        <v>283032</v>
      </c>
      <c r="G242" s="2" t="s">
        <v>4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IFERROR(__xludf.DUMMYFUNCTION("""COMPUTED_VALUE"""),40.67)</f>
        <v>40.67</v>
      </c>
      <c r="C243" s="1">
        <f>IFERROR(__xludf.DUMMYFUNCTION("""COMPUTED_VALUE"""),41.25)</f>
        <v>41.25</v>
      </c>
      <c r="D243" s="1">
        <f>IFERROR(__xludf.DUMMYFUNCTION("""COMPUTED_VALUE"""),39.98)</f>
        <v>39.98</v>
      </c>
      <c r="E243" s="1">
        <f>IFERROR(__xludf.DUMMYFUNCTION("""COMPUTED_VALUE"""),40.96)</f>
        <v>40.96</v>
      </c>
      <c r="F243" s="1">
        <f>IFERROR(__xludf.DUMMYFUNCTION("""COMPUTED_VALUE"""),304516.0)</f>
        <v>304516</v>
      </c>
      <c r="G243" s="2" t="s">
        <v>4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IFERROR(__xludf.DUMMYFUNCTION("""COMPUTED_VALUE"""),41.24)</f>
        <v>41.24</v>
      </c>
      <c r="C244" s="1">
        <f>IFERROR(__xludf.DUMMYFUNCTION("""COMPUTED_VALUE"""),41.56)</f>
        <v>41.56</v>
      </c>
      <c r="D244" s="1">
        <f>IFERROR(__xludf.DUMMYFUNCTION("""COMPUTED_VALUE"""),39.66)</f>
        <v>39.66</v>
      </c>
      <c r="E244" s="1">
        <f>IFERROR(__xludf.DUMMYFUNCTION("""COMPUTED_VALUE"""),40.0)</f>
        <v>40</v>
      </c>
      <c r="F244" s="1">
        <f>IFERROR(__xludf.DUMMYFUNCTION("""COMPUTED_VALUE"""),343615.0)</f>
        <v>343615</v>
      </c>
      <c r="G244" s="2" t="s">
        <v>4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IFERROR(__xludf.DUMMYFUNCTION("""COMPUTED_VALUE"""),39.44)</f>
        <v>39.44</v>
      </c>
      <c r="C245" s="1">
        <f>IFERROR(__xludf.DUMMYFUNCTION("""COMPUTED_VALUE"""),40.4)</f>
        <v>40.4</v>
      </c>
      <c r="D245" s="1">
        <f>IFERROR(__xludf.DUMMYFUNCTION("""COMPUTED_VALUE"""),39.1)</f>
        <v>39.1</v>
      </c>
      <c r="E245" s="1">
        <f>IFERROR(__xludf.DUMMYFUNCTION("""COMPUTED_VALUE"""),40.0)</f>
        <v>40</v>
      </c>
      <c r="F245" s="1">
        <f>IFERROR(__xludf.DUMMYFUNCTION("""COMPUTED_VALUE"""),438346.0)</f>
        <v>438346</v>
      </c>
      <c r="G245" s="2" t="s">
        <v>4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IFERROR(__xludf.DUMMYFUNCTION("""COMPUTED_VALUE"""),40.27)</f>
        <v>40.27</v>
      </c>
      <c r="C246" s="1">
        <f>IFERROR(__xludf.DUMMYFUNCTION("""COMPUTED_VALUE"""),45.06)</f>
        <v>45.06</v>
      </c>
      <c r="D246" s="1">
        <f>IFERROR(__xludf.DUMMYFUNCTION("""COMPUTED_VALUE"""),39.85)</f>
        <v>39.85</v>
      </c>
      <c r="E246" s="1">
        <f>IFERROR(__xludf.DUMMYFUNCTION("""COMPUTED_VALUE"""),43.73)</f>
        <v>43.73</v>
      </c>
      <c r="F246" s="1">
        <f>IFERROR(__xludf.DUMMYFUNCTION("""COMPUTED_VALUE"""),930674.0)</f>
        <v>930674</v>
      </c>
      <c r="G246" s="2" t="s">
        <v>4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IFERROR(__xludf.DUMMYFUNCTION("""COMPUTED_VALUE"""),43.19)</f>
        <v>43.19</v>
      </c>
      <c r="C247" s="1">
        <f>IFERROR(__xludf.DUMMYFUNCTION("""COMPUTED_VALUE"""),43.4)</f>
        <v>43.4</v>
      </c>
      <c r="D247" s="1">
        <f>IFERROR(__xludf.DUMMYFUNCTION("""COMPUTED_VALUE"""),42.55)</f>
        <v>42.55</v>
      </c>
      <c r="E247" s="1">
        <f>IFERROR(__xludf.DUMMYFUNCTION("""COMPUTED_VALUE"""),42.6)</f>
        <v>42.6</v>
      </c>
      <c r="F247" s="1">
        <f>IFERROR(__xludf.DUMMYFUNCTION("""COMPUTED_VALUE"""),845150.0)</f>
        <v>845150</v>
      </c>
      <c r="G247" s="2" t="s">
        <v>4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IFERROR(__xludf.DUMMYFUNCTION("""COMPUTED_VALUE"""),41.81)</f>
        <v>41.81</v>
      </c>
      <c r="C248" s="1">
        <f>IFERROR(__xludf.DUMMYFUNCTION("""COMPUTED_VALUE"""),42.07)</f>
        <v>42.07</v>
      </c>
      <c r="D248" s="1">
        <f>IFERROR(__xludf.DUMMYFUNCTION("""COMPUTED_VALUE"""),40.23)</f>
        <v>40.23</v>
      </c>
      <c r="E248" s="1">
        <f>IFERROR(__xludf.DUMMYFUNCTION("""COMPUTED_VALUE"""),40.64)</f>
        <v>40.64</v>
      </c>
      <c r="F248" s="1">
        <f>IFERROR(__xludf.DUMMYFUNCTION("""COMPUTED_VALUE"""),630822.0)</f>
        <v>630822</v>
      </c>
      <c r="G248" s="2" t="s">
        <v>4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IFERROR(__xludf.DUMMYFUNCTION("""COMPUTED_VALUE"""),40.55)</f>
        <v>40.55</v>
      </c>
      <c r="C249" s="1">
        <f>IFERROR(__xludf.DUMMYFUNCTION("""COMPUTED_VALUE"""),40.99)</f>
        <v>40.99</v>
      </c>
      <c r="D249" s="1">
        <f>IFERROR(__xludf.DUMMYFUNCTION("""COMPUTED_VALUE"""),39.7)</f>
        <v>39.7</v>
      </c>
      <c r="E249" s="1">
        <f>IFERROR(__xludf.DUMMYFUNCTION("""COMPUTED_VALUE"""),40.39)</f>
        <v>40.39</v>
      </c>
      <c r="F249" s="1">
        <f>IFERROR(__xludf.DUMMYFUNCTION("""COMPUTED_VALUE"""),1154888.0)</f>
        <v>1154888</v>
      </c>
      <c r="G249" s="2" t="s">
        <v>4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IFERROR(__xludf.DUMMYFUNCTION("""COMPUTED_VALUE"""),40.26)</f>
        <v>40.26</v>
      </c>
      <c r="C250" s="1">
        <f>IFERROR(__xludf.DUMMYFUNCTION("""COMPUTED_VALUE"""),42.9)</f>
        <v>42.9</v>
      </c>
      <c r="D250" s="1">
        <f>IFERROR(__xludf.DUMMYFUNCTION("""COMPUTED_VALUE"""),39.8)</f>
        <v>39.8</v>
      </c>
      <c r="E250" s="1">
        <f>IFERROR(__xludf.DUMMYFUNCTION("""COMPUTED_VALUE"""),42.65)</f>
        <v>42.65</v>
      </c>
      <c r="F250" s="1">
        <f>IFERROR(__xludf.DUMMYFUNCTION("""COMPUTED_VALUE"""),498584.0)</f>
        <v>498584</v>
      </c>
      <c r="G250" s="2" t="s">
        <v>4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IFERROR(__xludf.DUMMYFUNCTION("""COMPUTED_VALUE"""),42.0)</f>
        <v>42</v>
      </c>
      <c r="C251" s="1">
        <f>IFERROR(__xludf.DUMMYFUNCTION("""COMPUTED_VALUE"""),43.45)</f>
        <v>43.45</v>
      </c>
      <c r="D251" s="1">
        <f>IFERROR(__xludf.DUMMYFUNCTION("""COMPUTED_VALUE"""),41.47)</f>
        <v>41.47</v>
      </c>
      <c r="E251" s="1">
        <f>IFERROR(__xludf.DUMMYFUNCTION("""COMPUTED_VALUE"""),43.14)</f>
        <v>43.14</v>
      </c>
      <c r="F251" s="1">
        <f>IFERROR(__xludf.DUMMYFUNCTION("""COMPUTED_VALUE"""),520830.0)</f>
        <v>520830</v>
      </c>
      <c r="G251" s="2" t="s">
        <v>4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IFERROR(__xludf.DUMMYFUNCTION("""COMPUTED_VALUE"""),43.77)</f>
        <v>43.77</v>
      </c>
      <c r="C252" s="1">
        <f>IFERROR(__xludf.DUMMYFUNCTION("""COMPUTED_VALUE"""),45.42)</f>
        <v>45.42</v>
      </c>
      <c r="D252" s="1">
        <f>IFERROR(__xludf.DUMMYFUNCTION("""COMPUTED_VALUE"""),43.77)</f>
        <v>43.77</v>
      </c>
      <c r="E252" s="1">
        <f>IFERROR(__xludf.DUMMYFUNCTION("""COMPUTED_VALUE"""),45.26)</f>
        <v>45.26</v>
      </c>
      <c r="F252" s="1">
        <f>IFERROR(__xludf.DUMMYFUNCTION("""COMPUTED_VALUE"""),479617.0)</f>
        <v>479617</v>
      </c>
      <c r="G252" s="2" t="s">
        <v>4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IFERROR(__xludf.DUMMYFUNCTION("""COMPUTED_VALUE"""),45.1)</f>
        <v>45.1</v>
      </c>
      <c r="C253" s="1">
        <f>IFERROR(__xludf.DUMMYFUNCTION("""COMPUTED_VALUE"""),45.71)</f>
        <v>45.71</v>
      </c>
      <c r="D253" s="1">
        <f>IFERROR(__xludf.DUMMYFUNCTION("""COMPUTED_VALUE"""),43.55)</f>
        <v>43.55</v>
      </c>
      <c r="E253" s="1">
        <f>IFERROR(__xludf.DUMMYFUNCTION("""COMPUTED_VALUE"""),44.06)</f>
        <v>44.06</v>
      </c>
      <c r="F253" s="1">
        <f>IFERROR(__xludf.DUMMYFUNCTION("""COMPUTED_VALUE"""),331951.0)</f>
        <v>331951</v>
      </c>
      <c r="G253" s="2" t="s">
        <v>4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IFERROR(__xludf.DUMMYFUNCTION("""COMPUTED_VALUE"""),44.2)</f>
        <v>44.2</v>
      </c>
      <c r="C254" s="1">
        <f>IFERROR(__xludf.DUMMYFUNCTION("""COMPUTED_VALUE"""),45.54)</f>
        <v>45.54</v>
      </c>
      <c r="D254" s="1">
        <f>IFERROR(__xludf.DUMMYFUNCTION("""COMPUTED_VALUE"""),44.2)</f>
        <v>44.2</v>
      </c>
      <c r="E254" s="1">
        <f>IFERROR(__xludf.DUMMYFUNCTION("""COMPUTED_VALUE"""),44.85)</f>
        <v>44.85</v>
      </c>
      <c r="F254" s="1">
        <f>IFERROR(__xludf.DUMMYFUNCTION("""COMPUTED_VALUE"""),364266.0)</f>
        <v>364266</v>
      </c>
      <c r="G254" s="2" t="s">
        <v>4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IFERROR(__xludf.DUMMYFUNCTION("""COMPUTED_VALUE"""),45.67)</f>
        <v>45.67</v>
      </c>
      <c r="C255" s="1">
        <f>IFERROR(__xludf.DUMMYFUNCTION("""COMPUTED_VALUE"""),46.61)</f>
        <v>46.61</v>
      </c>
      <c r="D255" s="1">
        <f>IFERROR(__xludf.DUMMYFUNCTION("""COMPUTED_VALUE"""),44.66)</f>
        <v>44.66</v>
      </c>
      <c r="E255" s="1">
        <f>IFERROR(__xludf.DUMMYFUNCTION("""COMPUTED_VALUE"""),45.0)</f>
        <v>45</v>
      </c>
      <c r="F255" s="1">
        <f>IFERROR(__xludf.DUMMYFUNCTION("""COMPUTED_VALUE"""),227073.0)</f>
        <v>227073</v>
      </c>
      <c r="G255" s="2" t="s">
        <v>4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IFERROR(__xludf.DUMMYFUNCTION("""COMPUTED_VALUE"""),44.83)</f>
        <v>44.83</v>
      </c>
      <c r="C256" s="1">
        <f>IFERROR(__xludf.DUMMYFUNCTION("""COMPUTED_VALUE"""),45.46)</f>
        <v>45.46</v>
      </c>
      <c r="D256" s="1">
        <f>IFERROR(__xludf.DUMMYFUNCTION("""COMPUTED_VALUE"""),44.78)</f>
        <v>44.78</v>
      </c>
      <c r="E256" s="1">
        <f>IFERROR(__xludf.DUMMYFUNCTION("""COMPUTED_VALUE"""),44.78)</f>
        <v>44.78</v>
      </c>
      <c r="F256" s="1">
        <f>IFERROR(__xludf.DUMMYFUNCTION("""COMPUTED_VALUE"""),334403.0)</f>
        <v>334403</v>
      </c>
      <c r="G256" s="2" t="s">
        <v>4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IFERROR(__xludf.DUMMYFUNCTION("""COMPUTED_VALUE"""),45.09)</f>
        <v>45.09</v>
      </c>
      <c r="C257" s="1">
        <f>IFERROR(__xludf.DUMMYFUNCTION("""COMPUTED_VALUE"""),45.81)</f>
        <v>45.81</v>
      </c>
      <c r="D257" s="1">
        <f>IFERROR(__xludf.DUMMYFUNCTION("""COMPUTED_VALUE"""),44.76)</f>
        <v>44.76</v>
      </c>
      <c r="E257" s="1">
        <f>IFERROR(__xludf.DUMMYFUNCTION("""COMPUTED_VALUE"""),45.75)</f>
        <v>45.75</v>
      </c>
      <c r="F257" s="1">
        <f>IFERROR(__xludf.DUMMYFUNCTION("""COMPUTED_VALUE"""),370935.0)</f>
        <v>370935</v>
      </c>
      <c r="G257" s="2" t="s">
        <v>4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IFERROR(__xludf.DUMMYFUNCTION("""COMPUTED_VALUE"""),45.73)</f>
        <v>45.73</v>
      </c>
      <c r="C258" s="1">
        <f>IFERROR(__xludf.DUMMYFUNCTION("""COMPUTED_VALUE"""),46.19)</f>
        <v>46.19</v>
      </c>
      <c r="D258" s="1">
        <f>IFERROR(__xludf.DUMMYFUNCTION("""COMPUTED_VALUE"""),44.78)</f>
        <v>44.78</v>
      </c>
      <c r="E258" s="1">
        <f>IFERROR(__xludf.DUMMYFUNCTION("""COMPUTED_VALUE"""),44.78)</f>
        <v>44.78</v>
      </c>
      <c r="F258" s="1">
        <f>IFERROR(__xludf.DUMMYFUNCTION("""COMPUTED_VALUE"""),212388.0)</f>
        <v>212388</v>
      </c>
      <c r="G258" s="2" t="s">
        <v>4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IFERROR(__xludf.DUMMYFUNCTION("""COMPUTED_VALUE"""),45.1)</f>
        <v>45.1</v>
      </c>
      <c r="C259" s="1">
        <f>IFERROR(__xludf.DUMMYFUNCTION("""COMPUTED_VALUE"""),45.6)</f>
        <v>45.6</v>
      </c>
      <c r="D259" s="1">
        <f>IFERROR(__xludf.DUMMYFUNCTION("""COMPUTED_VALUE"""),43.84)</f>
        <v>43.84</v>
      </c>
      <c r="E259" s="1">
        <f>IFERROR(__xludf.DUMMYFUNCTION("""COMPUTED_VALUE"""),44.23)</f>
        <v>44.23</v>
      </c>
      <c r="F259" s="1">
        <f>IFERROR(__xludf.DUMMYFUNCTION("""COMPUTED_VALUE"""),235567.0)</f>
        <v>235567</v>
      </c>
      <c r="G259" s="2" t="s">
        <v>4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IFERROR(__xludf.DUMMYFUNCTION("""COMPUTED_VALUE"""),43.96)</f>
        <v>43.96</v>
      </c>
      <c r="C260" s="1">
        <f>IFERROR(__xludf.DUMMYFUNCTION("""COMPUTED_VALUE"""),47.5)</f>
        <v>47.5</v>
      </c>
      <c r="D260" s="1">
        <f>IFERROR(__xludf.DUMMYFUNCTION("""COMPUTED_VALUE"""),43.96)</f>
        <v>43.96</v>
      </c>
      <c r="E260" s="1">
        <f>IFERROR(__xludf.DUMMYFUNCTION("""COMPUTED_VALUE"""),45.85)</f>
        <v>45.85</v>
      </c>
      <c r="F260" s="1">
        <f>IFERROR(__xludf.DUMMYFUNCTION("""COMPUTED_VALUE"""),576496.0)</f>
        <v>576496</v>
      </c>
      <c r="G260" s="2" t="s">
        <v>4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IFERROR(__xludf.DUMMYFUNCTION("""COMPUTED_VALUE"""),46.18)</f>
        <v>46.18</v>
      </c>
      <c r="C261" s="1">
        <f>IFERROR(__xludf.DUMMYFUNCTION("""COMPUTED_VALUE"""),46.96)</f>
        <v>46.96</v>
      </c>
      <c r="D261" s="1">
        <f>IFERROR(__xludf.DUMMYFUNCTION("""COMPUTED_VALUE"""),45.63)</f>
        <v>45.63</v>
      </c>
      <c r="E261" s="1">
        <f>IFERROR(__xludf.DUMMYFUNCTION("""COMPUTED_VALUE"""),46.26)</f>
        <v>46.26</v>
      </c>
      <c r="F261" s="1">
        <f>IFERROR(__xludf.DUMMYFUNCTION("""COMPUTED_VALUE"""),483950.0)</f>
        <v>483950</v>
      </c>
      <c r="G261" s="2" t="s">
        <v>4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IFERROR(__xludf.DUMMYFUNCTION("""COMPUTED_VALUE"""),46.4)</f>
        <v>46.4</v>
      </c>
      <c r="C262" s="1">
        <f>IFERROR(__xludf.DUMMYFUNCTION("""COMPUTED_VALUE"""),46.76)</f>
        <v>46.76</v>
      </c>
      <c r="D262" s="1">
        <f>IFERROR(__xludf.DUMMYFUNCTION("""COMPUTED_VALUE"""),45.32)</f>
        <v>45.32</v>
      </c>
      <c r="E262" s="1">
        <f>IFERROR(__xludf.DUMMYFUNCTION("""COMPUTED_VALUE"""),46.45)</f>
        <v>46.45</v>
      </c>
      <c r="F262" s="1">
        <f>IFERROR(__xludf.DUMMYFUNCTION("""COMPUTED_VALUE"""),413970.0)</f>
        <v>413970</v>
      </c>
      <c r="G262" s="2" t="s">
        <v>4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IFERROR(__xludf.DUMMYFUNCTION("""COMPUTED_VALUE"""),45.82)</f>
        <v>45.82</v>
      </c>
      <c r="C263" s="1">
        <f>IFERROR(__xludf.DUMMYFUNCTION("""COMPUTED_VALUE"""),45.88)</f>
        <v>45.88</v>
      </c>
      <c r="D263" s="1">
        <f>IFERROR(__xludf.DUMMYFUNCTION("""COMPUTED_VALUE"""),43.43)</f>
        <v>43.43</v>
      </c>
      <c r="E263" s="1">
        <f>IFERROR(__xludf.DUMMYFUNCTION("""COMPUTED_VALUE"""),45.11)</f>
        <v>45.11</v>
      </c>
      <c r="F263" s="1">
        <f>IFERROR(__xludf.DUMMYFUNCTION("""COMPUTED_VALUE"""),760639.0)</f>
        <v>760639</v>
      </c>
      <c r="G263" s="2" t="s">
        <v>4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IFERROR(__xludf.DUMMYFUNCTION("""COMPUTED_VALUE"""),45.42)</f>
        <v>45.42</v>
      </c>
      <c r="C264" s="1">
        <f>IFERROR(__xludf.DUMMYFUNCTION("""COMPUTED_VALUE"""),48.62)</f>
        <v>48.62</v>
      </c>
      <c r="D264" s="1">
        <f>IFERROR(__xludf.DUMMYFUNCTION("""COMPUTED_VALUE"""),44.84)</f>
        <v>44.84</v>
      </c>
      <c r="E264" s="1">
        <f>IFERROR(__xludf.DUMMYFUNCTION("""COMPUTED_VALUE"""),46.68)</f>
        <v>46.68</v>
      </c>
      <c r="F264" s="1">
        <f>IFERROR(__xludf.DUMMYFUNCTION("""COMPUTED_VALUE"""),1041873.0)</f>
        <v>1041873</v>
      </c>
      <c r="G264" s="2" t="s">
        <v>4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IFERROR(__xludf.DUMMYFUNCTION("""COMPUTED_VALUE"""),46.04)</f>
        <v>46.04</v>
      </c>
      <c r="C265" s="1">
        <f>IFERROR(__xludf.DUMMYFUNCTION("""COMPUTED_VALUE"""),48.29)</f>
        <v>48.29</v>
      </c>
      <c r="D265" s="1">
        <f>IFERROR(__xludf.DUMMYFUNCTION("""COMPUTED_VALUE"""),44.95)</f>
        <v>44.95</v>
      </c>
      <c r="E265" s="1">
        <f>IFERROR(__xludf.DUMMYFUNCTION("""COMPUTED_VALUE"""),47.85)</f>
        <v>47.85</v>
      </c>
      <c r="F265" s="1">
        <f>IFERROR(__xludf.DUMMYFUNCTION("""COMPUTED_VALUE"""),594890.0)</f>
        <v>594890</v>
      </c>
      <c r="G265" s="2" t="s">
        <v>4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IFERROR(__xludf.DUMMYFUNCTION("""COMPUTED_VALUE"""),48.17)</f>
        <v>48.17</v>
      </c>
      <c r="C266" s="1">
        <f>IFERROR(__xludf.DUMMYFUNCTION("""COMPUTED_VALUE"""),49.99)</f>
        <v>49.99</v>
      </c>
      <c r="D266" s="1">
        <f>IFERROR(__xludf.DUMMYFUNCTION("""COMPUTED_VALUE"""),47.48)</f>
        <v>47.48</v>
      </c>
      <c r="E266" s="1">
        <f>IFERROR(__xludf.DUMMYFUNCTION("""COMPUTED_VALUE"""),49.01)</f>
        <v>49.01</v>
      </c>
      <c r="F266" s="1">
        <f>IFERROR(__xludf.DUMMYFUNCTION("""COMPUTED_VALUE"""),934042.0)</f>
        <v>934042</v>
      </c>
      <c r="G266" s="2" t="s">
        <v>4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IFERROR(__xludf.DUMMYFUNCTION("""COMPUTED_VALUE"""),48.98)</f>
        <v>48.98</v>
      </c>
      <c r="C267" s="1">
        <f>IFERROR(__xludf.DUMMYFUNCTION("""COMPUTED_VALUE"""),50.48)</f>
        <v>50.48</v>
      </c>
      <c r="D267" s="1">
        <f>IFERROR(__xludf.DUMMYFUNCTION("""COMPUTED_VALUE"""),47.75)</f>
        <v>47.75</v>
      </c>
      <c r="E267" s="1">
        <f>IFERROR(__xludf.DUMMYFUNCTION("""COMPUTED_VALUE"""),50.0)</f>
        <v>50</v>
      </c>
      <c r="F267" s="1">
        <f>IFERROR(__xludf.DUMMYFUNCTION("""COMPUTED_VALUE"""),799963.0)</f>
        <v>799963</v>
      </c>
      <c r="G267" s="2" t="s">
        <v>4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IFERROR(__xludf.DUMMYFUNCTION("""COMPUTED_VALUE"""),50.5)</f>
        <v>50.5</v>
      </c>
      <c r="C268" s="1">
        <f>IFERROR(__xludf.DUMMYFUNCTION("""COMPUTED_VALUE"""),51.14)</f>
        <v>51.14</v>
      </c>
      <c r="D268" s="1">
        <f>IFERROR(__xludf.DUMMYFUNCTION("""COMPUTED_VALUE"""),49.17)</f>
        <v>49.17</v>
      </c>
      <c r="E268" s="1">
        <f>IFERROR(__xludf.DUMMYFUNCTION("""COMPUTED_VALUE"""),49.91)</f>
        <v>49.91</v>
      </c>
      <c r="F268" s="1">
        <f>IFERROR(__xludf.DUMMYFUNCTION("""COMPUTED_VALUE"""),556338.0)</f>
        <v>556338</v>
      </c>
      <c r="G268" s="2" t="s">
        <v>4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IFERROR(__xludf.DUMMYFUNCTION("""COMPUTED_VALUE"""),50.02)</f>
        <v>50.02</v>
      </c>
      <c r="C269" s="1">
        <f>IFERROR(__xludf.DUMMYFUNCTION("""COMPUTED_VALUE"""),50.24)</f>
        <v>50.24</v>
      </c>
      <c r="D269" s="1">
        <f>IFERROR(__xludf.DUMMYFUNCTION("""COMPUTED_VALUE"""),49.25)</f>
        <v>49.25</v>
      </c>
      <c r="E269" s="1">
        <f>IFERROR(__xludf.DUMMYFUNCTION("""COMPUTED_VALUE"""),50.0)</f>
        <v>50</v>
      </c>
      <c r="F269" s="1">
        <f>IFERROR(__xludf.DUMMYFUNCTION("""COMPUTED_VALUE"""),387251.0)</f>
        <v>387251</v>
      </c>
      <c r="G269" s="2" t="s">
        <v>4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IFERROR(__xludf.DUMMYFUNCTION("""COMPUTED_VALUE"""),49.8)</f>
        <v>49.8</v>
      </c>
      <c r="C270" s="1">
        <f>IFERROR(__xludf.DUMMYFUNCTION("""COMPUTED_VALUE"""),51.0)</f>
        <v>51</v>
      </c>
      <c r="D270" s="1">
        <f>IFERROR(__xludf.DUMMYFUNCTION("""COMPUTED_VALUE"""),49.68)</f>
        <v>49.68</v>
      </c>
      <c r="E270" s="1">
        <f>IFERROR(__xludf.DUMMYFUNCTION("""COMPUTED_VALUE"""),50.46)</f>
        <v>50.46</v>
      </c>
      <c r="F270" s="1">
        <f>IFERROR(__xludf.DUMMYFUNCTION("""COMPUTED_VALUE"""),618057.0)</f>
        <v>618057</v>
      </c>
      <c r="G270" s="2" t="s">
        <v>4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IFERROR(__xludf.DUMMYFUNCTION("""COMPUTED_VALUE"""),51.2)</f>
        <v>51.2</v>
      </c>
      <c r="C271" s="1">
        <f>IFERROR(__xludf.DUMMYFUNCTION("""COMPUTED_VALUE"""),53.66)</f>
        <v>53.66</v>
      </c>
      <c r="D271" s="1">
        <f>IFERROR(__xludf.DUMMYFUNCTION("""COMPUTED_VALUE"""),51.16)</f>
        <v>51.16</v>
      </c>
      <c r="E271" s="1">
        <f>IFERROR(__xludf.DUMMYFUNCTION("""COMPUTED_VALUE"""),51.34)</f>
        <v>51.34</v>
      </c>
      <c r="F271" s="1">
        <f>IFERROR(__xludf.DUMMYFUNCTION("""COMPUTED_VALUE"""),913292.0)</f>
        <v>913292</v>
      </c>
      <c r="G271" s="2" t="s">
        <v>4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IFERROR(__xludf.DUMMYFUNCTION("""COMPUTED_VALUE"""),50.68)</f>
        <v>50.68</v>
      </c>
      <c r="C272" s="1">
        <f>IFERROR(__xludf.DUMMYFUNCTION("""COMPUTED_VALUE"""),51.62)</f>
        <v>51.62</v>
      </c>
      <c r="D272" s="1">
        <f>IFERROR(__xludf.DUMMYFUNCTION("""COMPUTED_VALUE"""),49.78)</f>
        <v>49.78</v>
      </c>
      <c r="E272" s="1">
        <f>IFERROR(__xludf.DUMMYFUNCTION("""COMPUTED_VALUE"""),49.98)</f>
        <v>49.98</v>
      </c>
      <c r="F272" s="1">
        <f>IFERROR(__xludf.DUMMYFUNCTION("""COMPUTED_VALUE"""),524781.0)</f>
        <v>524781</v>
      </c>
      <c r="G272" s="2" t="s">
        <v>4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IFERROR(__xludf.DUMMYFUNCTION("""COMPUTED_VALUE"""),50.66)</f>
        <v>50.66</v>
      </c>
      <c r="C273" s="1">
        <f>IFERROR(__xludf.DUMMYFUNCTION("""COMPUTED_VALUE"""),51.48)</f>
        <v>51.48</v>
      </c>
      <c r="D273" s="1">
        <f>IFERROR(__xludf.DUMMYFUNCTION("""COMPUTED_VALUE"""),50.3)</f>
        <v>50.3</v>
      </c>
      <c r="E273" s="1">
        <f>IFERROR(__xludf.DUMMYFUNCTION("""COMPUTED_VALUE"""),51.14)</f>
        <v>51.14</v>
      </c>
      <c r="F273" s="1">
        <f>IFERROR(__xludf.DUMMYFUNCTION("""COMPUTED_VALUE"""),589017.0)</f>
        <v>589017</v>
      </c>
      <c r="G273" s="2" t="s">
        <v>4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IFERROR(__xludf.DUMMYFUNCTION("""COMPUTED_VALUE"""),51.74)</f>
        <v>51.74</v>
      </c>
      <c r="C274" s="1">
        <f>IFERROR(__xludf.DUMMYFUNCTION("""COMPUTED_VALUE"""),52.38)</f>
        <v>52.38</v>
      </c>
      <c r="D274" s="1">
        <f>IFERROR(__xludf.DUMMYFUNCTION("""COMPUTED_VALUE"""),50.9)</f>
        <v>50.9</v>
      </c>
      <c r="E274" s="1">
        <f>IFERROR(__xludf.DUMMYFUNCTION("""COMPUTED_VALUE"""),51.18)</f>
        <v>51.18</v>
      </c>
      <c r="F274" s="1">
        <f>IFERROR(__xludf.DUMMYFUNCTION("""COMPUTED_VALUE"""),316696.0)</f>
        <v>316696</v>
      </c>
      <c r="G274" s="2" t="s">
        <v>4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IFERROR(__xludf.DUMMYFUNCTION("""COMPUTED_VALUE"""),51.36)</f>
        <v>51.36</v>
      </c>
      <c r="C275" s="1">
        <f>IFERROR(__xludf.DUMMYFUNCTION("""COMPUTED_VALUE"""),51.48)</f>
        <v>51.48</v>
      </c>
      <c r="D275" s="1">
        <f>IFERROR(__xludf.DUMMYFUNCTION("""COMPUTED_VALUE"""),50.12)</f>
        <v>50.12</v>
      </c>
      <c r="E275" s="1">
        <f>IFERROR(__xludf.DUMMYFUNCTION("""COMPUTED_VALUE"""),50.82)</f>
        <v>50.82</v>
      </c>
      <c r="F275" s="1">
        <f>IFERROR(__xludf.DUMMYFUNCTION("""COMPUTED_VALUE"""),687838.0)</f>
        <v>687838</v>
      </c>
      <c r="G275" s="2" t="s">
        <v>4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IFERROR(__xludf.DUMMYFUNCTION("""COMPUTED_VALUE"""),50.74)</f>
        <v>50.74</v>
      </c>
      <c r="C276" s="1">
        <f>IFERROR(__xludf.DUMMYFUNCTION("""COMPUTED_VALUE"""),51.14)</f>
        <v>51.14</v>
      </c>
      <c r="D276" s="1">
        <f>IFERROR(__xludf.DUMMYFUNCTION("""COMPUTED_VALUE"""),50.16)</f>
        <v>50.16</v>
      </c>
      <c r="E276" s="1">
        <f>IFERROR(__xludf.DUMMYFUNCTION("""COMPUTED_VALUE"""),50.68)</f>
        <v>50.68</v>
      </c>
      <c r="F276" s="1">
        <f>IFERROR(__xludf.DUMMYFUNCTION("""COMPUTED_VALUE"""),396894.0)</f>
        <v>396894</v>
      </c>
      <c r="G276" s="2" t="s">
        <v>4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IFERROR(__xludf.DUMMYFUNCTION("""COMPUTED_VALUE"""),51.48)</f>
        <v>51.48</v>
      </c>
      <c r="C277" s="1">
        <f>IFERROR(__xludf.DUMMYFUNCTION("""COMPUTED_VALUE"""),53.2)</f>
        <v>53.2</v>
      </c>
      <c r="D277" s="1">
        <f>IFERROR(__xludf.DUMMYFUNCTION("""COMPUTED_VALUE"""),51.46)</f>
        <v>51.46</v>
      </c>
      <c r="E277" s="1">
        <f>IFERROR(__xludf.DUMMYFUNCTION("""COMPUTED_VALUE"""),52.6)</f>
        <v>52.6</v>
      </c>
      <c r="F277" s="1">
        <f>IFERROR(__xludf.DUMMYFUNCTION("""COMPUTED_VALUE"""),608183.0)</f>
        <v>608183</v>
      </c>
      <c r="G277" s="2" t="s">
        <v>4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IFERROR(__xludf.DUMMYFUNCTION("""COMPUTED_VALUE"""),52.64)</f>
        <v>52.64</v>
      </c>
      <c r="C278" s="1">
        <f>IFERROR(__xludf.DUMMYFUNCTION("""COMPUTED_VALUE"""),55.4)</f>
        <v>55.4</v>
      </c>
      <c r="D278" s="1">
        <f>IFERROR(__xludf.DUMMYFUNCTION("""COMPUTED_VALUE"""),52.4)</f>
        <v>52.4</v>
      </c>
      <c r="E278" s="1">
        <f>IFERROR(__xludf.DUMMYFUNCTION("""COMPUTED_VALUE"""),54.92)</f>
        <v>54.92</v>
      </c>
      <c r="F278" s="1">
        <f>IFERROR(__xludf.DUMMYFUNCTION("""COMPUTED_VALUE"""),771918.0)</f>
        <v>771918</v>
      </c>
      <c r="G278" s="2" t="s">
        <v>4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IFERROR(__xludf.DUMMYFUNCTION("""COMPUTED_VALUE"""),54.26)</f>
        <v>54.26</v>
      </c>
      <c r="C279" s="1">
        <f>IFERROR(__xludf.DUMMYFUNCTION("""COMPUTED_VALUE"""),55.12)</f>
        <v>55.12</v>
      </c>
      <c r="D279" s="1">
        <f>IFERROR(__xludf.DUMMYFUNCTION("""COMPUTED_VALUE"""),53.88)</f>
        <v>53.88</v>
      </c>
      <c r="E279" s="1">
        <f>IFERROR(__xludf.DUMMYFUNCTION("""COMPUTED_VALUE"""),54.8)</f>
        <v>54.8</v>
      </c>
      <c r="F279" s="1">
        <f>IFERROR(__xludf.DUMMYFUNCTION("""COMPUTED_VALUE"""),572808.0)</f>
        <v>572808</v>
      </c>
      <c r="G279" s="2" t="s">
        <v>4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IFERROR(__xludf.DUMMYFUNCTION("""COMPUTED_VALUE"""),54.36)</f>
        <v>54.36</v>
      </c>
      <c r="C280" s="1">
        <f>IFERROR(__xludf.DUMMYFUNCTION("""COMPUTED_VALUE"""),55.88)</f>
        <v>55.88</v>
      </c>
      <c r="D280" s="1">
        <f>IFERROR(__xludf.DUMMYFUNCTION("""COMPUTED_VALUE"""),54.1)</f>
        <v>54.1</v>
      </c>
      <c r="E280" s="1">
        <f>IFERROR(__xludf.DUMMYFUNCTION("""COMPUTED_VALUE"""),55.22)</f>
        <v>55.22</v>
      </c>
      <c r="F280" s="1">
        <f>IFERROR(__xludf.DUMMYFUNCTION("""COMPUTED_VALUE"""),718613.0)</f>
        <v>718613</v>
      </c>
      <c r="G280" s="2" t="s">
        <v>4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IFERROR(__xludf.DUMMYFUNCTION("""COMPUTED_VALUE"""),55.32)</f>
        <v>55.32</v>
      </c>
      <c r="C281" s="1">
        <f>IFERROR(__xludf.DUMMYFUNCTION("""COMPUTED_VALUE"""),55.64)</f>
        <v>55.64</v>
      </c>
      <c r="D281" s="1">
        <f>IFERROR(__xludf.DUMMYFUNCTION("""COMPUTED_VALUE"""),53.36)</f>
        <v>53.36</v>
      </c>
      <c r="E281" s="1">
        <f>IFERROR(__xludf.DUMMYFUNCTION("""COMPUTED_VALUE"""),53.78)</f>
        <v>53.78</v>
      </c>
      <c r="F281" s="1">
        <f>IFERROR(__xludf.DUMMYFUNCTION("""COMPUTED_VALUE"""),782300.0)</f>
        <v>782300</v>
      </c>
      <c r="G281" s="2" t="s">
        <v>4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IFERROR(__xludf.DUMMYFUNCTION("""COMPUTED_VALUE"""),55.36)</f>
        <v>55.36</v>
      </c>
      <c r="C282" s="1">
        <f>IFERROR(__xludf.DUMMYFUNCTION("""COMPUTED_VALUE"""),57.82)</f>
        <v>57.82</v>
      </c>
      <c r="D282" s="1">
        <f>IFERROR(__xludf.DUMMYFUNCTION("""COMPUTED_VALUE"""),55.02)</f>
        <v>55.02</v>
      </c>
      <c r="E282" s="1">
        <f>IFERROR(__xludf.DUMMYFUNCTION("""COMPUTED_VALUE"""),57.68)</f>
        <v>57.68</v>
      </c>
      <c r="F282" s="1">
        <f>IFERROR(__xludf.DUMMYFUNCTION("""COMPUTED_VALUE"""),879097.0)</f>
        <v>879097</v>
      </c>
      <c r="G282" s="2" t="s">
        <v>4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IFERROR(__xludf.DUMMYFUNCTION("""COMPUTED_VALUE"""),57.04)</f>
        <v>57.04</v>
      </c>
      <c r="C283" s="1">
        <f>IFERROR(__xludf.DUMMYFUNCTION("""COMPUTED_VALUE"""),57.6)</f>
        <v>57.6</v>
      </c>
      <c r="D283" s="1">
        <f>IFERROR(__xludf.DUMMYFUNCTION("""COMPUTED_VALUE"""),54.96)</f>
        <v>54.96</v>
      </c>
      <c r="E283" s="1">
        <f>IFERROR(__xludf.DUMMYFUNCTION("""COMPUTED_VALUE"""),56.34)</f>
        <v>56.34</v>
      </c>
      <c r="F283" s="1">
        <f>IFERROR(__xludf.DUMMYFUNCTION("""COMPUTED_VALUE"""),635527.0)</f>
        <v>635527</v>
      </c>
      <c r="G283" s="2" t="s">
        <v>4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IFERROR(__xludf.DUMMYFUNCTION("""COMPUTED_VALUE"""),55.46)</f>
        <v>55.46</v>
      </c>
      <c r="C284" s="1">
        <f>IFERROR(__xludf.DUMMYFUNCTION("""COMPUTED_VALUE"""),56.02)</f>
        <v>56.02</v>
      </c>
      <c r="D284" s="1">
        <f>IFERROR(__xludf.DUMMYFUNCTION("""COMPUTED_VALUE"""),54.66)</f>
        <v>54.66</v>
      </c>
      <c r="E284" s="1">
        <f>IFERROR(__xludf.DUMMYFUNCTION("""COMPUTED_VALUE"""),55.04)</f>
        <v>55.04</v>
      </c>
      <c r="F284" s="1">
        <f>IFERROR(__xludf.DUMMYFUNCTION("""COMPUTED_VALUE"""),519018.0)</f>
        <v>519018</v>
      </c>
      <c r="G284" s="2" t="s">
        <v>4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IFERROR(__xludf.DUMMYFUNCTION("""COMPUTED_VALUE"""),55.16)</f>
        <v>55.16</v>
      </c>
      <c r="C285" s="1">
        <f>IFERROR(__xludf.DUMMYFUNCTION("""COMPUTED_VALUE"""),55.32)</f>
        <v>55.32</v>
      </c>
      <c r="D285" s="1">
        <f>IFERROR(__xludf.DUMMYFUNCTION("""COMPUTED_VALUE"""),53.32)</f>
        <v>53.32</v>
      </c>
      <c r="E285" s="1">
        <f>IFERROR(__xludf.DUMMYFUNCTION("""COMPUTED_VALUE"""),53.68)</f>
        <v>53.68</v>
      </c>
      <c r="F285" s="1">
        <f>IFERROR(__xludf.DUMMYFUNCTION("""COMPUTED_VALUE"""),465285.0)</f>
        <v>465285</v>
      </c>
      <c r="G285" s="2" t="s">
        <v>4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IFERROR(__xludf.DUMMYFUNCTION("""COMPUTED_VALUE"""),54.3)</f>
        <v>54.3</v>
      </c>
      <c r="C286" s="1">
        <f>IFERROR(__xludf.DUMMYFUNCTION("""COMPUTED_VALUE"""),55.16)</f>
        <v>55.16</v>
      </c>
      <c r="D286" s="1">
        <f>IFERROR(__xludf.DUMMYFUNCTION("""COMPUTED_VALUE"""),53.34)</f>
        <v>53.34</v>
      </c>
      <c r="E286" s="1">
        <f>IFERROR(__xludf.DUMMYFUNCTION("""COMPUTED_VALUE"""),53.34)</f>
        <v>53.34</v>
      </c>
      <c r="F286" s="1">
        <f>IFERROR(__xludf.DUMMYFUNCTION("""COMPUTED_VALUE"""),474497.0)</f>
        <v>474497</v>
      </c>
      <c r="G286" s="2" t="s">
        <v>4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IFERROR(__xludf.DUMMYFUNCTION("""COMPUTED_VALUE"""),50.68)</f>
        <v>50.68</v>
      </c>
      <c r="C287" s="1">
        <f>IFERROR(__xludf.DUMMYFUNCTION("""COMPUTED_VALUE"""),51.56)</f>
        <v>51.56</v>
      </c>
      <c r="D287" s="1">
        <f>IFERROR(__xludf.DUMMYFUNCTION("""COMPUTED_VALUE"""),47.56)</f>
        <v>47.56</v>
      </c>
      <c r="E287" s="1">
        <f>IFERROR(__xludf.DUMMYFUNCTION("""COMPUTED_VALUE"""),48.21)</f>
        <v>48.21</v>
      </c>
      <c r="F287" s="1">
        <f>IFERROR(__xludf.DUMMYFUNCTION("""COMPUTED_VALUE"""),2190345.0)</f>
        <v>2190345</v>
      </c>
      <c r="G287" s="2" t="s">
        <v>4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IFERROR(__xludf.DUMMYFUNCTION("""COMPUTED_VALUE"""),47.0)</f>
        <v>47</v>
      </c>
      <c r="C288" s="1">
        <f>IFERROR(__xludf.DUMMYFUNCTION("""COMPUTED_VALUE"""),47.52)</f>
        <v>47.52</v>
      </c>
      <c r="D288" s="1">
        <f>IFERROR(__xludf.DUMMYFUNCTION("""COMPUTED_VALUE"""),44.72)</f>
        <v>44.72</v>
      </c>
      <c r="E288" s="1">
        <f>IFERROR(__xludf.DUMMYFUNCTION("""COMPUTED_VALUE"""),45.4)</f>
        <v>45.4</v>
      </c>
      <c r="F288" s="1">
        <f>IFERROR(__xludf.DUMMYFUNCTION("""COMPUTED_VALUE"""),1018538.0)</f>
        <v>1018538</v>
      </c>
      <c r="G288" s="2" t="s">
        <v>4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IFERROR(__xludf.DUMMYFUNCTION("""COMPUTED_VALUE"""),45.0)</f>
        <v>45</v>
      </c>
      <c r="C289" s="1">
        <f>IFERROR(__xludf.DUMMYFUNCTION("""COMPUTED_VALUE"""),45.44)</f>
        <v>45.44</v>
      </c>
      <c r="D289" s="1">
        <f>IFERROR(__xludf.DUMMYFUNCTION("""COMPUTED_VALUE"""),43.68)</f>
        <v>43.68</v>
      </c>
      <c r="E289" s="1">
        <f>IFERROR(__xludf.DUMMYFUNCTION("""COMPUTED_VALUE"""),44.13)</f>
        <v>44.13</v>
      </c>
      <c r="F289" s="1">
        <f>IFERROR(__xludf.DUMMYFUNCTION("""COMPUTED_VALUE"""),513845.0)</f>
        <v>513845</v>
      </c>
      <c r="G289" s="2" t="s">
        <v>4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IFERROR(__xludf.DUMMYFUNCTION("""COMPUTED_VALUE"""),41.4)</f>
        <v>41.4</v>
      </c>
      <c r="C290" s="1">
        <f>IFERROR(__xludf.DUMMYFUNCTION("""COMPUTED_VALUE"""),43.35)</f>
        <v>43.35</v>
      </c>
      <c r="D290" s="1">
        <f>IFERROR(__xludf.DUMMYFUNCTION("""COMPUTED_VALUE"""),41.2)</f>
        <v>41.2</v>
      </c>
      <c r="E290" s="1">
        <f>IFERROR(__xludf.DUMMYFUNCTION("""COMPUTED_VALUE"""),42.0)</f>
        <v>42</v>
      </c>
      <c r="F290" s="1">
        <f>IFERROR(__xludf.DUMMYFUNCTION("""COMPUTED_VALUE"""),2127050.0)</f>
        <v>2127050</v>
      </c>
      <c r="G290" s="2" t="s">
        <v>4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IFERROR(__xludf.DUMMYFUNCTION("""COMPUTED_VALUE"""),42.3)</f>
        <v>42.3</v>
      </c>
      <c r="C291" s="1">
        <f>IFERROR(__xludf.DUMMYFUNCTION("""COMPUTED_VALUE"""),43.19)</f>
        <v>43.19</v>
      </c>
      <c r="D291" s="1">
        <f>IFERROR(__xludf.DUMMYFUNCTION("""COMPUTED_VALUE"""),41.74)</f>
        <v>41.74</v>
      </c>
      <c r="E291" s="1">
        <f>IFERROR(__xludf.DUMMYFUNCTION("""COMPUTED_VALUE"""),42.1)</f>
        <v>42.1</v>
      </c>
      <c r="F291" s="1">
        <f>IFERROR(__xludf.DUMMYFUNCTION("""COMPUTED_VALUE"""),788352.0)</f>
        <v>788352</v>
      </c>
      <c r="G291" s="2" t="s">
        <v>4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IFERROR(__xludf.DUMMYFUNCTION("""COMPUTED_VALUE"""),42.83)</f>
        <v>42.83</v>
      </c>
      <c r="C292" s="1">
        <f>IFERROR(__xludf.DUMMYFUNCTION("""COMPUTED_VALUE"""),43.21)</f>
        <v>43.21</v>
      </c>
      <c r="D292" s="1">
        <f>IFERROR(__xludf.DUMMYFUNCTION("""COMPUTED_VALUE"""),41.38)</f>
        <v>41.38</v>
      </c>
      <c r="E292" s="1">
        <f>IFERROR(__xludf.DUMMYFUNCTION("""COMPUTED_VALUE"""),41.74)</f>
        <v>41.74</v>
      </c>
      <c r="F292" s="1">
        <f>IFERROR(__xludf.DUMMYFUNCTION("""COMPUTED_VALUE"""),576806.0)</f>
        <v>576806</v>
      </c>
      <c r="G292" s="2" t="s">
        <v>4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IFERROR(__xludf.DUMMYFUNCTION("""COMPUTED_VALUE"""),40.44)</f>
        <v>40.44</v>
      </c>
      <c r="C293" s="1">
        <f>IFERROR(__xludf.DUMMYFUNCTION("""COMPUTED_VALUE"""),40.75)</f>
        <v>40.75</v>
      </c>
      <c r="D293" s="1">
        <f>IFERROR(__xludf.DUMMYFUNCTION("""COMPUTED_VALUE"""),39.64)</f>
        <v>39.64</v>
      </c>
      <c r="E293" s="1">
        <f>IFERROR(__xludf.DUMMYFUNCTION("""COMPUTED_VALUE"""),40.38)</f>
        <v>40.38</v>
      </c>
      <c r="F293" s="1">
        <f>IFERROR(__xludf.DUMMYFUNCTION("""COMPUTED_VALUE"""),914516.0)</f>
        <v>914516</v>
      </c>
      <c r="G293" s="2" t="s">
        <v>4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IFERROR(__xludf.DUMMYFUNCTION("""COMPUTED_VALUE"""),40.56)</f>
        <v>40.56</v>
      </c>
      <c r="C294" s="1">
        <f>IFERROR(__xludf.DUMMYFUNCTION("""COMPUTED_VALUE"""),40.58)</f>
        <v>40.58</v>
      </c>
      <c r="D294" s="1">
        <f>IFERROR(__xludf.DUMMYFUNCTION("""COMPUTED_VALUE"""),39.47)</f>
        <v>39.47</v>
      </c>
      <c r="E294" s="1">
        <f>IFERROR(__xludf.DUMMYFUNCTION("""COMPUTED_VALUE"""),39.87)</f>
        <v>39.87</v>
      </c>
      <c r="F294" s="1">
        <f>IFERROR(__xludf.DUMMYFUNCTION("""COMPUTED_VALUE"""),407235.0)</f>
        <v>407235</v>
      </c>
      <c r="G294" s="2" t="s">
        <v>4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IFERROR(__xludf.DUMMYFUNCTION("""COMPUTED_VALUE"""),39.5)</f>
        <v>39.5</v>
      </c>
      <c r="C295" s="1">
        <f>IFERROR(__xludf.DUMMYFUNCTION("""COMPUTED_VALUE"""),39.6)</f>
        <v>39.6</v>
      </c>
      <c r="D295" s="1">
        <f>IFERROR(__xludf.DUMMYFUNCTION("""COMPUTED_VALUE"""),38.29)</f>
        <v>38.29</v>
      </c>
      <c r="E295" s="1">
        <f>IFERROR(__xludf.DUMMYFUNCTION("""COMPUTED_VALUE"""),39.19)</f>
        <v>39.19</v>
      </c>
      <c r="F295" s="1">
        <f>IFERROR(__xludf.DUMMYFUNCTION("""COMPUTED_VALUE"""),601225.0)</f>
        <v>601225</v>
      </c>
      <c r="G295" s="2" t="s">
        <v>4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IFERROR(__xludf.DUMMYFUNCTION("""COMPUTED_VALUE"""),38.71)</f>
        <v>38.71</v>
      </c>
      <c r="C296" s="1">
        <f>IFERROR(__xludf.DUMMYFUNCTION("""COMPUTED_VALUE"""),39.35)</f>
        <v>39.35</v>
      </c>
      <c r="D296" s="1">
        <f>IFERROR(__xludf.DUMMYFUNCTION("""COMPUTED_VALUE"""),38.35)</f>
        <v>38.35</v>
      </c>
      <c r="E296" s="1">
        <f>IFERROR(__xludf.DUMMYFUNCTION("""COMPUTED_VALUE"""),38.9)</f>
        <v>38.9</v>
      </c>
      <c r="F296" s="1">
        <f>IFERROR(__xludf.DUMMYFUNCTION("""COMPUTED_VALUE"""),470074.0)</f>
        <v>470074</v>
      </c>
      <c r="G296" s="2" t="s">
        <v>4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IFERROR(__xludf.DUMMYFUNCTION("""COMPUTED_VALUE"""),39.14)</f>
        <v>39.14</v>
      </c>
      <c r="C297" s="1">
        <f>IFERROR(__xludf.DUMMYFUNCTION("""COMPUTED_VALUE"""),39.7)</f>
        <v>39.7</v>
      </c>
      <c r="D297" s="1">
        <f>IFERROR(__xludf.DUMMYFUNCTION("""COMPUTED_VALUE"""),38.48)</f>
        <v>38.48</v>
      </c>
      <c r="E297" s="1">
        <f>IFERROR(__xludf.DUMMYFUNCTION("""COMPUTED_VALUE"""),38.8)</f>
        <v>38.8</v>
      </c>
      <c r="F297" s="1">
        <f>IFERROR(__xludf.DUMMYFUNCTION("""COMPUTED_VALUE"""),476988.0)</f>
        <v>476988</v>
      </c>
      <c r="G297" s="2" t="s">
        <v>4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IFERROR(__xludf.DUMMYFUNCTION("""COMPUTED_VALUE"""),38.8)</f>
        <v>38.8</v>
      </c>
      <c r="C298" s="1">
        <f>IFERROR(__xludf.DUMMYFUNCTION("""COMPUTED_VALUE"""),38.84)</f>
        <v>38.84</v>
      </c>
      <c r="D298" s="1">
        <f>IFERROR(__xludf.DUMMYFUNCTION("""COMPUTED_VALUE"""),37.19)</f>
        <v>37.19</v>
      </c>
      <c r="E298" s="1">
        <f>IFERROR(__xludf.DUMMYFUNCTION("""COMPUTED_VALUE"""),37.22)</f>
        <v>37.22</v>
      </c>
      <c r="F298" s="1">
        <f>IFERROR(__xludf.DUMMYFUNCTION("""COMPUTED_VALUE"""),852933.0)</f>
        <v>852933</v>
      </c>
      <c r="G298" s="2" t="s">
        <v>4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IFERROR(__xludf.DUMMYFUNCTION("""COMPUTED_VALUE"""),37.53)</f>
        <v>37.53</v>
      </c>
      <c r="C299" s="1">
        <f>IFERROR(__xludf.DUMMYFUNCTION("""COMPUTED_VALUE"""),37.98)</f>
        <v>37.98</v>
      </c>
      <c r="D299" s="1">
        <f>IFERROR(__xludf.DUMMYFUNCTION("""COMPUTED_VALUE"""),37.05)</f>
        <v>37.05</v>
      </c>
      <c r="E299" s="1">
        <f>IFERROR(__xludf.DUMMYFUNCTION("""COMPUTED_VALUE"""),37.43)</f>
        <v>37.43</v>
      </c>
      <c r="F299" s="1">
        <f>IFERROR(__xludf.DUMMYFUNCTION("""COMPUTED_VALUE"""),430632.0)</f>
        <v>430632</v>
      </c>
      <c r="G299" s="2" t="s">
        <v>4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IFERROR(__xludf.DUMMYFUNCTION("""COMPUTED_VALUE"""),37.37)</f>
        <v>37.37</v>
      </c>
      <c r="C300" s="1">
        <f>IFERROR(__xludf.DUMMYFUNCTION("""COMPUTED_VALUE"""),38.48)</f>
        <v>38.48</v>
      </c>
      <c r="D300" s="1">
        <f>IFERROR(__xludf.DUMMYFUNCTION("""COMPUTED_VALUE"""),37.17)</f>
        <v>37.17</v>
      </c>
      <c r="E300" s="1">
        <f>IFERROR(__xludf.DUMMYFUNCTION("""COMPUTED_VALUE"""),38.19)</f>
        <v>38.19</v>
      </c>
      <c r="F300" s="1">
        <f>IFERROR(__xludf.DUMMYFUNCTION("""COMPUTED_VALUE"""),897531.0)</f>
        <v>897531</v>
      </c>
      <c r="G300" s="2" t="s">
        <v>4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IFERROR(__xludf.DUMMYFUNCTION("""COMPUTED_VALUE"""),38.81)</f>
        <v>38.81</v>
      </c>
      <c r="C301" s="1">
        <f>IFERROR(__xludf.DUMMYFUNCTION("""COMPUTED_VALUE"""),39.44)</f>
        <v>39.44</v>
      </c>
      <c r="D301" s="1">
        <f>IFERROR(__xludf.DUMMYFUNCTION("""COMPUTED_VALUE"""),37.49)</f>
        <v>37.49</v>
      </c>
      <c r="E301" s="1">
        <f>IFERROR(__xludf.DUMMYFUNCTION("""COMPUTED_VALUE"""),37.5)</f>
        <v>37.5</v>
      </c>
      <c r="F301" s="1">
        <f>IFERROR(__xludf.DUMMYFUNCTION("""COMPUTED_VALUE"""),796479.0)</f>
        <v>796479</v>
      </c>
      <c r="G301" s="2" t="s">
        <v>4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IFERROR(__xludf.DUMMYFUNCTION("""COMPUTED_VALUE"""),37.24)</f>
        <v>37.24</v>
      </c>
      <c r="C302" s="1">
        <f>IFERROR(__xludf.DUMMYFUNCTION("""COMPUTED_VALUE"""),38.15)</f>
        <v>38.15</v>
      </c>
      <c r="D302" s="1">
        <f>IFERROR(__xludf.DUMMYFUNCTION("""COMPUTED_VALUE"""),37.06)</f>
        <v>37.06</v>
      </c>
      <c r="E302" s="1">
        <f>IFERROR(__xludf.DUMMYFUNCTION("""COMPUTED_VALUE"""),37.42)</f>
        <v>37.42</v>
      </c>
      <c r="F302" s="1">
        <f>IFERROR(__xludf.DUMMYFUNCTION("""COMPUTED_VALUE"""),481208.0)</f>
        <v>481208</v>
      </c>
      <c r="G302" s="2" t="s">
        <v>4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IFERROR(__xludf.DUMMYFUNCTION("""COMPUTED_VALUE"""),37.82)</f>
        <v>37.82</v>
      </c>
      <c r="C303" s="1">
        <f>IFERROR(__xludf.DUMMYFUNCTION("""COMPUTED_VALUE"""),38.62)</f>
        <v>38.62</v>
      </c>
      <c r="D303" s="1">
        <f>IFERROR(__xludf.DUMMYFUNCTION("""COMPUTED_VALUE"""),37.56)</f>
        <v>37.56</v>
      </c>
      <c r="E303" s="1">
        <f>IFERROR(__xludf.DUMMYFUNCTION("""COMPUTED_VALUE"""),38.18)</f>
        <v>38.18</v>
      </c>
      <c r="F303" s="1">
        <f>IFERROR(__xludf.DUMMYFUNCTION("""COMPUTED_VALUE"""),454513.0)</f>
        <v>454513</v>
      </c>
      <c r="G303" s="2" t="s">
        <v>4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IFERROR(__xludf.DUMMYFUNCTION("""COMPUTED_VALUE"""),38.31)</f>
        <v>38.31</v>
      </c>
      <c r="C304" s="1">
        <f>IFERROR(__xludf.DUMMYFUNCTION("""COMPUTED_VALUE"""),38.55)</f>
        <v>38.55</v>
      </c>
      <c r="D304" s="1">
        <f>IFERROR(__xludf.DUMMYFUNCTION("""COMPUTED_VALUE"""),37.87)</f>
        <v>37.87</v>
      </c>
      <c r="E304" s="1">
        <f>IFERROR(__xludf.DUMMYFUNCTION("""COMPUTED_VALUE"""),38.23)</f>
        <v>38.23</v>
      </c>
      <c r="F304" s="1">
        <f>IFERROR(__xludf.DUMMYFUNCTION("""COMPUTED_VALUE"""),367570.0)</f>
        <v>367570</v>
      </c>
      <c r="G304" s="2" t="s">
        <v>4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IFERROR(__xludf.DUMMYFUNCTION("""COMPUTED_VALUE"""),37.35)</f>
        <v>37.35</v>
      </c>
      <c r="C305" s="1">
        <f>IFERROR(__xludf.DUMMYFUNCTION("""COMPUTED_VALUE"""),38.49)</f>
        <v>38.49</v>
      </c>
      <c r="D305" s="1">
        <f>IFERROR(__xludf.DUMMYFUNCTION("""COMPUTED_VALUE"""),37.19)</f>
        <v>37.19</v>
      </c>
      <c r="E305" s="1">
        <f>IFERROR(__xludf.DUMMYFUNCTION("""COMPUTED_VALUE"""),37.84)</f>
        <v>37.84</v>
      </c>
      <c r="F305" s="1">
        <f>IFERROR(__xludf.DUMMYFUNCTION("""COMPUTED_VALUE"""),463625.0)</f>
        <v>463625</v>
      </c>
      <c r="G305" s="2" t="s">
        <v>4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IFERROR(__xludf.DUMMYFUNCTION("""COMPUTED_VALUE"""),37.5)</f>
        <v>37.5</v>
      </c>
      <c r="C306" s="1">
        <f>IFERROR(__xludf.DUMMYFUNCTION("""COMPUTED_VALUE"""),37.84)</f>
        <v>37.84</v>
      </c>
      <c r="D306" s="1">
        <f>IFERROR(__xludf.DUMMYFUNCTION("""COMPUTED_VALUE"""),36.91)</f>
        <v>36.91</v>
      </c>
      <c r="E306" s="1">
        <f>IFERROR(__xludf.DUMMYFUNCTION("""COMPUTED_VALUE"""),37.8)</f>
        <v>37.8</v>
      </c>
      <c r="F306" s="1">
        <f>IFERROR(__xludf.DUMMYFUNCTION("""COMPUTED_VALUE"""),595337.0)</f>
        <v>595337</v>
      </c>
      <c r="G306" s="2" t="s">
        <v>4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IFERROR(__xludf.DUMMYFUNCTION("""COMPUTED_VALUE"""),37.38)</f>
        <v>37.38</v>
      </c>
      <c r="C307" s="1">
        <f>IFERROR(__xludf.DUMMYFUNCTION("""COMPUTED_VALUE"""),37.64)</f>
        <v>37.64</v>
      </c>
      <c r="D307" s="1">
        <f>IFERROR(__xludf.DUMMYFUNCTION("""COMPUTED_VALUE"""),36.32)</f>
        <v>36.32</v>
      </c>
      <c r="E307" s="1">
        <f>IFERROR(__xludf.DUMMYFUNCTION("""COMPUTED_VALUE"""),37.02)</f>
        <v>37.02</v>
      </c>
      <c r="F307" s="1">
        <f>IFERROR(__xludf.DUMMYFUNCTION("""COMPUTED_VALUE"""),953749.0)</f>
        <v>953749</v>
      </c>
      <c r="G307" s="2" t="s">
        <v>4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IFERROR(__xludf.DUMMYFUNCTION("""COMPUTED_VALUE"""),35.91)</f>
        <v>35.91</v>
      </c>
      <c r="C308" s="1">
        <f>IFERROR(__xludf.DUMMYFUNCTION("""COMPUTED_VALUE"""),36.45)</f>
        <v>36.45</v>
      </c>
      <c r="D308" s="1">
        <f>IFERROR(__xludf.DUMMYFUNCTION("""COMPUTED_VALUE"""),35.5)</f>
        <v>35.5</v>
      </c>
      <c r="E308" s="1">
        <f>IFERROR(__xludf.DUMMYFUNCTION("""COMPUTED_VALUE"""),35.9)</f>
        <v>35.9</v>
      </c>
      <c r="F308" s="1">
        <f>IFERROR(__xludf.DUMMYFUNCTION("""COMPUTED_VALUE"""),530748.0)</f>
        <v>530748</v>
      </c>
      <c r="G308" s="2" t="s">
        <v>4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IFERROR(__xludf.DUMMYFUNCTION("""COMPUTED_VALUE"""),36.0)</f>
        <v>36</v>
      </c>
      <c r="C309" s="1">
        <f>IFERROR(__xludf.DUMMYFUNCTION("""COMPUTED_VALUE"""),36.16)</f>
        <v>36.16</v>
      </c>
      <c r="D309" s="1">
        <f>IFERROR(__xludf.DUMMYFUNCTION("""COMPUTED_VALUE"""),33.57)</f>
        <v>33.57</v>
      </c>
      <c r="E309" s="1">
        <f>IFERROR(__xludf.DUMMYFUNCTION("""COMPUTED_VALUE"""),34.54)</f>
        <v>34.54</v>
      </c>
      <c r="F309" s="1">
        <f>IFERROR(__xludf.DUMMYFUNCTION("""COMPUTED_VALUE"""),823422.0)</f>
        <v>823422</v>
      </c>
      <c r="G309" s="2" t="s">
        <v>4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IFERROR(__xludf.DUMMYFUNCTION("""COMPUTED_VALUE"""),34.63)</f>
        <v>34.63</v>
      </c>
      <c r="C310" s="1">
        <f>IFERROR(__xludf.DUMMYFUNCTION("""COMPUTED_VALUE"""),34.98)</f>
        <v>34.98</v>
      </c>
      <c r="D310" s="1">
        <f>IFERROR(__xludf.DUMMYFUNCTION("""COMPUTED_VALUE"""),33.92)</f>
        <v>33.92</v>
      </c>
      <c r="E310" s="1">
        <f>IFERROR(__xludf.DUMMYFUNCTION("""COMPUTED_VALUE"""),34.27)</f>
        <v>34.27</v>
      </c>
      <c r="F310" s="1">
        <f>IFERROR(__xludf.DUMMYFUNCTION("""COMPUTED_VALUE"""),684337.0)</f>
        <v>684337</v>
      </c>
      <c r="G310" s="2" t="s">
        <v>4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IFERROR(__xludf.DUMMYFUNCTION("""COMPUTED_VALUE"""),34.17)</f>
        <v>34.17</v>
      </c>
      <c r="C311" s="1">
        <f>IFERROR(__xludf.DUMMYFUNCTION("""COMPUTED_VALUE"""),34.17)</f>
        <v>34.17</v>
      </c>
      <c r="D311" s="1">
        <f>IFERROR(__xludf.DUMMYFUNCTION("""COMPUTED_VALUE"""),31.51)</f>
        <v>31.51</v>
      </c>
      <c r="E311" s="1">
        <f>IFERROR(__xludf.DUMMYFUNCTION("""COMPUTED_VALUE"""),32.31)</f>
        <v>32.31</v>
      </c>
      <c r="F311" s="1">
        <f>IFERROR(__xludf.DUMMYFUNCTION("""COMPUTED_VALUE"""),969908.0)</f>
        <v>969908</v>
      </c>
      <c r="G311" s="2" t="s">
        <v>4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IFERROR(__xludf.DUMMYFUNCTION("""COMPUTED_VALUE"""),33.16)</f>
        <v>33.16</v>
      </c>
      <c r="C312" s="1">
        <f>IFERROR(__xludf.DUMMYFUNCTION("""COMPUTED_VALUE"""),33.26)</f>
        <v>33.26</v>
      </c>
      <c r="D312" s="1">
        <f>IFERROR(__xludf.DUMMYFUNCTION("""COMPUTED_VALUE"""),30.17)</f>
        <v>30.17</v>
      </c>
      <c r="E312" s="1">
        <f>IFERROR(__xludf.DUMMYFUNCTION("""COMPUTED_VALUE"""),31.41)</f>
        <v>31.41</v>
      </c>
      <c r="F312" s="1">
        <f>IFERROR(__xludf.DUMMYFUNCTION("""COMPUTED_VALUE"""),1476552.0)</f>
        <v>1476552</v>
      </c>
      <c r="G312" s="2" t="s">
        <v>4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IFERROR(__xludf.DUMMYFUNCTION("""COMPUTED_VALUE"""),31.8)</f>
        <v>31.8</v>
      </c>
      <c r="C313" s="1">
        <f>IFERROR(__xludf.DUMMYFUNCTION("""COMPUTED_VALUE"""),32.1)</f>
        <v>32.1</v>
      </c>
      <c r="D313" s="1">
        <f>IFERROR(__xludf.DUMMYFUNCTION("""COMPUTED_VALUE"""),30.72)</f>
        <v>30.72</v>
      </c>
      <c r="E313" s="1">
        <f>IFERROR(__xludf.DUMMYFUNCTION("""COMPUTED_VALUE"""),30.72)</f>
        <v>30.72</v>
      </c>
      <c r="F313" s="1">
        <f>IFERROR(__xludf.DUMMYFUNCTION("""COMPUTED_VALUE"""),1232555.0)</f>
        <v>1232555</v>
      </c>
      <c r="G313" s="2" t="s">
        <v>4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IFERROR(__xludf.DUMMYFUNCTION("""COMPUTED_VALUE"""),30.65)</f>
        <v>30.65</v>
      </c>
      <c r="C314" s="1">
        <f>IFERROR(__xludf.DUMMYFUNCTION("""COMPUTED_VALUE"""),31.62)</f>
        <v>31.62</v>
      </c>
      <c r="D314" s="1">
        <f>IFERROR(__xludf.DUMMYFUNCTION("""COMPUTED_VALUE"""),29.45)</f>
        <v>29.45</v>
      </c>
      <c r="E314" s="1">
        <f>IFERROR(__xludf.DUMMYFUNCTION("""COMPUTED_VALUE"""),31.36)</f>
        <v>31.36</v>
      </c>
      <c r="F314" s="1">
        <f>IFERROR(__xludf.DUMMYFUNCTION("""COMPUTED_VALUE"""),700050.0)</f>
        <v>700050</v>
      </c>
      <c r="G314" s="2" t="s">
        <v>4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IFERROR(__xludf.DUMMYFUNCTION("""COMPUTED_VALUE"""),31.74)</f>
        <v>31.74</v>
      </c>
      <c r="C315" s="1">
        <f>IFERROR(__xludf.DUMMYFUNCTION("""COMPUTED_VALUE"""),32.02)</f>
        <v>32.02</v>
      </c>
      <c r="D315" s="1">
        <f>IFERROR(__xludf.DUMMYFUNCTION("""COMPUTED_VALUE"""),31.15)</f>
        <v>31.15</v>
      </c>
      <c r="E315" s="1">
        <f>IFERROR(__xludf.DUMMYFUNCTION("""COMPUTED_VALUE"""),31.2)</f>
        <v>31.2</v>
      </c>
      <c r="F315" s="1">
        <f>IFERROR(__xludf.DUMMYFUNCTION("""COMPUTED_VALUE"""),788761.0)</f>
        <v>788761</v>
      </c>
      <c r="G315" s="2" t="s">
        <v>4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IFERROR(__xludf.DUMMYFUNCTION("""COMPUTED_VALUE"""),31.23)</f>
        <v>31.23</v>
      </c>
      <c r="C316" s="1">
        <f>IFERROR(__xludf.DUMMYFUNCTION("""COMPUTED_VALUE"""),31.41)</f>
        <v>31.41</v>
      </c>
      <c r="D316" s="1">
        <f>IFERROR(__xludf.DUMMYFUNCTION("""COMPUTED_VALUE"""),30.65)</f>
        <v>30.65</v>
      </c>
      <c r="E316" s="1">
        <f>IFERROR(__xludf.DUMMYFUNCTION("""COMPUTED_VALUE"""),30.76)</f>
        <v>30.76</v>
      </c>
      <c r="F316" s="1">
        <f>IFERROR(__xludf.DUMMYFUNCTION("""COMPUTED_VALUE"""),434259.0)</f>
        <v>434259</v>
      </c>
      <c r="G316" s="2" t="s">
        <v>4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IFERROR(__xludf.DUMMYFUNCTION("""COMPUTED_VALUE"""),30.65)</f>
        <v>30.65</v>
      </c>
      <c r="C317" s="1">
        <f>IFERROR(__xludf.DUMMYFUNCTION("""COMPUTED_VALUE"""),31.33)</f>
        <v>31.33</v>
      </c>
      <c r="D317" s="1">
        <f>IFERROR(__xludf.DUMMYFUNCTION("""COMPUTED_VALUE"""),30.4)</f>
        <v>30.4</v>
      </c>
      <c r="E317" s="1">
        <f>IFERROR(__xludf.DUMMYFUNCTION("""COMPUTED_VALUE"""),31.28)</f>
        <v>31.28</v>
      </c>
      <c r="F317" s="1">
        <f>IFERROR(__xludf.DUMMYFUNCTION("""COMPUTED_VALUE"""),456092.0)</f>
        <v>456092</v>
      </c>
      <c r="G317" s="2" t="s">
        <v>4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IFERROR(__xludf.DUMMYFUNCTION("""COMPUTED_VALUE"""),31.25)</f>
        <v>31.25</v>
      </c>
      <c r="C318" s="1">
        <f>IFERROR(__xludf.DUMMYFUNCTION("""COMPUTED_VALUE"""),31.33)</f>
        <v>31.33</v>
      </c>
      <c r="D318" s="1">
        <f>IFERROR(__xludf.DUMMYFUNCTION("""COMPUTED_VALUE"""),29.49)</f>
        <v>29.49</v>
      </c>
      <c r="E318" s="1">
        <f>IFERROR(__xludf.DUMMYFUNCTION("""COMPUTED_VALUE"""),29.74)</f>
        <v>29.74</v>
      </c>
      <c r="F318" s="1">
        <f>IFERROR(__xludf.DUMMYFUNCTION("""COMPUTED_VALUE"""),396251.0)</f>
        <v>396251</v>
      </c>
      <c r="G318" s="2" t="s">
        <v>4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IFERROR(__xludf.DUMMYFUNCTION("""COMPUTED_VALUE"""),30.19)</f>
        <v>30.19</v>
      </c>
      <c r="C319" s="1">
        <f>IFERROR(__xludf.DUMMYFUNCTION("""COMPUTED_VALUE"""),30.51)</f>
        <v>30.51</v>
      </c>
      <c r="D319" s="1">
        <f>IFERROR(__xludf.DUMMYFUNCTION("""COMPUTED_VALUE"""),29.59)</f>
        <v>29.59</v>
      </c>
      <c r="E319" s="1">
        <f>IFERROR(__xludf.DUMMYFUNCTION("""COMPUTED_VALUE"""),29.67)</f>
        <v>29.67</v>
      </c>
      <c r="F319" s="1">
        <f>IFERROR(__xludf.DUMMYFUNCTION("""COMPUTED_VALUE"""),308325.0)</f>
        <v>308325</v>
      </c>
      <c r="G319" s="2" t="s">
        <v>4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IFERROR(__xludf.DUMMYFUNCTION("""COMPUTED_VALUE"""),29.94)</f>
        <v>29.94</v>
      </c>
      <c r="C320" s="1">
        <f>IFERROR(__xludf.DUMMYFUNCTION("""COMPUTED_VALUE"""),30.28)</f>
        <v>30.28</v>
      </c>
      <c r="D320" s="1">
        <f>IFERROR(__xludf.DUMMYFUNCTION("""COMPUTED_VALUE"""),29.34)</f>
        <v>29.34</v>
      </c>
      <c r="E320" s="1">
        <f>IFERROR(__xludf.DUMMYFUNCTION("""COMPUTED_VALUE"""),29.57)</f>
        <v>29.57</v>
      </c>
      <c r="F320" s="1">
        <f>IFERROR(__xludf.DUMMYFUNCTION("""COMPUTED_VALUE"""),381315.0)</f>
        <v>381315</v>
      </c>
      <c r="G320" s="2" t="s">
        <v>4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IFERROR(__xludf.DUMMYFUNCTION("""COMPUTED_VALUE"""),30.08)</f>
        <v>30.08</v>
      </c>
      <c r="C321" s="1">
        <f>IFERROR(__xludf.DUMMYFUNCTION("""COMPUTED_VALUE"""),30.42)</f>
        <v>30.42</v>
      </c>
      <c r="D321" s="1">
        <f>IFERROR(__xludf.DUMMYFUNCTION("""COMPUTED_VALUE"""),29.35)</f>
        <v>29.35</v>
      </c>
      <c r="E321" s="1">
        <f>IFERROR(__xludf.DUMMYFUNCTION("""COMPUTED_VALUE"""),30.21)</f>
        <v>30.21</v>
      </c>
      <c r="F321" s="1">
        <f>IFERROR(__xludf.DUMMYFUNCTION("""COMPUTED_VALUE"""),549587.0)</f>
        <v>549587</v>
      </c>
      <c r="G321" s="2" t="s">
        <v>4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IFERROR(__xludf.DUMMYFUNCTION("""COMPUTED_VALUE"""),30.33)</f>
        <v>30.33</v>
      </c>
      <c r="C322" s="1">
        <f>IFERROR(__xludf.DUMMYFUNCTION("""COMPUTED_VALUE"""),31.06)</f>
        <v>31.06</v>
      </c>
      <c r="D322" s="1">
        <f>IFERROR(__xludf.DUMMYFUNCTION("""COMPUTED_VALUE"""),30.24)</f>
        <v>30.24</v>
      </c>
      <c r="E322" s="1">
        <f>IFERROR(__xludf.DUMMYFUNCTION("""COMPUTED_VALUE"""),31.0)</f>
        <v>31</v>
      </c>
      <c r="F322" s="1">
        <f>IFERROR(__xludf.DUMMYFUNCTION("""COMPUTED_VALUE"""),545787.0)</f>
        <v>545787</v>
      </c>
      <c r="G322" s="2" t="s">
        <v>4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IFERROR(__xludf.DUMMYFUNCTION("""COMPUTED_VALUE"""),31.22)</f>
        <v>31.22</v>
      </c>
      <c r="C323" s="1">
        <f>IFERROR(__xludf.DUMMYFUNCTION("""COMPUTED_VALUE"""),31.4)</f>
        <v>31.4</v>
      </c>
      <c r="D323" s="1">
        <f>IFERROR(__xludf.DUMMYFUNCTION("""COMPUTED_VALUE"""),30.58)</f>
        <v>30.58</v>
      </c>
      <c r="E323" s="1">
        <f>IFERROR(__xludf.DUMMYFUNCTION("""COMPUTED_VALUE"""),31.37)</f>
        <v>31.37</v>
      </c>
      <c r="F323" s="1">
        <f>IFERROR(__xludf.DUMMYFUNCTION("""COMPUTED_VALUE"""),534214.0)</f>
        <v>534214</v>
      </c>
      <c r="G323" s="2" t="s">
        <v>4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IFERROR(__xludf.DUMMYFUNCTION("""COMPUTED_VALUE"""),31.37)</f>
        <v>31.37</v>
      </c>
      <c r="C324" s="1">
        <f>IFERROR(__xludf.DUMMYFUNCTION("""COMPUTED_VALUE"""),31.45)</f>
        <v>31.45</v>
      </c>
      <c r="D324" s="1">
        <f>IFERROR(__xludf.DUMMYFUNCTION("""COMPUTED_VALUE"""),30.16)</f>
        <v>30.16</v>
      </c>
      <c r="E324" s="1">
        <f>IFERROR(__xludf.DUMMYFUNCTION("""COMPUTED_VALUE"""),30.42)</f>
        <v>30.42</v>
      </c>
      <c r="F324" s="1">
        <f>IFERROR(__xludf.DUMMYFUNCTION("""COMPUTED_VALUE"""),424756.0)</f>
        <v>424756</v>
      </c>
      <c r="G324" s="2" t="s">
        <v>4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IFERROR(__xludf.DUMMYFUNCTION("""COMPUTED_VALUE"""),30.65)</f>
        <v>30.65</v>
      </c>
      <c r="C325" s="1">
        <f>IFERROR(__xludf.DUMMYFUNCTION("""COMPUTED_VALUE"""),31.56)</f>
        <v>31.56</v>
      </c>
      <c r="D325" s="1">
        <f>IFERROR(__xludf.DUMMYFUNCTION("""COMPUTED_VALUE"""),30.38)</f>
        <v>30.38</v>
      </c>
      <c r="E325" s="1">
        <f>IFERROR(__xludf.DUMMYFUNCTION("""COMPUTED_VALUE"""),30.54)</f>
        <v>30.54</v>
      </c>
      <c r="F325" s="1">
        <f>IFERROR(__xludf.DUMMYFUNCTION("""COMPUTED_VALUE"""),521953.0)</f>
        <v>521953</v>
      </c>
      <c r="G325" s="2" t="s">
        <v>4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IFERROR(__xludf.DUMMYFUNCTION("""COMPUTED_VALUE"""),30.54)</f>
        <v>30.54</v>
      </c>
      <c r="C326" s="1">
        <f>IFERROR(__xludf.DUMMYFUNCTION("""COMPUTED_VALUE"""),30.68)</f>
        <v>30.68</v>
      </c>
      <c r="D326" s="1">
        <f>IFERROR(__xludf.DUMMYFUNCTION("""COMPUTED_VALUE"""),29.31)</f>
        <v>29.31</v>
      </c>
      <c r="E326" s="1">
        <f>IFERROR(__xludf.DUMMYFUNCTION("""COMPUTED_VALUE"""),29.62)</f>
        <v>29.62</v>
      </c>
      <c r="F326" s="1">
        <f>IFERROR(__xludf.DUMMYFUNCTION("""COMPUTED_VALUE"""),744620.0)</f>
        <v>744620</v>
      </c>
      <c r="G326" s="2" t="s">
        <v>4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IFERROR(__xludf.DUMMYFUNCTION("""COMPUTED_VALUE"""),29.55)</f>
        <v>29.55</v>
      </c>
      <c r="C327" s="1">
        <f>IFERROR(__xludf.DUMMYFUNCTION("""COMPUTED_VALUE"""),31.0)</f>
        <v>31</v>
      </c>
      <c r="D327" s="1">
        <f>IFERROR(__xludf.DUMMYFUNCTION("""COMPUTED_VALUE"""),29.45)</f>
        <v>29.45</v>
      </c>
      <c r="E327" s="1">
        <f>IFERROR(__xludf.DUMMYFUNCTION("""COMPUTED_VALUE"""),30.34)</f>
        <v>30.34</v>
      </c>
      <c r="F327" s="1">
        <f>IFERROR(__xludf.DUMMYFUNCTION("""COMPUTED_VALUE"""),615478.0)</f>
        <v>615478</v>
      </c>
      <c r="G327" s="2" t="s">
        <v>4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IFERROR(__xludf.DUMMYFUNCTION("""COMPUTED_VALUE"""),30.86)</f>
        <v>30.86</v>
      </c>
      <c r="C328" s="1">
        <f>IFERROR(__xludf.DUMMYFUNCTION("""COMPUTED_VALUE"""),32.39)</f>
        <v>32.39</v>
      </c>
      <c r="D328" s="1">
        <f>IFERROR(__xludf.DUMMYFUNCTION("""COMPUTED_VALUE"""),30.82)</f>
        <v>30.82</v>
      </c>
      <c r="E328" s="1">
        <f>IFERROR(__xludf.DUMMYFUNCTION("""COMPUTED_VALUE"""),32.31)</f>
        <v>32.31</v>
      </c>
      <c r="F328" s="1">
        <f>IFERROR(__xludf.DUMMYFUNCTION("""COMPUTED_VALUE"""),856039.0)</f>
        <v>856039</v>
      </c>
      <c r="G328" s="2" t="s">
        <v>4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IFERROR(__xludf.DUMMYFUNCTION("""COMPUTED_VALUE"""),32.36)</f>
        <v>32.36</v>
      </c>
      <c r="C329" s="1">
        <f>IFERROR(__xludf.DUMMYFUNCTION("""COMPUTED_VALUE"""),32.81)</f>
        <v>32.81</v>
      </c>
      <c r="D329" s="1">
        <f>IFERROR(__xludf.DUMMYFUNCTION("""COMPUTED_VALUE"""),30.95)</f>
        <v>30.95</v>
      </c>
      <c r="E329" s="1">
        <f>IFERROR(__xludf.DUMMYFUNCTION("""COMPUTED_VALUE"""),30.95)</f>
        <v>30.95</v>
      </c>
      <c r="F329" s="1">
        <f>IFERROR(__xludf.DUMMYFUNCTION("""COMPUTED_VALUE"""),881609.0)</f>
        <v>881609</v>
      </c>
      <c r="G329" s="2" t="s">
        <v>4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IFERROR(__xludf.DUMMYFUNCTION("""COMPUTED_VALUE"""),30.99)</f>
        <v>30.99</v>
      </c>
      <c r="C330" s="1">
        <f>IFERROR(__xludf.DUMMYFUNCTION("""COMPUTED_VALUE"""),31.87)</f>
        <v>31.87</v>
      </c>
      <c r="D330" s="1">
        <f>IFERROR(__xludf.DUMMYFUNCTION("""COMPUTED_VALUE"""),30.68)</f>
        <v>30.68</v>
      </c>
      <c r="E330" s="1">
        <f>IFERROR(__xludf.DUMMYFUNCTION("""COMPUTED_VALUE"""),31.68)</f>
        <v>31.68</v>
      </c>
      <c r="F330" s="1">
        <f>IFERROR(__xludf.DUMMYFUNCTION("""COMPUTED_VALUE"""),476961.0)</f>
        <v>476961</v>
      </c>
      <c r="G330" s="2" t="s">
        <v>4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IFERROR(__xludf.DUMMYFUNCTION("""COMPUTED_VALUE"""),31.56)</f>
        <v>31.56</v>
      </c>
      <c r="C331" s="1">
        <f>IFERROR(__xludf.DUMMYFUNCTION("""COMPUTED_VALUE"""),32.61)</f>
        <v>32.61</v>
      </c>
      <c r="D331" s="1">
        <f>IFERROR(__xludf.DUMMYFUNCTION("""COMPUTED_VALUE"""),31.54)</f>
        <v>31.54</v>
      </c>
      <c r="E331" s="1">
        <f>IFERROR(__xludf.DUMMYFUNCTION("""COMPUTED_VALUE"""),32.28)</f>
        <v>32.28</v>
      </c>
      <c r="F331" s="1">
        <f>IFERROR(__xludf.DUMMYFUNCTION("""COMPUTED_VALUE"""),552858.0)</f>
        <v>552858</v>
      </c>
      <c r="G331" s="2" t="s">
        <v>4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IFERROR(__xludf.DUMMYFUNCTION("""COMPUTED_VALUE"""),32.4)</f>
        <v>32.4</v>
      </c>
      <c r="C332" s="1">
        <f>IFERROR(__xludf.DUMMYFUNCTION("""COMPUTED_VALUE"""),33.12)</f>
        <v>33.12</v>
      </c>
      <c r="D332" s="1">
        <f>IFERROR(__xludf.DUMMYFUNCTION("""COMPUTED_VALUE"""),32.28)</f>
        <v>32.28</v>
      </c>
      <c r="E332" s="1">
        <f>IFERROR(__xludf.DUMMYFUNCTION("""COMPUTED_VALUE"""),32.53)</f>
        <v>32.53</v>
      </c>
      <c r="F332" s="1">
        <f>IFERROR(__xludf.DUMMYFUNCTION("""COMPUTED_VALUE"""),392575.0)</f>
        <v>392575</v>
      </c>
      <c r="G332" s="2" t="s">
        <v>4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IFERROR(__xludf.DUMMYFUNCTION("""COMPUTED_VALUE"""),33.02)</f>
        <v>33.02</v>
      </c>
      <c r="C333" s="1">
        <f>IFERROR(__xludf.DUMMYFUNCTION("""COMPUTED_VALUE"""),33.82)</f>
        <v>33.82</v>
      </c>
      <c r="D333" s="1">
        <f>IFERROR(__xludf.DUMMYFUNCTION("""COMPUTED_VALUE"""),32.46)</f>
        <v>32.46</v>
      </c>
      <c r="E333" s="1">
        <f>IFERROR(__xludf.DUMMYFUNCTION("""COMPUTED_VALUE"""),33.74)</f>
        <v>33.74</v>
      </c>
      <c r="F333" s="1">
        <f>IFERROR(__xludf.DUMMYFUNCTION("""COMPUTED_VALUE"""),585976.0)</f>
        <v>585976</v>
      </c>
      <c r="G333" s="2" t="s">
        <v>4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IFERROR(__xludf.DUMMYFUNCTION("""COMPUTED_VALUE"""),34.15)</f>
        <v>34.15</v>
      </c>
      <c r="C334" s="1">
        <f>IFERROR(__xludf.DUMMYFUNCTION("""COMPUTED_VALUE"""),34.85)</f>
        <v>34.85</v>
      </c>
      <c r="D334" s="1">
        <f>IFERROR(__xludf.DUMMYFUNCTION("""COMPUTED_VALUE"""),32.47)</f>
        <v>32.47</v>
      </c>
      <c r="E334" s="1">
        <f>IFERROR(__xludf.DUMMYFUNCTION("""COMPUTED_VALUE"""),33.53)</f>
        <v>33.53</v>
      </c>
      <c r="F334" s="1">
        <f>IFERROR(__xludf.DUMMYFUNCTION("""COMPUTED_VALUE"""),638895.0)</f>
        <v>638895</v>
      </c>
      <c r="G334" s="2" t="s">
        <v>4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IFERROR(__xludf.DUMMYFUNCTION("""COMPUTED_VALUE"""),33.43)</f>
        <v>33.43</v>
      </c>
      <c r="C335" s="1">
        <f>IFERROR(__xludf.DUMMYFUNCTION("""COMPUTED_VALUE"""),34.43)</f>
        <v>34.43</v>
      </c>
      <c r="D335" s="1">
        <f>IFERROR(__xludf.DUMMYFUNCTION("""COMPUTED_VALUE"""),32.66)</f>
        <v>32.66</v>
      </c>
      <c r="E335" s="1">
        <f>IFERROR(__xludf.DUMMYFUNCTION("""COMPUTED_VALUE"""),34.08)</f>
        <v>34.08</v>
      </c>
      <c r="F335" s="1">
        <f>IFERROR(__xludf.DUMMYFUNCTION("""COMPUTED_VALUE"""),574196.0)</f>
        <v>574196</v>
      </c>
      <c r="G335" s="2" t="s">
        <v>4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IFERROR(__xludf.DUMMYFUNCTION("""COMPUTED_VALUE"""),33.74)</f>
        <v>33.74</v>
      </c>
      <c r="C336" s="1">
        <f>IFERROR(__xludf.DUMMYFUNCTION("""COMPUTED_VALUE"""),33.92)</f>
        <v>33.92</v>
      </c>
      <c r="D336" s="1">
        <f>IFERROR(__xludf.DUMMYFUNCTION("""COMPUTED_VALUE"""),32.74)</f>
        <v>32.74</v>
      </c>
      <c r="E336" s="1">
        <f>IFERROR(__xludf.DUMMYFUNCTION("""COMPUTED_VALUE"""),33.41)</f>
        <v>33.41</v>
      </c>
      <c r="F336" s="1">
        <f>IFERROR(__xludf.DUMMYFUNCTION("""COMPUTED_VALUE"""),593183.0)</f>
        <v>593183</v>
      </c>
      <c r="G336" s="2" t="s">
        <v>4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IFERROR(__xludf.DUMMYFUNCTION("""COMPUTED_VALUE"""),33.09)</f>
        <v>33.09</v>
      </c>
      <c r="C337" s="1">
        <f>IFERROR(__xludf.DUMMYFUNCTION("""COMPUTED_VALUE"""),33.84)</f>
        <v>33.84</v>
      </c>
      <c r="D337" s="1">
        <f>IFERROR(__xludf.DUMMYFUNCTION("""COMPUTED_VALUE"""),32.99)</f>
        <v>32.99</v>
      </c>
      <c r="E337" s="1">
        <f>IFERROR(__xludf.DUMMYFUNCTION("""COMPUTED_VALUE"""),33.4)</f>
        <v>33.4</v>
      </c>
      <c r="F337" s="1">
        <f>IFERROR(__xludf.DUMMYFUNCTION("""COMPUTED_VALUE"""),585501.0)</f>
        <v>585501</v>
      </c>
      <c r="G337" s="2" t="s">
        <v>4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IFERROR(__xludf.DUMMYFUNCTION("""COMPUTED_VALUE"""),33.6)</f>
        <v>33.6</v>
      </c>
      <c r="C338" s="1">
        <f>IFERROR(__xludf.DUMMYFUNCTION("""COMPUTED_VALUE"""),33.92)</f>
        <v>33.92</v>
      </c>
      <c r="D338" s="1">
        <f>IFERROR(__xludf.DUMMYFUNCTION("""COMPUTED_VALUE"""),32.94)</f>
        <v>32.94</v>
      </c>
      <c r="E338" s="1">
        <f>IFERROR(__xludf.DUMMYFUNCTION("""COMPUTED_VALUE"""),33.47)</f>
        <v>33.47</v>
      </c>
      <c r="F338" s="1">
        <f>IFERROR(__xludf.DUMMYFUNCTION("""COMPUTED_VALUE"""),520523.0)</f>
        <v>520523</v>
      </c>
      <c r="G338" s="2" t="s">
        <v>4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IFERROR(__xludf.DUMMYFUNCTION("""COMPUTED_VALUE"""),33.31)</f>
        <v>33.31</v>
      </c>
      <c r="C339" s="1">
        <f>IFERROR(__xludf.DUMMYFUNCTION("""COMPUTED_VALUE"""),33.35)</f>
        <v>33.35</v>
      </c>
      <c r="D339" s="1">
        <f>IFERROR(__xludf.DUMMYFUNCTION("""COMPUTED_VALUE"""),32.28)</f>
        <v>32.28</v>
      </c>
      <c r="E339" s="1">
        <f>IFERROR(__xludf.DUMMYFUNCTION("""COMPUTED_VALUE"""),32.83)</f>
        <v>32.83</v>
      </c>
      <c r="F339" s="1">
        <f>IFERROR(__xludf.DUMMYFUNCTION("""COMPUTED_VALUE"""),572337.0)</f>
        <v>572337</v>
      </c>
      <c r="G339" s="2" t="s">
        <v>4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IFERROR(__xludf.DUMMYFUNCTION("""COMPUTED_VALUE"""),31.87)</f>
        <v>31.87</v>
      </c>
      <c r="C340" s="1">
        <f>IFERROR(__xludf.DUMMYFUNCTION("""COMPUTED_VALUE"""),36.25)</f>
        <v>36.25</v>
      </c>
      <c r="D340" s="1">
        <f>IFERROR(__xludf.DUMMYFUNCTION("""COMPUTED_VALUE"""),30.4)</f>
        <v>30.4</v>
      </c>
      <c r="E340" s="1">
        <f>IFERROR(__xludf.DUMMYFUNCTION("""COMPUTED_VALUE"""),36.08)</f>
        <v>36.08</v>
      </c>
      <c r="F340" s="1">
        <f>IFERROR(__xludf.DUMMYFUNCTION("""COMPUTED_VALUE"""),1480431.0)</f>
        <v>1480431</v>
      </c>
      <c r="G340" s="2" t="s">
        <v>4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IFERROR(__xludf.DUMMYFUNCTION("""COMPUTED_VALUE"""),35.88)</f>
        <v>35.88</v>
      </c>
      <c r="C341" s="1">
        <f>IFERROR(__xludf.DUMMYFUNCTION("""COMPUTED_VALUE"""),36.72)</f>
        <v>36.72</v>
      </c>
      <c r="D341" s="1">
        <f>IFERROR(__xludf.DUMMYFUNCTION("""COMPUTED_VALUE"""),35.31)</f>
        <v>35.31</v>
      </c>
      <c r="E341" s="1">
        <f>IFERROR(__xludf.DUMMYFUNCTION("""COMPUTED_VALUE"""),36.13)</f>
        <v>36.13</v>
      </c>
      <c r="F341" s="1">
        <f>IFERROR(__xludf.DUMMYFUNCTION("""COMPUTED_VALUE"""),924659.0)</f>
        <v>924659</v>
      </c>
      <c r="G341" s="2" t="s">
        <v>4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IFERROR(__xludf.DUMMYFUNCTION("""COMPUTED_VALUE"""),36.17)</f>
        <v>36.17</v>
      </c>
      <c r="C342" s="1">
        <f>IFERROR(__xludf.DUMMYFUNCTION("""COMPUTED_VALUE"""),37.38)</f>
        <v>37.38</v>
      </c>
      <c r="D342" s="1">
        <f>IFERROR(__xludf.DUMMYFUNCTION("""COMPUTED_VALUE"""),36.0)</f>
        <v>36</v>
      </c>
      <c r="E342" s="1">
        <f>IFERROR(__xludf.DUMMYFUNCTION("""COMPUTED_VALUE"""),37.24)</f>
        <v>37.24</v>
      </c>
      <c r="F342" s="1">
        <f>IFERROR(__xludf.DUMMYFUNCTION("""COMPUTED_VALUE"""),876063.0)</f>
        <v>876063</v>
      </c>
      <c r="G342" s="2" t="s">
        <v>4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IFERROR(__xludf.DUMMYFUNCTION("""COMPUTED_VALUE"""),37.24)</f>
        <v>37.24</v>
      </c>
      <c r="C343" s="1">
        <f>IFERROR(__xludf.DUMMYFUNCTION("""COMPUTED_VALUE"""),38.17)</f>
        <v>38.17</v>
      </c>
      <c r="D343" s="1">
        <f>IFERROR(__xludf.DUMMYFUNCTION("""COMPUTED_VALUE"""),36.76)</f>
        <v>36.76</v>
      </c>
      <c r="E343" s="1">
        <f>IFERROR(__xludf.DUMMYFUNCTION("""COMPUTED_VALUE"""),37.87)</f>
        <v>37.87</v>
      </c>
      <c r="F343" s="1">
        <f>IFERROR(__xludf.DUMMYFUNCTION("""COMPUTED_VALUE"""),669450.0)</f>
        <v>669450</v>
      </c>
      <c r="G343" s="2" t="s">
        <v>4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IFERROR(__xludf.DUMMYFUNCTION("""COMPUTED_VALUE"""),37.73)</f>
        <v>37.73</v>
      </c>
      <c r="C344" s="1">
        <f>IFERROR(__xludf.DUMMYFUNCTION("""COMPUTED_VALUE"""),39.5)</f>
        <v>39.5</v>
      </c>
      <c r="D344" s="1">
        <f>IFERROR(__xludf.DUMMYFUNCTION("""COMPUTED_VALUE"""),37.6)</f>
        <v>37.6</v>
      </c>
      <c r="E344" s="1">
        <f>IFERROR(__xludf.DUMMYFUNCTION("""COMPUTED_VALUE"""),39.44)</f>
        <v>39.44</v>
      </c>
      <c r="F344" s="1">
        <f>IFERROR(__xludf.DUMMYFUNCTION("""COMPUTED_VALUE"""),888478.0)</f>
        <v>888478</v>
      </c>
      <c r="G344" s="2" t="s">
        <v>4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IFERROR(__xludf.DUMMYFUNCTION("""COMPUTED_VALUE"""),39.47)</f>
        <v>39.47</v>
      </c>
      <c r="C345" s="1">
        <f>IFERROR(__xludf.DUMMYFUNCTION("""COMPUTED_VALUE"""),40.11)</f>
        <v>40.11</v>
      </c>
      <c r="D345" s="1">
        <f>IFERROR(__xludf.DUMMYFUNCTION("""COMPUTED_VALUE"""),39.05)</f>
        <v>39.05</v>
      </c>
      <c r="E345" s="1">
        <f>IFERROR(__xludf.DUMMYFUNCTION("""COMPUTED_VALUE"""),39.6)</f>
        <v>39.6</v>
      </c>
      <c r="F345" s="1">
        <f>IFERROR(__xludf.DUMMYFUNCTION("""COMPUTED_VALUE"""),604591.0)</f>
        <v>604591</v>
      </c>
      <c r="G345" s="2" t="s">
        <v>4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IFERROR(__xludf.DUMMYFUNCTION("""COMPUTED_VALUE"""),39.33)</f>
        <v>39.33</v>
      </c>
      <c r="C346" s="1">
        <f>IFERROR(__xludf.DUMMYFUNCTION("""COMPUTED_VALUE"""),39.33)</f>
        <v>39.33</v>
      </c>
      <c r="D346" s="1">
        <f>IFERROR(__xludf.DUMMYFUNCTION("""COMPUTED_VALUE"""),38.23)</f>
        <v>38.23</v>
      </c>
      <c r="E346" s="1">
        <f>IFERROR(__xludf.DUMMYFUNCTION("""COMPUTED_VALUE"""),38.61)</f>
        <v>38.61</v>
      </c>
      <c r="F346" s="1">
        <f>IFERROR(__xludf.DUMMYFUNCTION("""COMPUTED_VALUE"""),307327.0)</f>
        <v>307327</v>
      </c>
      <c r="G346" s="2" t="s">
        <v>4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IFERROR(__xludf.DUMMYFUNCTION("""COMPUTED_VALUE"""),38.53)</f>
        <v>38.53</v>
      </c>
      <c r="C347" s="1">
        <f>IFERROR(__xludf.DUMMYFUNCTION("""COMPUTED_VALUE"""),38.69)</f>
        <v>38.69</v>
      </c>
      <c r="D347" s="1">
        <f>IFERROR(__xludf.DUMMYFUNCTION("""COMPUTED_VALUE"""),37.75)</f>
        <v>37.75</v>
      </c>
      <c r="E347" s="1">
        <f>IFERROR(__xludf.DUMMYFUNCTION("""COMPUTED_VALUE"""),38.26)</f>
        <v>38.26</v>
      </c>
      <c r="F347" s="1">
        <f>IFERROR(__xludf.DUMMYFUNCTION("""COMPUTED_VALUE"""),369909.0)</f>
        <v>369909</v>
      </c>
      <c r="G347" s="2" t="s">
        <v>4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IFERROR(__xludf.DUMMYFUNCTION("""COMPUTED_VALUE"""),38.2)</f>
        <v>38.2</v>
      </c>
      <c r="C348" s="1">
        <f>IFERROR(__xludf.DUMMYFUNCTION("""COMPUTED_VALUE"""),39.0)</f>
        <v>39</v>
      </c>
      <c r="D348" s="1">
        <f>IFERROR(__xludf.DUMMYFUNCTION("""COMPUTED_VALUE"""),37.57)</f>
        <v>37.57</v>
      </c>
      <c r="E348" s="1">
        <f>IFERROR(__xludf.DUMMYFUNCTION("""COMPUTED_VALUE"""),38.69)</f>
        <v>38.69</v>
      </c>
      <c r="F348" s="1">
        <f>IFERROR(__xludf.DUMMYFUNCTION("""COMPUTED_VALUE"""),471470.0)</f>
        <v>471470</v>
      </c>
      <c r="G348" s="2" t="s">
        <v>4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IFERROR(__xludf.DUMMYFUNCTION("""COMPUTED_VALUE"""),38.65)</f>
        <v>38.65</v>
      </c>
      <c r="C349" s="1">
        <f>IFERROR(__xludf.DUMMYFUNCTION("""COMPUTED_VALUE"""),39.34)</f>
        <v>39.34</v>
      </c>
      <c r="D349" s="1">
        <f>IFERROR(__xludf.DUMMYFUNCTION("""COMPUTED_VALUE"""),38.53)</f>
        <v>38.53</v>
      </c>
      <c r="E349" s="1">
        <f>IFERROR(__xludf.DUMMYFUNCTION("""COMPUTED_VALUE"""),39.1)</f>
        <v>39.1</v>
      </c>
      <c r="F349" s="1">
        <f>IFERROR(__xludf.DUMMYFUNCTION("""COMPUTED_VALUE"""),420985.0)</f>
        <v>420985</v>
      </c>
      <c r="G349" s="2" t="s">
        <v>4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IFERROR(__xludf.DUMMYFUNCTION("""COMPUTED_VALUE"""),39.1)</f>
        <v>39.1</v>
      </c>
      <c r="C350" s="1">
        <f>IFERROR(__xludf.DUMMYFUNCTION("""COMPUTED_VALUE"""),39.85)</f>
        <v>39.85</v>
      </c>
      <c r="D350" s="1">
        <f>IFERROR(__xludf.DUMMYFUNCTION("""COMPUTED_VALUE"""),39.08)</f>
        <v>39.08</v>
      </c>
      <c r="E350" s="1">
        <f>IFERROR(__xludf.DUMMYFUNCTION("""COMPUTED_VALUE"""),39.56)</f>
        <v>39.56</v>
      </c>
      <c r="F350" s="1">
        <f>IFERROR(__xludf.DUMMYFUNCTION("""COMPUTED_VALUE"""),389172.0)</f>
        <v>389172</v>
      </c>
      <c r="G350" s="2" t="s">
        <v>4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IFERROR(__xludf.DUMMYFUNCTION("""COMPUTED_VALUE"""),39.37)</f>
        <v>39.37</v>
      </c>
      <c r="C351" s="1">
        <f>IFERROR(__xludf.DUMMYFUNCTION("""COMPUTED_VALUE"""),40.3)</f>
        <v>40.3</v>
      </c>
      <c r="D351" s="1">
        <f>IFERROR(__xludf.DUMMYFUNCTION("""COMPUTED_VALUE"""),39.37)</f>
        <v>39.37</v>
      </c>
      <c r="E351" s="1">
        <f>IFERROR(__xludf.DUMMYFUNCTION("""COMPUTED_VALUE"""),40.09)</f>
        <v>40.09</v>
      </c>
      <c r="F351" s="1">
        <f>IFERROR(__xludf.DUMMYFUNCTION("""COMPUTED_VALUE"""),413961.0)</f>
        <v>413961</v>
      </c>
      <c r="G351" s="2" t="s">
        <v>4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IFERROR(__xludf.DUMMYFUNCTION("""COMPUTED_VALUE"""),40.09)</f>
        <v>40.09</v>
      </c>
      <c r="C352" s="1">
        <f>IFERROR(__xludf.DUMMYFUNCTION("""COMPUTED_VALUE"""),40.4)</f>
        <v>40.4</v>
      </c>
      <c r="D352" s="1">
        <f>IFERROR(__xludf.DUMMYFUNCTION("""COMPUTED_VALUE"""),39.32)</f>
        <v>39.32</v>
      </c>
      <c r="E352" s="1">
        <f>IFERROR(__xludf.DUMMYFUNCTION("""COMPUTED_VALUE"""),39.53)</f>
        <v>39.53</v>
      </c>
      <c r="F352" s="1">
        <f>IFERROR(__xludf.DUMMYFUNCTION("""COMPUTED_VALUE"""),439391.0)</f>
        <v>439391</v>
      </c>
      <c r="G352" s="2" t="s">
        <v>4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IFERROR(__xludf.DUMMYFUNCTION("""COMPUTED_VALUE"""),39.27)</f>
        <v>39.27</v>
      </c>
      <c r="C353" s="1">
        <f>IFERROR(__xludf.DUMMYFUNCTION("""COMPUTED_VALUE"""),40.87)</f>
        <v>40.87</v>
      </c>
      <c r="D353" s="1">
        <f>IFERROR(__xludf.DUMMYFUNCTION("""COMPUTED_VALUE"""),39.21)</f>
        <v>39.21</v>
      </c>
      <c r="E353" s="1">
        <f>IFERROR(__xludf.DUMMYFUNCTION("""COMPUTED_VALUE"""),40.87)</f>
        <v>40.87</v>
      </c>
      <c r="F353" s="1">
        <f>IFERROR(__xludf.DUMMYFUNCTION("""COMPUTED_VALUE"""),606676.0)</f>
        <v>606676</v>
      </c>
      <c r="G353" s="2" t="s">
        <v>4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IFERROR(__xludf.DUMMYFUNCTION("""COMPUTED_VALUE"""),40.8)</f>
        <v>40.8</v>
      </c>
      <c r="C354" s="1">
        <f>IFERROR(__xludf.DUMMYFUNCTION("""COMPUTED_VALUE"""),41.1)</f>
        <v>41.1</v>
      </c>
      <c r="D354" s="1">
        <f>IFERROR(__xludf.DUMMYFUNCTION("""COMPUTED_VALUE"""),40.35)</f>
        <v>40.35</v>
      </c>
      <c r="E354" s="1">
        <f>IFERROR(__xludf.DUMMYFUNCTION("""COMPUTED_VALUE"""),40.53)</f>
        <v>40.53</v>
      </c>
      <c r="F354" s="1">
        <f>IFERROR(__xludf.DUMMYFUNCTION("""COMPUTED_VALUE"""),331890.0)</f>
        <v>331890</v>
      </c>
      <c r="G354" s="2" t="s">
        <v>4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IFERROR(__xludf.DUMMYFUNCTION("""COMPUTED_VALUE"""),40.57)</f>
        <v>40.57</v>
      </c>
      <c r="C355" s="1">
        <f>IFERROR(__xludf.DUMMYFUNCTION("""COMPUTED_VALUE"""),40.7)</f>
        <v>40.7</v>
      </c>
      <c r="D355" s="1">
        <f>IFERROR(__xludf.DUMMYFUNCTION("""COMPUTED_VALUE"""),39.56)</f>
        <v>39.56</v>
      </c>
      <c r="E355" s="1">
        <f>IFERROR(__xludf.DUMMYFUNCTION("""COMPUTED_VALUE"""),39.56)</f>
        <v>39.56</v>
      </c>
      <c r="F355" s="1">
        <f>IFERROR(__xludf.DUMMYFUNCTION("""COMPUTED_VALUE"""),253648.0)</f>
        <v>253648</v>
      </c>
      <c r="G355" s="2" t="s">
        <v>4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IFERROR(__xludf.DUMMYFUNCTION("""COMPUTED_VALUE"""),39.1)</f>
        <v>39.1</v>
      </c>
      <c r="C356" s="1">
        <f>IFERROR(__xludf.DUMMYFUNCTION("""COMPUTED_VALUE"""),39.1)</f>
        <v>39.1</v>
      </c>
      <c r="D356" s="1">
        <f>IFERROR(__xludf.DUMMYFUNCTION("""COMPUTED_VALUE"""),36.84)</f>
        <v>36.84</v>
      </c>
      <c r="E356" s="1">
        <f>IFERROR(__xludf.DUMMYFUNCTION("""COMPUTED_VALUE"""),37.11)</f>
        <v>37.11</v>
      </c>
      <c r="F356" s="1">
        <f>IFERROR(__xludf.DUMMYFUNCTION("""COMPUTED_VALUE"""),846530.0)</f>
        <v>846530</v>
      </c>
      <c r="G356" s="2" t="s">
        <v>4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IFERROR(__xludf.DUMMYFUNCTION("""COMPUTED_VALUE"""),36.71)</f>
        <v>36.71</v>
      </c>
      <c r="C357" s="1">
        <f>IFERROR(__xludf.DUMMYFUNCTION("""COMPUTED_VALUE"""),37.23)</f>
        <v>37.23</v>
      </c>
      <c r="D357" s="1">
        <f>IFERROR(__xludf.DUMMYFUNCTION("""COMPUTED_VALUE"""),35.89)</f>
        <v>35.89</v>
      </c>
      <c r="E357" s="1">
        <f>IFERROR(__xludf.DUMMYFUNCTION("""COMPUTED_VALUE"""),36.09)</f>
        <v>36.09</v>
      </c>
      <c r="F357" s="1">
        <f>IFERROR(__xludf.DUMMYFUNCTION("""COMPUTED_VALUE"""),522737.0)</f>
        <v>522737</v>
      </c>
      <c r="G357" s="2" t="s">
        <v>4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IFERROR(__xludf.DUMMYFUNCTION("""COMPUTED_VALUE"""),35.7)</f>
        <v>35.7</v>
      </c>
      <c r="C358" s="1">
        <f>IFERROR(__xludf.DUMMYFUNCTION("""COMPUTED_VALUE"""),36.51)</f>
        <v>36.51</v>
      </c>
      <c r="D358" s="1">
        <f>IFERROR(__xludf.DUMMYFUNCTION("""COMPUTED_VALUE"""),35.32)</f>
        <v>35.32</v>
      </c>
      <c r="E358" s="1">
        <f>IFERROR(__xludf.DUMMYFUNCTION("""COMPUTED_VALUE"""),35.61)</f>
        <v>35.61</v>
      </c>
      <c r="F358" s="1">
        <f>IFERROR(__xludf.DUMMYFUNCTION("""COMPUTED_VALUE"""),399488.0)</f>
        <v>399488</v>
      </c>
      <c r="G358" s="2" t="s">
        <v>4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IFERROR(__xludf.DUMMYFUNCTION("""COMPUTED_VALUE"""),35.78)</f>
        <v>35.78</v>
      </c>
      <c r="C359" s="1">
        <f>IFERROR(__xludf.DUMMYFUNCTION("""COMPUTED_VALUE"""),38.01)</f>
        <v>38.01</v>
      </c>
      <c r="D359" s="1">
        <f>IFERROR(__xludf.DUMMYFUNCTION("""COMPUTED_VALUE"""),35.65)</f>
        <v>35.65</v>
      </c>
      <c r="E359" s="1">
        <f>IFERROR(__xludf.DUMMYFUNCTION("""COMPUTED_VALUE"""),37.5)</f>
        <v>37.5</v>
      </c>
      <c r="F359" s="1">
        <f>IFERROR(__xludf.DUMMYFUNCTION("""COMPUTED_VALUE"""),542028.0)</f>
        <v>542028</v>
      </c>
      <c r="G359" s="2" t="s">
        <v>4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IFERROR(__xludf.DUMMYFUNCTION("""COMPUTED_VALUE"""),37.42)</f>
        <v>37.42</v>
      </c>
      <c r="C360" s="1">
        <f>IFERROR(__xludf.DUMMYFUNCTION("""COMPUTED_VALUE"""),37.84)</f>
        <v>37.84</v>
      </c>
      <c r="D360" s="1">
        <f>IFERROR(__xludf.DUMMYFUNCTION("""COMPUTED_VALUE"""),36.66)</f>
        <v>36.66</v>
      </c>
      <c r="E360" s="1">
        <f>IFERROR(__xludf.DUMMYFUNCTION("""COMPUTED_VALUE"""),37.41)</f>
        <v>37.41</v>
      </c>
      <c r="F360" s="1">
        <f>IFERROR(__xludf.DUMMYFUNCTION("""COMPUTED_VALUE"""),391787.0)</f>
        <v>391787</v>
      </c>
      <c r="G360" s="2" t="s">
        <v>4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IFERROR(__xludf.DUMMYFUNCTION("""COMPUTED_VALUE"""),37.37)</f>
        <v>37.37</v>
      </c>
      <c r="C361" s="1">
        <f>IFERROR(__xludf.DUMMYFUNCTION("""COMPUTED_VALUE"""),37.55)</f>
        <v>37.55</v>
      </c>
      <c r="D361" s="1">
        <f>IFERROR(__xludf.DUMMYFUNCTION("""COMPUTED_VALUE"""),36.99)</f>
        <v>36.99</v>
      </c>
      <c r="E361" s="1">
        <f>IFERROR(__xludf.DUMMYFUNCTION("""COMPUTED_VALUE"""),37.09)</f>
        <v>37.09</v>
      </c>
      <c r="F361" s="1">
        <f>IFERROR(__xludf.DUMMYFUNCTION("""COMPUTED_VALUE"""),142028.0)</f>
        <v>142028</v>
      </c>
      <c r="G361" s="2" t="s">
        <v>4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IFERROR(__xludf.DUMMYFUNCTION("""COMPUTED_VALUE"""),37.34)</f>
        <v>37.34</v>
      </c>
      <c r="C362" s="1">
        <f>IFERROR(__xludf.DUMMYFUNCTION("""COMPUTED_VALUE"""),37.87)</f>
        <v>37.87</v>
      </c>
      <c r="D362" s="1">
        <f>IFERROR(__xludf.DUMMYFUNCTION("""COMPUTED_VALUE"""),36.64)</f>
        <v>36.64</v>
      </c>
      <c r="E362" s="1">
        <f>IFERROR(__xludf.DUMMYFUNCTION("""COMPUTED_VALUE"""),36.64)</f>
        <v>36.64</v>
      </c>
      <c r="F362" s="1">
        <f>IFERROR(__xludf.DUMMYFUNCTION("""COMPUTED_VALUE"""),341938.0)</f>
        <v>341938</v>
      </c>
      <c r="G362" s="2" t="s">
        <v>4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IFERROR(__xludf.DUMMYFUNCTION("""COMPUTED_VALUE"""),36.3)</f>
        <v>36.3</v>
      </c>
      <c r="C363" s="1">
        <f>IFERROR(__xludf.DUMMYFUNCTION("""COMPUTED_VALUE"""),36.34)</f>
        <v>36.34</v>
      </c>
      <c r="D363" s="1">
        <f>IFERROR(__xludf.DUMMYFUNCTION("""COMPUTED_VALUE"""),34.82)</f>
        <v>34.82</v>
      </c>
      <c r="E363" s="1">
        <f>IFERROR(__xludf.DUMMYFUNCTION("""COMPUTED_VALUE"""),35.0)</f>
        <v>35</v>
      </c>
      <c r="F363" s="1">
        <f>IFERROR(__xludf.DUMMYFUNCTION("""COMPUTED_VALUE"""),1666066.0)</f>
        <v>1666066</v>
      </c>
      <c r="G363" s="2" t="s">
        <v>4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IFERROR(__xludf.DUMMYFUNCTION("""COMPUTED_VALUE"""),35.29)</f>
        <v>35.29</v>
      </c>
      <c r="C364" s="1">
        <f>IFERROR(__xludf.DUMMYFUNCTION("""COMPUTED_VALUE"""),35.46)</f>
        <v>35.46</v>
      </c>
      <c r="D364" s="1">
        <f>IFERROR(__xludf.DUMMYFUNCTION("""COMPUTED_VALUE"""),34.64)</f>
        <v>34.64</v>
      </c>
      <c r="E364" s="1">
        <f>IFERROR(__xludf.DUMMYFUNCTION("""COMPUTED_VALUE"""),35.18)</f>
        <v>35.18</v>
      </c>
      <c r="F364" s="1">
        <f>IFERROR(__xludf.DUMMYFUNCTION("""COMPUTED_VALUE"""),482899.0)</f>
        <v>482899</v>
      </c>
      <c r="G364" s="2" t="s">
        <v>4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IFERROR(__xludf.DUMMYFUNCTION("""COMPUTED_VALUE"""),35.6)</f>
        <v>35.6</v>
      </c>
      <c r="C365" s="1">
        <f>IFERROR(__xludf.DUMMYFUNCTION("""COMPUTED_VALUE"""),37.08)</f>
        <v>37.08</v>
      </c>
      <c r="D365" s="1">
        <f>IFERROR(__xludf.DUMMYFUNCTION("""COMPUTED_VALUE"""),35.6)</f>
        <v>35.6</v>
      </c>
      <c r="E365" s="1">
        <f>IFERROR(__xludf.DUMMYFUNCTION("""COMPUTED_VALUE"""),36.69)</f>
        <v>36.69</v>
      </c>
      <c r="F365" s="1">
        <f>IFERROR(__xludf.DUMMYFUNCTION("""COMPUTED_VALUE"""),428831.0)</f>
        <v>428831</v>
      </c>
      <c r="G365" s="2" t="s">
        <v>4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IFERROR(__xludf.DUMMYFUNCTION("""COMPUTED_VALUE"""),36.38)</f>
        <v>36.38</v>
      </c>
      <c r="C366" s="1">
        <f>IFERROR(__xludf.DUMMYFUNCTION("""COMPUTED_VALUE"""),36.44)</f>
        <v>36.44</v>
      </c>
      <c r="D366" s="1">
        <f>IFERROR(__xludf.DUMMYFUNCTION("""COMPUTED_VALUE"""),35.37)</f>
        <v>35.37</v>
      </c>
      <c r="E366" s="1">
        <f>IFERROR(__xludf.DUMMYFUNCTION("""COMPUTED_VALUE"""),35.42)</f>
        <v>35.42</v>
      </c>
      <c r="F366" s="1">
        <f>IFERROR(__xludf.DUMMYFUNCTION("""COMPUTED_VALUE"""),404604.0)</f>
        <v>404604</v>
      </c>
      <c r="G366" s="2" t="s">
        <v>4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IFERROR(__xludf.DUMMYFUNCTION("""COMPUTED_VALUE"""),35.0)</f>
        <v>35</v>
      </c>
      <c r="C367" s="1">
        <f>IFERROR(__xludf.DUMMYFUNCTION("""COMPUTED_VALUE"""),35.25)</f>
        <v>35.25</v>
      </c>
      <c r="D367" s="1">
        <f>IFERROR(__xludf.DUMMYFUNCTION("""COMPUTED_VALUE"""),33.99)</f>
        <v>33.99</v>
      </c>
      <c r="E367" s="1">
        <f>IFERROR(__xludf.DUMMYFUNCTION("""COMPUTED_VALUE"""),34.62)</f>
        <v>34.62</v>
      </c>
      <c r="F367" s="1">
        <f>IFERROR(__xludf.DUMMYFUNCTION("""COMPUTED_VALUE"""),452803.0)</f>
        <v>452803</v>
      </c>
      <c r="G367" s="2" t="s">
        <v>4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IFERROR(__xludf.DUMMYFUNCTION("""COMPUTED_VALUE"""),34.6)</f>
        <v>34.6</v>
      </c>
      <c r="C368" s="1">
        <f>IFERROR(__xludf.DUMMYFUNCTION("""COMPUTED_VALUE"""),34.8)</f>
        <v>34.8</v>
      </c>
      <c r="D368" s="1">
        <f>IFERROR(__xludf.DUMMYFUNCTION("""COMPUTED_VALUE"""),33.83)</f>
        <v>33.83</v>
      </c>
      <c r="E368" s="1">
        <f>IFERROR(__xludf.DUMMYFUNCTION("""COMPUTED_VALUE"""),34.24)</f>
        <v>34.24</v>
      </c>
      <c r="F368" s="1">
        <f>IFERROR(__xludf.DUMMYFUNCTION("""COMPUTED_VALUE"""),426700.0)</f>
        <v>426700</v>
      </c>
      <c r="G368" s="2" t="s">
        <v>4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IFERROR(__xludf.DUMMYFUNCTION("""COMPUTED_VALUE"""),33.91)</f>
        <v>33.91</v>
      </c>
      <c r="C369" s="1">
        <f>IFERROR(__xludf.DUMMYFUNCTION("""COMPUTED_VALUE"""),34.53)</f>
        <v>34.53</v>
      </c>
      <c r="D369" s="1">
        <f>IFERROR(__xludf.DUMMYFUNCTION("""COMPUTED_VALUE"""),33.7)</f>
        <v>33.7</v>
      </c>
      <c r="E369" s="1">
        <f>IFERROR(__xludf.DUMMYFUNCTION("""COMPUTED_VALUE"""),34.53)</f>
        <v>34.53</v>
      </c>
      <c r="F369" s="1">
        <f>IFERROR(__xludf.DUMMYFUNCTION("""COMPUTED_VALUE"""),491792.0)</f>
        <v>491792</v>
      </c>
      <c r="G369" s="2" t="s">
        <v>4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IFERROR(__xludf.DUMMYFUNCTION("""COMPUTED_VALUE"""),34.42)</f>
        <v>34.42</v>
      </c>
      <c r="C370" s="1">
        <f>IFERROR(__xludf.DUMMYFUNCTION("""COMPUTED_VALUE"""),35.81)</f>
        <v>35.81</v>
      </c>
      <c r="D370" s="1">
        <f>IFERROR(__xludf.DUMMYFUNCTION("""COMPUTED_VALUE"""),34.16)</f>
        <v>34.16</v>
      </c>
      <c r="E370" s="1">
        <f>IFERROR(__xludf.DUMMYFUNCTION("""COMPUTED_VALUE"""),35.75)</f>
        <v>35.75</v>
      </c>
      <c r="F370" s="1">
        <f>IFERROR(__xludf.DUMMYFUNCTION("""COMPUTED_VALUE"""),591191.0)</f>
        <v>591191</v>
      </c>
      <c r="G370" s="2" t="s">
        <v>4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IFERROR(__xludf.DUMMYFUNCTION("""COMPUTED_VALUE"""),35.95)</f>
        <v>35.95</v>
      </c>
      <c r="C371" s="1">
        <f>IFERROR(__xludf.DUMMYFUNCTION("""COMPUTED_VALUE"""),36.57)</f>
        <v>36.57</v>
      </c>
      <c r="D371" s="1">
        <f>IFERROR(__xludf.DUMMYFUNCTION("""COMPUTED_VALUE"""),35.55)</f>
        <v>35.55</v>
      </c>
      <c r="E371" s="1">
        <f>IFERROR(__xludf.DUMMYFUNCTION("""COMPUTED_VALUE"""),36.47)</f>
        <v>36.47</v>
      </c>
      <c r="F371" s="1">
        <f>IFERROR(__xludf.DUMMYFUNCTION("""COMPUTED_VALUE"""),468257.0)</f>
        <v>468257</v>
      </c>
      <c r="G371" s="2" t="s">
        <v>4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IFERROR(__xludf.DUMMYFUNCTION("""COMPUTED_VALUE"""),36.72)</f>
        <v>36.72</v>
      </c>
      <c r="C372" s="1">
        <f>IFERROR(__xludf.DUMMYFUNCTION("""COMPUTED_VALUE"""),37.1)</f>
        <v>37.1</v>
      </c>
      <c r="D372" s="1">
        <f>IFERROR(__xludf.DUMMYFUNCTION("""COMPUTED_VALUE"""),35.73)</f>
        <v>35.73</v>
      </c>
      <c r="E372" s="1">
        <f>IFERROR(__xludf.DUMMYFUNCTION("""COMPUTED_VALUE"""),36.65)</f>
        <v>36.65</v>
      </c>
      <c r="F372" s="1">
        <f>IFERROR(__xludf.DUMMYFUNCTION("""COMPUTED_VALUE"""),601306.0)</f>
        <v>601306</v>
      </c>
      <c r="G372" s="2" t="s">
        <v>4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IFERROR(__xludf.DUMMYFUNCTION("""COMPUTED_VALUE"""),36.4)</f>
        <v>36.4</v>
      </c>
      <c r="C373" s="1">
        <f>IFERROR(__xludf.DUMMYFUNCTION("""COMPUTED_VALUE"""),37.26)</f>
        <v>37.26</v>
      </c>
      <c r="D373" s="1">
        <f>IFERROR(__xludf.DUMMYFUNCTION("""COMPUTED_VALUE"""),35.97)</f>
        <v>35.97</v>
      </c>
      <c r="E373" s="1">
        <f>IFERROR(__xludf.DUMMYFUNCTION("""COMPUTED_VALUE"""),36.49)</f>
        <v>36.49</v>
      </c>
      <c r="F373" s="1">
        <f>IFERROR(__xludf.DUMMYFUNCTION("""COMPUTED_VALUE"""),401608.0)</f>
        <v>401608</v>
      </c>
      <c r="G373" s="2" t="s">
        <v>4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IFERROR(__xludf.DUMMYFUNCTION("""COMPUTED_VALUE"""),36.23)</f>
        <v>36.23</v>
      </c>
      <c r="C374" s="1">
        <f>IFERROR(__xludf.DUMMYFUNCTION("""COMPUTED_VALUE"""),36.86)</f>
        <v>36.86</v>
      </c>
      <c r="D374" s="1">
        <f>IFERROR(__xludf.DUMMYFUNCTION("""COMPUTED_VALUE"""),35.07)</f>
        <v>35.07</v>
      </c>
      <c r="E374" s="1">
        <f>IFERROR(__xludf.DUMMYFUNCTION("""COMPUTED_VALUE"""),35.19)</f>
        <v>35.19</v>
      </c>
      <c r="F374" s="1">
        <f>IFERROR(__xludf.DUMMYFUNCTION("""COMPUTED_VALUE"""),416376.0)</f>
        <v>416376</v>
      </c>
      <c r="G374" s="2" t="s">
        <v>4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IFERROR(__xludf.DUMMYFUNCTION("""COMPUTED_VALUE"""),35.5)</f>
        <v>35.5</v>
      </c>
      <c r="C375" s="1">
        <f>IFERROR(__xludf.DUMMYFUNCTION("""COMPUTED_VALUE"""),37.62)</f>
        <v>37.62</v>
      </c>
      <c r="D375" s="1">
        <f>IFERROR(__xludf.DUMMYFUNCTION("""COMPUTED_VALUE"""),35.47)</f>
        <v>35.47</v>
      </c>
      <c r="E375" s="1">
        <f>IFERROR(__xludf.DUMMYFUNCTION("""COMPUTED_VALUE"""),36.54)</f>
        <v>36.54</v>
      </c>
      <c r="F375" s="1">
        <f>IFERROR(__xludf.DUMMYFUNCTION("""COMPUTED_VALUE"""),1114664.0)</f>
        <v>1114664</v>
      </c>
      <c r="G375" s="2" t="s">
        <v>4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IFERROR(__xludf.DUMMYFUNCTION("""COMPUTED_VALUE"""),35.77)</f>
        <v>35.77</v>
      </c>
      <c r="C376" s="1">
        <f>IFERROR(__xludf.DUMMYFUNCTION("""COMPUTED_VALUE"""),36.34)</f>
        <v>36.34</v>
      </c>
      <c r="D376" s="1">
        <f>IFERROR(__xludf.DUMMYFUNCTION("""COMPUTED_VALUE"""),35.57)</f>
        <v>35.57</v>
      </c>
      <c r="E376" s="1">
        <f>IFERROR(__xludf.DUMMYFUNCTION("""COMPUTED_VALUE"""),36.32)</f>
        <v>36.32</v>
      </c>
      <c r="F376" s="1">
        <f>IFERROR(__xludf.DUMMYFUNCTION("""COMPUTED_VALUE"""),282808.0)</f>
        <v>282808</v>
      </c>
      <c r="G376" s="2" t="s">
        <v>4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IFERROR(__xludf.DUMMYFUNCTION("""COMPUTED_VALUE"""),36.05)</f>
        <v>36.05</v>
      </c>
      <c r="C377" s="1">
        <f>IFERROR(__xludf.DUMMYFUNCTION("""COMPUTED_VALUE"""),36.05)</f>
        <v>36.05</v>
      </c>
      <c r="D377" s="1">
        <f>IFERROR(__xludf.DUMMYFUNCTION("""COMPUTED_VALUE"""),34.42)</f>
        <v>34.42</v>
      </c>
      <c r="E377" s="1">
        <f>IFERROR(__xludf.DUMMYFUNCTION("""COMPUTED_VALUE"""),34.45)</f>
        <v>34.45</v>
      </c>
      <c r="F377" s="1">
        <f>IFERROR(__xludf.DUMMYFUNCTION("""COMPUTED_VALUE"""),531675.0)</f>
        <v>531675</v>
      </c>
      <c r="G377" s="2" t="s">
        <v>4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IFERROR(__xludf.DUMMYFUNCTION("""COMPUTED_VALUE"""),34.21)</f>
        <v>34.21</v>
      </c>
      <c r="C378" s="1">
        <f>IFERROR(__xludf.DUMMYFUNCTION("""COMPUTED_VALUE"""),34.98)</f>
        <v>34.98</v>
      </c>
      <c r="D378" s="1">
        <f>IFERROR(__xludf.DUMMYFUNCTION("""COMPUTED_VALUE"""),33.88)</f>
        <v>33.88</v>
      </c>
      <c r="E378" s="1">
        <f>IFERROR(__xludf.DUMMYFUNCTION("""COMPUTED_VALUE"""),34.0)</f>
        <v>34</v>
      </c>
      <c r="F378" s="1">
        <f>IFERROR(__xludf.DUMMYFUNCTION("""COMPUTED_VALUE"""),365309.0)</f>
        <v>365309</v>
      </c>
      <c r="G378" s="2" t="s">
        <v>4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IFERROR(__xludf.DUMMYFUNCTION("""COMPUTED_VALUE"""),34.37)</f>
        <v>34.37</v>
      </c>
      <c r="C379" s="1">
        <f>IFERROR(__xludf.DUMMYFUNCTION("""COMPUTED_VALUE"""),36.17)</f>
        <v>36.17</v>
      </c>
      <c r="D379" s="1">
        <f>IFERROR(__xludf.DUMMYFUNCTION("""COMPUTED_VALUE"""),34.01)</f>
        <v>34.01</v>
      </c>
      <c r="E379" s="1">
        <f>IFERROR(__xludf.DUMMYFUNCTION("""COMPUTED_VALUE"""),35.81)</f>
        <v>35.81</v>
      </c>
      <c r="F379" s="1">
        <f>IFERROR(__xludf.DUMMYFUNCTION("""COMPUTED_VALUE"""),575475.0)</f>
        <v>575475</v>
      </c>
      <c r="G379" s="2" t="s">
        <v>4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IFERROR(__xludf.DUMMYFUNCTION("""COMPUTED_VALUE"""),35.37)</f>
        <v>35.37</v>
      </c>
      <c r="C380" s="1">
        <f>IFERROR(__xludf.DUMMYFUNCTION("""COMPUTED_VALUE"""),35.92)</f>
        <v>35.92</v>
      </c>
      <c r="D380" s="1">
        <f>IFERROR(__xludf.DUMMYFUNCTION("""COMPUTED_VALUE"""),34.6)</f>
        <v>34.6</v>
      </c>
      <c r="E380" s="1">
        <f>IFERROR(__xludf.DUMMYFUNCTION("""COMPUTED_VALUE"""),34.71)</f>
        <v>34.71</v>
      </c>
      <c r="F380" s="1">
        <f>IFERROR(__xludf.DUMMYFUNCTION("""COMPUTED_VALUE"""),373273.0)</f>
        <v>373273</v>
      </c>
      <c r="G380" s="2" t="s">
        <v>4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IFERROR(__xludf.DUMMYFUNCTION("""COMPUTED_VALUE"""),34.83)</f>
        <v>34.83</v>
      </c>
      <c r="C381" s="1">
        <f>IFERROR(__xludf.DUMMYFUNCTION("""COMPUTED_VALUE"""),36.64)</f>
        <v>36.64</v>
      </c>
      <c r="D381" s="1">
        <f>IFERROR(__xludf.DUMMYFUNCTION("""COMPUTED_VALUE"""),34.83)</f>
        <v>34.83</v>
      </c>
      <c r="E381" s="1">
        <f>IFERROR(__xludf.DUMMYFUNCTION("""COMPUTED_VALUE"""),36.32)</f>
        <v>36.32</v>
      </c>
      <c r="F381" s="1">
        <f>IFERROR(__xludf.DUMMYFUNCTION("""COMPUTED_VALUE"""),570623.0)</f>
        <v>570623</v>
      </c>
      <c r="G381" s="2" t="s">
        <v>4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IFERROR(__xludf.DUMMYFUNCTION("""COMPUTED_VALUE"""),36.4)</f>
        <v>36.4</v>
      </c>
      <c r="C382" s="1">
        <f>IFERROR(__xludf.DUMMYFUNCTION("""COMPUTED_VALUE"""),39.0)</f>
        <v>39</v>
      </c>
      <c r="D382" s="1">
        <f>IFERROR(__xludf.DUMMYFUNCTION("""COMPUTED_VALUE"""),36.28)</f>
        <v>36.28</v>
      </c>
      <c r="E382" s="1">
        <f>IFERROR(__xludf.DUMMYFUNCTION("""COMPUTED_VALUE"""),38.59)</f>
        <v>38.59</v>
      </c>
      <c r="F382" s="1">
        <f>IFERROR(__xludf.DUMMYFUNCTION("""COMPUTED_VALUE"""),765524.0)</f>
        <v>765524</v>
      </c>
      <c r="G382" s="2" t="s">
        <v>4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IFERROR(__xludf.DUMMYFUNCTION("""COMPUTED_VALUE"""),38.78)</f>
        <v>38.78</v>
      </c>
      <c r="C383" s="1">
        <f>IFERROR(__xludf.DUMMYFUNCTION("""COMPUTED_VALUE"""),39.21)</f>
        <v>39.21</v>
      </c>
      <c r="D383" s="1">
        <f>IFERROR(__xludf.DUMMYFUNCTION("""COMPUTED_VALUE"""),38.03)</f>
        <v>38.03</v>
      </c>
      <c r="E383" s="1">
        <f>IFERROR(__xludf.DUMMYFUNCTION("""COMPUTED_VALUE"""),39.0)</f>
        <v>39</v>
      </c>
      <c r="F383" s="1">
        <f>IFERROR(__xludf.DUMMYFUNCTION("""COMPUTED_VALUE"""),726546.0)</f>
        <v>726546</v>
      </c>
      <c r="G383" s="2" t="s">
        <v>4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IFERROR(__xludf.DUMMYFUNCTION("""COMPUTED_VALUE"""),38.62)</f>
        <v>38.62</v>
      </c>
      <c r="C384" s="1">
        <f>IFERROR(__xludf.DUMMYFUNCTION("""COMPUTED_VALUE"""),39.86)</f>
        <v>39.86</v>
      </c>
      <c r="D384" s="1">
        <f>IFERROR(__xludf.DUMMYFUNCTION("""COMPUTED_VALUE"""),38.6)</f>
        <v>38.6</v>
      </c>
      <c r="E384" s="1">
        <f>IFERROR(__xludf.DUMMYFUNCTION("""COMPUTED_VALUE"""),39.17)</f>
        <v>39.17</v>
      </c>
      <c r="F384" s="1">
        <f>IFERROR(__xludf.DUMMYFUNCTION("""COMPUTED_VALUE"""),518838.0)</f>
        <v>518838</v>
      </c>
      <c r="G384" s="2" t="s">
        <v>4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IFERROR(__xludf.DUMMYFUNCTION("""COMPUTED_VALUE"""),38.95)</f>
        <v>38.95</v>
      </c>
      <c r="C385" s="1">
        <f>IFERROR(__xludf.DUMMYFUNCTION("""COMPUTED_VALUE"""),40.41)</f>
        <v>40.41</v>
      </c>
      <c r="D385" s="1">
        <f>IFERROR(__xludf.DUMMYFUNCTION("""COMPUTED_VALUE"""),38.4)</f>
        <v>38.4</v>
      </c>
      <c r="E385" s="1">
        <f>IFERROR(__xludf.DUMMYFUNCTION("""COMPUTED_VALUE"""),40.41)</f>
        <v>40.41</v>
      </c>
      <c r="F385" s="1">
        <f>IFERROR(__xludf.DUMMYFUNCTION("""COMPUTED_VALUE"""),1259874.0)</f>
        <v>1259874</v>
      </c>
      <c r="G385" s="2" t="s">
        <v>4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IFERROR(__xludf.DUMMYFUNCTION("""COMPUTED_VALUE"""),40.56)</f>
        <v>40.56</v>
      </c>
      <c r="C386" s="1">
        <f>IFERROR(__xludf.DUMMYFUNCTION("""COMPUTED_VALUE"""),42.2)</f>
        <v>42.2</v>
      </c>
      <c r="D386" s="1">
        <f>IFERROR(__xludf.DUMMYFUNCTION("""COMPUTED_VALUE"""),40.31)</f>
        <v>40.31</v>
      </c>
      <c r="E386" s="1">
        <f>IFERROR(__xludf.DUMMYFUNCTION("""COMPUTED_VALUE"""),42.2)</f>
        <v>42.2</v>
      </c>
      <c r="F386" s="1">
        <f>IFERROR(__xludf.DUMMYFUNCTION("""COMPUTED_VALUE"""),829324.0)</f>
        <v>829324</v>
      </c>
      <c r="G386" s="2" t="s">
        <v>4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IFERROR(__xludf.DUMMYFUNCTION("""COMPUTED_VALUE"""),42.16)</f>
        <v>42.16</v>
      </c>
      <c r="C387" s="1">
        <f>IFERROR(__xludf.DUMMYFUNCTION("""COMPUTED_VALUE"""),43.96)</f>
        <v>43.96</v>
      </c>
      <c r="D387" s="1">
        <f>IFERROR(__xludf.DUMMYFUNCTION("""COMPUTED_VALUE"""),42.01)</f>
        <v>42.01</v>
      </c>
      <c r="E387" s="1">
        <f>IFERROR(__xludf.DUMMYFUNCTION("""COMPUTED_VALUE"""),43.96)</f>
        <v>43.96</v>
      </c>
      <c r="F387" s="1">
        <f>IFERROR(__xludf.DUMMYFUNCTION("""COMPUTED_VALUE"""),600485.0)</f>
        <v>600485</v>
      </c>
      <c r="G387" s="2" t="s">
        <v>4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IFERROR(__xludf.DUMMYFUNCTION("""COMPUTED_VALUE"""),43.38)</f>
        <v>43.38</v>
      </c>
      <c r="C388" s="1">
        <f>IFERROR(__xludf.DUMMYFUNCTION("""COMPUTED_VALUE"""),43.69)</f>
        <v>43.69</v>
      </c>
      <c r="D388" s="1">
        <f>IFERROR(__xludf.DUMMYFUNCTION("""COMPUTED_VALUE"""),41.36)</f>
        <v>41.36</v>
      </c>
      <c r="E388" s="1">
        <f>IFERROR(__xludf.DUMMYFUNCTION("""COMPUTED_VALUE"""),41.56)</f>
        <v>41.56</v>
      </c>
      <c r="F388" s="1">
        <f>IFERROR(__xludf.DUMMYFUNCTION("""COMPUTED_VALUE"""),759604.0)</f>
        <v>759604</v>
      </c>
      <c r="G388" s="2" t="s">
        <v>4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IFERROR(__xludf.DUMMYFUNCTION("""COMPUTED_VALUE"""),40.84)</f>
        <v>40.84</v>
      </c>
      <c r="C389" s="1">
        <f>IFERROR(__xludf.DUMMYFUNCTION("""COMPUTED_VALUE"""),41.17)</f>
        <v>41.17</v>
      </c>
      <c r="D389" s="1">
        <f>IFERROR(__xludf.DUMMYFUNCTION("""COMPUTED_VALUE"""),39.4)</f>
        <v>39.4</v>
      </c>
      <c r="E389" s="1">
        <f>IFERROR(__xludf.DUMMYFUNCTION("""COMPUTED_VALUE"""),39.67)</f>
        <v>39.67</v>
      </c>
      <c r="F389" s="1">
        <f>IFERROR(__xludf.DUMMYFUNCTION("""COMPUTED_VALUE"""),672649.0)</f>
        <v>672649</v>
      </c>
      <c r="G389" s="2" t="s">
        <v>4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IFERROR(__xludf.DUMMYFUNCTION("""COMPUTED_VALUE"""),38.01)</f>
        <v>38.01</v>
      </c>
      <c r="C390" s="1">
        <f>IFERROR(__xludf.DUMMYFUNCTION("""COMPUTED_VALUE"""),40.08)</f>
        <v>40.08</v>
      </c>
      <c r="D390" s="1">
        <f>IFERROR(__xludf.DUMMYFUNCTION("""COMPUTED_VALUE"""),37.73)</f>
        <v>37.73</v>
      </c>
      <c r="E390" s="1">
        <f>IFERROR(__xludf.DUMMYFUNCTION("""COMPUTED_VALUE"""),39.47)</f>
        <v>39.47</v>
      </c>
      <c r="F390" s="1">
        <f>IFERROR(__xludf.DUMMYFUNCTION("""COMPUTED_VALUE"""),721363.0)</f>
        <v>721363</v>
      </c>
      <c r="G390" s="2" t="s">
        <v>4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IFERROR(__xludf.DUMMYFUNCTION("""COMPUTED_VALUE"""),39.1)</f>
        <v>39.1</v>
      </c>
      <c r="C391" s="1">
        <f>IFERROR(__xludf.DUMMYFUNCTION("""COMPUTED_VALUE"""),39.7)</f>
        <v>39.7</v>
      </c>
      <c r="D391" s="1">
        <f>IFERROR(__xludf.DUMMYFUNCTION("""COMPUTED_VALUE"""),38.71)</f>
        <v>38.71</v>
      </c>
      <c r="E391" s="1">
        <f>IFERROR(__xludf.DUMMYFUNCTION("""COMPUTED_VALUE"""),39.38)</f>
        <v>39.38</v>
      </c>
      <c r="F391" s="1">
        <f>IFERROR(__xludf.DUMMYFUNCTION("""COMPUTED_VALUE"""),405362.0)</f>
        <v>405362</v>
      </c>
      <c r="G391" s="2" t="s">
        <v>4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IFERROR(__xludf.DUMMYFUNCTION("""COMPUTED_VALUE"""),39.4)</f>
        <v>39.4</v>
      </c>
      <c r="C392" s="1">
        <f>IFERROR(__xludf.DUMMYFUNCTION("""COMPUTED_VALUE"""),40.17)</f>
        <v>40.17</v>
      </c>
      <c r="D392" s="1">
        <f>IFERROR(__xludf.DUMMYFUNCTION("""COMPUTED_VALUE"""),38.99)</f>
        <v>38.99</v>
      </c>
      <c r="E392" s="1">
        <f>IFERROR(__xludf.DUMMYFUNCTION("""COMPUTED_VALUE"""),40.01)</f>
        <v>40.01</v>
      </c>
      <c r="F392" s="1">
        <f>IFERROR(__xludf.DUMMYFUNCTION("""COMPUTED_VALUE"""),554494.0)</f>
        <v>554494</v>
      </c>
      <c r="G392" s="2" t="s">
        <v>4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IFERROR(__xludf.DUMMYFUNCTION("""COMPUTED_VALUE"""),40.0)</f>
        <v>40</v>
      </c>
      <c r="C393" s="1">
        <f>IFERROR(__xludf.DUMMYFUNCTION("""COMPUTED_VALUE"""),42.29)</f>
        <v>42.29</v>
      </c>
      <c r="D393" s="1">
        <f>IFERROR(__xludf.DUMMYFUNCTION("""COMPUTED_VALUE"""),39.68)</f>
        <v>39.68</v>
      </c>
      <c r="E393" s="1">
        <f>IFERROR(__xludf.DUMMYFUNCTION("""COMPUTED_VALUE"""),41.85)</f>
        <v>41.85</v>
      </c>
      <c r="F393" s="1">
        <f>IFERROR(__xludf.DUMMYFUNCTION("""COMPUTED_VALUE"""),754413.0)</f>
        <v>754413</v>
      </c>
      <c r="G393" s="2" t="s">
        <v>4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IFERROR(__xludf.DUMMYFUNCTION("""COMPUTED_VALUE"""),42.12)</f>
        <v>42.12</v>
      </c>
      <c r="C394" s="1">
        <f>IFERROR(__xludf.DUMMYFUNCTION("""COMPUTED_VALUE"""),42.85)</f>
        <v>42.85</v>
      </c>
      <c r="D394" s="1">
        <f>IFERROR(__xludf.DUMMYFUNCTION("""COMPUTED_VALUE"""),41.93)</f>
        <v>41.93</v>
      </c>
      <c r="E394" s="1">
        <f>IFERROR(__xludf.DUMMYFUNCTION("""COMPUTED_VALUE"""),42.0)</f>
        <v>42</v>
      </c>
      <c r="F394" s="1">
        <f>IFERROR(__xludf.DUMMYFUNCTION("""COMPUTED_VALUE"""),446564.0)</f>
        <v>446564</v>
      </c>
      <c r="G394" s="2" t="s">
        <v>4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IFERROR(__xludf.DUMMYFUNCTION("""COMPUTED_VALUE"""),41.66)</f>
        <v>41.66</v>
      </c>
      <c r="C395" s="1">
        <f>IFERROR(__xludf.DUMMYFUNCTION("""COMPUTED_VALUE"""),42.96)</f>
        <v>42.96</v>
      </c>
      <c r="D395" s="1">
        <f>IFERROR(__xludf.DUMMYFUNCTION("""COMPUTED_VALUE"""),41.34)</f>
        <v>41.34</v>
      </c>
      <c r="E395" s="1">
        <f>IFERROR(__xludf.DUMMYFUNCTION("""COMPUTED_VALUE"""),41.34)</f>
        <v>41.34</v>
      </c>
      <c r="F395" s="1">
        <f>IFERROR(__xludf.DUMMYFUNCTION("""COMPUTED_VALUE"""),418807.0)</f>
        <v>418807</v>
      </c>
      <c r="G395" s="2" t="s">
        <v>4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IFERROR(__xludf.DUMMYFUNCTION("""COMPUTED_VALUE"""),40.55)</f>
        <v>40.55</v>
      </c>
      <c r="C396" s="1">
        <f>IFERROR(__xludf.DUMMYFUNCTION("""COMPUTED_VALUE"""),41.44)</f>
        <v>41.44</v>
      </c>
      <c r="D396" s="1">
        <f>IFERROR(__xludf.DUMMYFUNCTION("""COMPUTED_VALUE"""),39.3)</f>
        <v>39.3</v>
      </c>
      <c r="E396" s="1">
        <f>IFERROR(__xludf.DUMMYFUNCTION("""COMPUTED_VALUE"""),39.8)</f>
        <v>39.8</v>
      </c>
      <c r="F396" s="1">
        <f>IFERROR(__xludf.DUMMYFUNCTION("""COMPUTED_VALUE"""),543203.0)</f>
        <v>543203</v>
      </c>
      <c r="G396" s="2" t="s">
        <v>4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IFERROR(__xludf.DUMMYFUNCTION("""COMPUTED_VALUE"""),39.53)</f>
        <v>39.53</v>
      </c>
      <c r="C397" s="1">
        <f>IFERROR(__xludf.DUMMYFUNCTION("""COMPUTED_VALUE"""),41.0)</f>
        <v>41</v>
      </c>
      <c r="D397" s="1">
        <f>IFERROR(__xludf.DUMMYFUNCTION("""COMPUTED_VALUE"""),39.51)</f>
        <v>39.51</v>
      </c>
      <c r="E397" s="1">
        <f>IFERROR(__xludf.DUMMYFUNCTION("""COMPUTED_VALUE"""),40.86)</f>
        <v>40.86</v>
      </c>
      <c r="F397" s="1">
        <f>IFERROR(__xludf.DUMMYFUNCTION("""COMPUTED_VALUE"""),351094.0)</f>
        <v>351094</v>
      </c>
      <c r="G397" s="2" t="s">
        <v>4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IFERROR(__xludf.DUMMYFUNCTION("""COMPUTED_VALUE"""),41.02)</f>
        <v>41.02</v>
      </c>
      <c r="C398" s="1">
        <f>IFERROR(__xludf.DUMMYFUNCTION("""COMPUTED_VALUE"""),42.81)</f>
        <v>42.81</v>
      </c>
      <c r="D398" s="1">
        <f>IFERROR(__xludf.DUMMYFUNCTION("""COMPUTED_VALUE"""),40.86)</f>
        <v>40.86</v>
      </c>
      <c r="E398" s="1">
        <f>IFERROR(__xludf.DUMMYFUNCTION("""COMPUTED_VALUE"""),42.67)</f>
        <v>42.67</v>
      </c>
      <c r="F398" s="1">
        <f>IFERROR(__xludf.DUMMYFUNCTION("""COMPUTED_VALUE"""),520104.0)</f>
        <v>520104</v>
      </c>
      <c r="G398" s="2" t="s">
        <v>4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IFERROR(__xludf.DUMMYFUNCTION("""COMPUTED_VALUE"""),42.2)</f>
        <v>42.2</v>
      </c>
      <c r="C399" s="1">
        <f>IFERROR(__xludf.DUMMYFUNCTION("""COMPUTED_VALUE"""),42.57)</f>
        <v>42.57</v>
      </c>
      <c r="D399" s="1">
        <f>IFERROR(__xludf.DUMMYFUNCTION("""COMPUTED_VALUE"""),40.01)</f>
        <v>40.01</v>
      </c>
      <c r="E399" s="1">
        <f>IFERROR(__xludf.DUMMYFUNCTION("""COMPUTED_VALUE"""),40.45)</f>
        <v>40.45</v>
      </c>
      <c r="F399" s="1">
        <f>IFERROR(__xludf.DUMMYFUNCTION("""COMPUTED_VALUE"""),601058.0)</f>
        <v>601058</v>
      </c>
      <c r="G399" s="2" t="s">
        <v>4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IFERROR(__xludf.DUMMYFUNCTION("""COMPUTED_VALUE"""),40.04)</f>
        <v>40.04</v>
      </c>
      <c r="C400" s="1">
        <f>IFERROR(__xludf.DUMMYFUNCTION("""COMPUTED_VALUE"""),40.94)</f>
        <v>40.94</v>
      </c>
      <c r="D400" s="1">
        <f>IFERROR(__xludf.DUMMYFUNCTION("""COMPUTED_VALUE"""),39.75)</f>
        <v>39.75</v>
      </c>
      <c r="E400" s="1">
        <f>IFERROR(__xludf.DUMMYFUNCTION("""COMPUTED_VALUE"""),40.94)</f>
        <v>40.94</v>
      </c>
      <c r="F400" s="1">
        <f>IFERROR(__xludf.DUMMYFUNCTION("""COMPUTED_VALUE"""),432542.0)</f>
        <v>432542</v>
      </c>
      <c r="G400" s="2" t="s">
        <v>4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IFERROR(__xludf.DUMMYFUNCTION("""COMPUTED_VALUE"""),40.67)</f>
        <v>40.67</v>
      </c>
      <c r="C401" s="1">
        <f>IFERROR(__xludf.DUMMYFUNCTION("""COMPUTED_VALUE"""),41.43)</f>
        <v>41.43</v>
      </c>
      <c r="D401" s="1">
        <f>IFERROR(__xludf.DUMMYFUNCTION("""COMPUTED_VALUE"""),40.18)</f>
        <v>40.18</v>
      </c>
      <c r="E401" s="1">
        <f>IFERROR(__xludf.DUMMYFUNCTION("""COMPUTED_VALUE"""),40.31)</f>
        <v>40.31</v>
      </c>
      <c r="F401" s="1">
        <f>IFERROR(__xludf.DUMMYFUNCTION("""COMPUTED_VALUE"""),416753.0)</f>
        <v>416753</v>
      </c>
      <c r="G401" s="2" t="s">
        <v>4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IFERROR(__xludf.DUMMYFUNCTION("""COMPUTED_VALUE"""),40.2)</f>
        <v>40.2</v>
      </c>
      <c r="C402" s="1">
        <f>IFERROR(__xludf.DUMMYFUNCTION("""COMPUTED_VALUE"""),40.2)</f>
        <v>40.2</v>
      </c>
      <c r="D402" s="1">
        <f>IFERROR(__xludf.DUMMYFUNCTION("""COMPUTED_VALUE"""),38.65)</f>
        <v>38.65</v>
      </c>
      <c r="E402" s="1">
        <f>IFERROR(__xludf.DUMMYFUNCTION("""COMPUTED_VALUE"""),39.8)</f>
        <v>39.8</v>
      </c>
      <c r="F402" s="1">
        <f>IFERROR(__xludf.DUMMYFUNCTION("""COMPUTED_VALUE"""),606315.0)</f>
        <v>606315</v>
      </c>
      <c r="G402" s="2" t="s">
        <v>4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IFERROR(__xludf.DUMMYFUNCTION("""COMPUTED_VALUE"""),39.41)</f>
        <v>39.41</v>
      </c>
      <c r="C403" s="1">
        <f>IFERROR(__xludf.DUMMYFUNCTION("""COMPUTED_VALUE"""),40.76)</f>
        <v>40.76</v>
      </c>
      <c r="D403" s="1">
        <f>IFERROR(__xludf.DUMMYFUNCTION("""COMPUTED_VALUE"""),39.28)</f>
        <v>39.28</v>
      </c>
      <c r="E403" s="1">
        <f>IFERROR(__xludf.DUMMYFUNCTION("""COMPUTED_VALUE"""),39.74)</f>
        <v>39.74</v>
      </c>
      <c r="F403" s="1">
        <f>IFERROR(__xludf.DUMMYFUNCTION("""COMPUTED_VALUE"""),454685.0)</f>
        <v>454685</v>
      </c>
      <c r="G403" s="2" t="s">
        <v>4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IFERROR(__xludf.DUMMYFUNCTION("""COMPUTED_VALUE"""),40.12)</f>
        <v>40.12</v>
      </c>
      <c r="C404" s="1">
        <f>IFERROR(__xludf.DUMMYFUNCTION("""COMPUTED_VALUE"""),41.35)</f>
        <v>41.35</v>
      </c>
      <c r="D404" s="1">
        <f>IFERROR(__xludf.DUMMYFUNCTION("""COMPUTED_VALUE"""),39.94)</f>
        <v>39.94</v>
      </c>
      <c r="E404" s="1">
        <f>IFERROR(__xludf.DUMMYFUNCTION("""COMPUTED_VALUE"""),41.0)</f>
        <v>41</v>
      </c>
      <c r="F404" s="1">
        <f>IFERROR(__xludf.DUMMYFUNCTION("""COMPUTED_VALUE"""),452626.0)</f>
        <v>452626</v>
      </c>
      <c r="G404" s="2" t="s">
        <v>4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IFERROR(__xludf.DUMMYFUNCTION("""COMPUTED_VALUE"""),40.57)</f>
        <v>40.57</v>
      </c>
      <c r="C405" s="1">
        <f>IFERROR(__xludf.DUMMYFUNCTION("""COMPUTED_VALUE"""),41.1)</f>
        <v>41.1</v>
      </c>
      <c r="D405" s="1">
        <f>IFERROR(__xludf.DUMMYFUNCTION("""COMPUTED_VALUE"""),39.3)</f>
        <v>39.3</v>
      </c>
      <c r="E405" s="1">
        <f>IFERROR(__xludf.DUMMYFUNCTION("""COMPUTED_VALUE"""),40.92)</f>
        <v>40.92</v>
      </c>
      <c r="F405" s="1">
        <f>IFERROR(__xludf.DUMMYFUNCTION("""COMPUTED_VALUE"""),380855.0)</f>
        <v>380855</v>
      </c>
      <c r="G405" s="2" t="s"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1" t="str">
        <f>IFERROR(__xludf.DUMMYFUNCTION("GOOGLEFINANCE(""DBK"",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IFERROR(__xludf.DUMMYFUNCTION("""COMPUTED_VALUE"""),11.07)</f>
        <v>11.07</v>
      </c>
      <c r="C2" s="1">
        <f>IFERROR(__xludf.DUMMYFUNCTION("""COMPUTED_VALUE"""),11.38)</f>
        <v>11.38</v>
      </c>
      <c r="D2" s="1">
        <f>IFERROR(__xludf.DUMMYFUNCTION("""COMPUTED_VALUE"""),11.02)</f>
        <v>11.02</v>
      </c>
      <c r="E2" s="1">
        <f>IFERROR(__xludf.DUMMYFUNCTION("""COMPUTED_VALUE"""),11.35)</f>
        <v>11.35</v>
      </c>
      <c r="F2" s="1">
        <f>IFERROR(__xludf.DUMMYFUNCTION("""COMPUTED_VALUE"""),8813113.0)</f>
        <v>8813113</v>
      </c>
      <c r="G2" s="2" t="s">
        <v>5</v>
      </c>
    </row>
    <row r="3">
      <c r="A3" s="3">
        <f>IFERROR(__xludf.DUMMYFUNCTION("""COMPUTED_VALUE"""),44565.72916666667)</f>
        <v>44565.72917</v>
      </c>
      <c r="B3" s="1">
        <f>IFERROR(__xludf.DUMMYFUNCTION("""COMPUTED_VALUE"""),11.37)</f>
        <v>11.37</v>
      </c>
      <c r="C3" s="1">
        <f>IFERROR(__xludf.DUMMYFUNCTION("""COMPUTED_VALUE"""),11.74)</f>
        <v>11.74</v>
      </c>
      <c r="D3" s="1">
        <f>IFERROR(__xludf.DUMMYFUNCTION("""COMPUTED_VALUE"""),11.35)</f>
        <v>11.35</v>
      </c>
      <c r="E3" s="1">
        <f>IFERROR(__xludf.DUMMYFUNCTION("""COMPUTED_VALUE"""),11.69)</f>
        <v>11.69</v>
      </c>
      <c r="F3" s="1">
        <f>IFERROR(__xludf.DUMMYFUNCTION("""COMPUTED_VALUE"""),1.3350463E7)</f>
        <v>13350463</v>
      </c>
      <c r="G3" s="2" t="s">
        <v>5</v>
      </c>
    </row>
    <row r="4">
      <c r="A4" s="3">
        <f>IFERROR(__xludf.DUMMYFUNCTION("""COMPUTED_VALUE"""),44566.72916666667)</f>
        <v>44566.72917</v>
      </c>
      <c r="B4" s="1">
        <f>IFERROR(__xludf.DUMMYFUNCTION("""COMPUTED_VALUE"""),11.72)</f>
        <v>11.72</v>
      </c>
      <c r="C4" s="1">
        <f>IFERROR(__xludf.DUMMYFUNCTION("""COMPUTED_VALUE"""),11.96)</f>
        <v>11.96</v>
      </c>
      <c r="D4" s="1">
        <f>IFERROR(__xludf.DUMMYFUNCTION("""COMPUTED_VALUE"""),11.6)</f>
        <v>11.6</v>
      </c>
      <c r="E4" s="1">
        <f>IFERROR(__xludf.DUMMYFUNCTION("""COMPUTED_VALUE"""),11.85)</f>
        <v>11.85</v>
      </c>
      <c r="F4" s="1">
        <f>IFERROR(__xludf.DUMMYFUNCTION("""COMPUTED_VALUE"""),1.0367648E7)</f>
        <v>10367648</v>
      </c>
      <c r="G4" s="2" t="s">
        <v>5</v>
      </c>
    </row>
    <row r="5">
      <c r="A5" s="3">
        <f>IFERROR(__xludf.DUMMYFUNCTION("""COMPUTED_VALUE"""),44567.72916666667)</f>
        <v>44567.72917</v>
      </c>
      <c r="B5" s="1">
        <f>IFERROR(__xludf.DUMMYFUNCTION("""COMPUTED_VALUE"""),11.75)</f>
        <v>11.75</v>
      </c>
      <c r="C5" s="1">
        <f>IFERROR(__xludf.DUMMYFUNCTION("""COMPUTED_VALUE"""),12.25)</f>
        <v>12.25</v>
      </c>
      <c r="D5" s="1">
        <f>IFERROR(__xludf.DUMMYFUNCTION("""COMPUTED_VALUE"""),11.7)</f>
        <v>11.7</v>
      </c>
      <c r="E5" s="1">
        <f>IFERROR(__xludf.DUMMYFUNCTION("""COMPUTED_VALUE"""),12.15)</f>
        <v>12.15</v>
      </c>
      <c r="F5" s="1">
        <f>IFERROR(__xludf.DUMMYFUNCTION("""COMPUTED_VALUE"""),1.459987E7)</f>
        <v>14599870</v>
      </c>
      <c r="G5" s="2" t="s">
        <v>5</v>
      </c>
    </row>
    <row r="6">
      <c r="A6" s="3">
        <f>IFERROR(__xludf.DUMMYFUNCTION("""COMPUTED_VALUE"""),44568.72916666667)</f>
        <v>44568.72917</v>
      </c>
      <c r="B6" s="1">
        <f>IFERROR(__xludf.DUMMYFUNCTION("""COMPUTED_VALUE"""),12.33)</f>
        <v>12.33</v>
      </c>
      <c r="C6" s="1">
        <f>IFERROR(__xludf.DUMMYFUNCTION("""COMPUTED_VALUE"""),12.48)</f>
        <v>12.48</v>
      </c>
      <c r="D6" s="1">
        <f>IFERROR(__xludf.DUMMYFUNCTION("""COMPUTED_VALUE"""),12.13)</f>
        <v>12.13</v>
      </c>
      <c r="E6" s="1">
        <f>IFERROR(__xludf.DUMMYFUNCTION("""COMPUTED_VALUE"""),12.37)</f>
        <v>12.37</v>
      </c>
      <c r="F6" s="1">
        <f>IFERROR(__xludf.DUMMYFUNCTION("""COMPUTED_VALUE"""),1.3200588E7)</f>
        <v>13200588</v>
      </c>
      <c r="G6" s="2" t="s">
        <v>5</v>
      </c>
    </row>
    <row r="7">
      <c r="A7" s="3">
        <f>IFERROR(__xludf.DUMMYFUNCTION("""COMPUTED_VALUE"""),44571.72916666667)</f>
        <v>44571.72917</v>
      </c>
      <c r="B7" s="1">
        <f>IFERROR(__xludf.DUMMYFUNCTION("""COMPUTED_VALUE"""),12.48)</f>
        <v>12.48</v>
      </c>
      <c r="C7" s="1">
        <f>IFERROR(__xludf.DUMMYFUNCTION("""COMPUTED_VALUE"""),12.56)</f>
        <v>12.56</v>
      </c>
      <c r="D7" s="1">
        <f>IFERROR(__xludf.DUMMYFUNCTION("""COMPUTED_VALUE"""),12.33)</f>
        <v>12.33</v>
      </c>
      <c r="E7" s="1">
        <f>IFERROR(__xludf.DUMMYFUNCTION("""COMPUTED_VALUE"""),12.37)</f>
        <v>12.37</v>
      </c>
      <c r="F7" s="1">
        <f>IFERROR(__xludf.DUMMYFUNCTION("""COMPUTED_VALUE"""),1.0011119E7)</f>
        <v>10011119</v>
      </c>
      <c r="G7" s="2" t="s">
        <v>5</v>
      </c>
    </row>
    <row r="8">
      <c r="A8" s="3">
        <f>IFERROR(__xludf.DUMMYFUNCTION("""COMPUTED_VALUE"""),44572.72916666667)</f>
        <v>44572.72917</v>
      </c>
      <c r="B8" s="1">
        <f>IFERROR(__xludf.DUMMYFUNCTION("""COMPUTED_VALUE"""),12.15)</f>
        <v>12.15</v>
      </c>
      <c r="C8" s="1">
        <f>IFERROR(__xludf.DUMMYFUNCTION("""COMPUTED_VALUE"""),12.42)</f>
        <v>12.42</v>
      </c>
      <c r="D8" s="1">
        <f>IFERROR(__xludf.DUMMYFUNCTION("""COMPUTED_VALUE"""),12.09)</f>
        <v>12.09</v>
      </c>
      <c r="E8" s="1">
        <f>IFERROR(__xludf.DUMMYFUNCTION("""COMPUTED_VALUE"""),12.31)</f>
        <v>12.31</v>
      </c>
      <c r="F8" s="1">
        <f>IFERROR(__xludf.DUMMYFUNCTION("""COMPUTED_VALUE"""),1.1994824E7)</f>
        <v>11994824</v>
      </c>
      <c r="G8" s="2" t="s">
        <v>5</v>
      </c>
    </row>
    <row r="9">
      <c r="A9" s="3">
        <f>IFERROR(__xludf.DUMMYFUNCTION("""COMPUTED_VALUE"""),44573.72916666667)</f>
        <v>44573.72917</v>
      </c>
      <c r="B9" s="1">
        <f>IFERROR(__xludf.DUMMYFUNCTION("""COMPUTED_VALUE"""),12.41)</f>
        <v>12.41</v>
      </c>
      <c r="C9" s="1">
        <f>IFERROR(__xludf.DUMMYFUNCTION("""COMPUTED_VALUE"""),12.44)</f>
        <v>12.44</v>
      </c>
      <c r="D9" s="1">
        <f>IFERROR(__xludf.DUMMYFUNCTION("""COMPUTED_VALUE"""),12.18)</f>
        <v>12.18</v>
      </c>
      <c r="E9" s="1">
        <f>IFERROR(__xludf.DUMMYFUNCTION("""COMPUTED_VALUE"""),12.22)</f>
        <v>12.22</v>
      </c>
      <c r="F9" s="1">
        <f>IFERROR(__xludf.DUMMYFUNCTION("""COMPUTED_VALUE"""),1.0424643E7)</f>
        <v>10424643</v>
      </c>
      <c r="G9" s="2" t="s">
        <v>5</v>
      </c>
    </row>
    <row r="10">
      <c r="A10" s="3">
        <f>IFERROR(__xludf.DUMMYFUNCTION("""COMPUTED_VALUE"""),44574.72916666667)</f>
        <v>44574.72917</v>
      </c>
      <c r="B10" s="1">
        <f>IFERROR(__xludf.DUMMYFUNCTION("""COMPUTED_VALUE"""),12.18)</f>
        <v>12.18</v>
      </c>
      <c r="C10" s="1">
        <f>IFERROR(__xludf.DUMMYFUNCTION("""COMPUTED_VALUE"""),12.27)</f>
        <v>12.27</v>
      </c>
      <c r="D10" s="1">
        <f>IFERROR(__xludf.DUMMYFUNCTION("""COMPUTED_VALUE"""),11.91)</f>
        <v>11.91</v>
      </c>
      <c r="E10" s="1">
        <f>IFERROR(__xludf.DUMMYFUNCTION("""COMPUTED_VALUE"""),12.2)</f>
        <v>12.2</v>
      </c>
      <c r="F10" s="1">
        <f>IFERROR(__xludf.DUMMYFUNCTION("""COMPUTED_VALUE"""),1.2039618E7)</f>
        <v>12039618</v>
      </c>
      <c r="G10" s="2" t="s">
        <v>5</v>
      </c>
    </row>
    <row r="11">
      <c r="A11" s="3">
        <f>IFERROR(__xludf.DUMMYFUNCTION("""COMPUTED_VALUE"""),44575.72916666667)</f>
        <v>44575.72917</v>
      </c>
      <c r="B11" s="1">
        <f>IFERROR(__xludf.DUMMYFUNCTION("""COMPUTED_VALUE"""),12.07)</f>
        <v>12.07</v>
      </c>
      <c r="C11" s="1">
        <f>IFERROR(__xludf.DUMMYFUNCTION("""COMPUTED_VALUE"""),12.19)</f>
        <v>12.19</v>
      </c>
      <c r="D11" s="1">
        <f>IFERROR(__xludf.DUMMYFUNCTION("""COMPUTED_VALUE"""),11.77)</f>
        <v>11.77</v>
      </c>
      <c r="E11" s="1">
        <f>IFERROR(__xludf.DUMMYFUNCTION("""COMPUTED_VALUE"""),11.95)</f>
        <v>11.95</v>
      </c>
      <c r="F11" s="1">
        <f>IFERROR(__xludf.DUMMYFUNCTION("""COMPUTED_VALUE"""),1.3552725E7)</f>
        <v>13552725</v>
      </c>
      <c r="G11" s="2" t="s">
        <v>5</v>
      </c>
    </row>
    <row r="12">
      <c r="A12" s="3">
        <f>IFERROR(__xludf.DUMMYFUNCTION("""COMPUTED_VALUE"""),44578.72916666667)</f>
        <v>44578.72917</v>
      </c>
      <c r="B12" s="1">
        <f>IFERROR(__xludf.DUMMYFUNCTION("""COMPUTED_VALUE"""),12.07)</f>
        <v>12.07</v>
      </c>
      <c r="C12" s="1">
        <f>IFERROR(__xludf.DUMMYFUNCTION("""COMPUTED_VALUE"""),12.13)</f>
        <v>12.13</v>
      </c>
      <c r="D12" s="1">
        <f>IFERROR(__xludf.DUMMYFUNCTION("""COMPUTED_VALUE"""),11.98)</f>
        <v>11.98</v>
      </c>
      <c r="E12" s="1">
        <f>IFERROR(__xludf.DUMMYFUNCTION("""COMPUTED_VALUE"""),12.02)</f>
        <v>12.02</v>
      </c>
      <c r="F12" s="1">
        <f>IFERROR(__xludf.DUMMYFUNCTION("""COMPUTED_VALUE"""),4959428.0)</f>
        <v>4959428</v>
      </c>
      <c r="G12" s="2" t="s">
        <v>5</v>
      </c>
    </row>
    <row r="13">
      <c r="A13" s="3">
        <f>IFERROR(__xludf.DUMMYFUNCTION("""COMPUTED_VALUE"""),44579.72916666667)</f>
        <v>44579.72917</v>
      </c>
      <c r="B13" s="1">
        <f>IFERROR(__xludf.DUMMYFUNCTION("""COMPUTED_VALUE"""),11.89)</f>
        <v>11.89</v>
      </c>
      <c r="C13" s="1">
        <f>IFERROR(__xludf.DUMMYFUNCTION("""COMPUTED_VALUE"""),12.16)</f>
        <v>12.16</v>
      </c>
      <c r="D13" s="1">
        <f>IFERROR(__xludf.DUMMYFUNCTION("""COMPUTED_VALUE"""),11.85)</f>
        <v>11.85</v>
      </c>
      <c r="E13" s="1">
        <f>IFERROR(__xludf.DUMMYFUNCTION("""COMPUTED_VALUE"""),11.93)</f>
        <v>11.93</v>
      </c>
      <c r="F13" s="1">
        <f>IFERROR(__xludf.DUMMYFUNCTION("""COMPUTED_VALUE"""),8904835.0)</f>
        <v>8904835</v>
      </c>
      <c r="G13" s="2" t="s">
        <v>5</v>
      </c>
    </row>
    <row r="14">
      <c r="A14" s="3">
        <f>IFERROR(__xludf.DUMMYFUNCTION("""COMPUTED_VALUE"""),44580.72916666667)</f>
        <v>44580.72917</v>
      </c>
      <c r="B14" s="1">
        <f>IFERROR(__xludf.DUMMYFUNCTION("""COMPUTED_VALUE"""),11.87)</f>
        <v>11.87</v>
      </c>
      <c r="C14" s="1">
        <f>IFERROR(__xludf.DUMMYFUNCTION("""COMPUTED_VALUE"""),11.96)</f>
        <v>11.96</v>
      </c>
      <c r="D14" s="1">
        <f>IFERROR(__xludf.DUMMYFUNCTION("""COMPUTED_VALUE"""),11.72)</f>
        <v>11.72</v>
      </c>
      <c r="E14" s="1">
        <f>IFERROR(__xludf.DUMMYFUNCTION("""COMPUTED_VALUE"""),11.78)</f>
        <v>11.78</v>
      </c>
      <c r="F14" s="1">
        <f>IFERROR(__xludf.DUMMYFUNCTION("""COMPUTED_VALUE"""),1.0312033E7)</f>
        <v>10312033</v>
      </c>
      <c r="G14" s="2" t="s">
        <v>5</v>
      </c>
    </row>
    <row r="15">
      <c r="A15" s="3">
        <f>IFERROR(__xludf.DUMMYFUNCTION("""COMPUTED_VALUE"""),44581.72916666667)</f>
        <v>44581.72917</v>
      </c>
      <c r="B15" s="1">
        <f>IFERROR(__xludf.DUMMYFUNCTION("""COMPUTED_VALUE"""),11.72)</f>
        <v>11.72</v>
      </c>
      <c r="C15" s="1">
        <f>IFERROR(__xludf.DUMMYFUNCTION("""COMPUTED_VALUE"""),11.85)</f>
        <v>11.85</v>
      </c>
      <c r="D15" s="1">
        <f>IFERROR(__xludf.DUMMYFUNCTION("""COMPUTED_VALUE"""),11.6)</f>
        <v>11.6</v>
      </c>
      <c r="E15" s="1">
        <f>IFERROR(__xludf.DUMMYFUNCTION("""COMPUTED_VALUE"""),11.68)</f>
        <v>11.68</v>
      </c>
      <c r="F15" s="1">
        <f>IFERROR(__xludf.DUMMYFUNCTION("""COMPUTED_VALUE"""),7580793.0)</f>
        <v>7580793</v>
      </c>
      <c r="G15" s="2" t="s">
        <v>5</v>
      </c>
    </row>
    <row r="16">
      <c r="A16" s="3">
        <f>IFERROR(__xludf.DUMMYFUNCTION("""COMPUTED_VALUE"""),44582.72916666667)</f>
        <v>44582.72917</v>
      </c>
      <c r="B16" s="1">
        <f>IFERROR(__xludf.DUMMYFUNCTION("""COMPUTED_VALUE"""),11.55)</f>
        <v>11.55</v>
      </c>
      <c r="C16" s="1">
        <f>IFERROR(__xludf.DUMMYFUNCTION("""COMPUTED_VALUE"""),11.62)</f>
        <v>11.62</v>
      </c>
      <c r="D16" s="1">
        <f>IFERROR(__xludf.DUMMYFUNCTION("""COMPUTED_VALUE"""),11.33)</f>
        <v>11.33</v>
      </c>
      <c r="E16" s="1">
        <f>IFERROR(__xludf.DUMMYFUNCTION("""COMPUTED_VALUE"""),11.48)</f>
        <v>11.48</v>
      </c>
      <c r="F16" s="1">
        <f>IFERROR(__xludf.DUMMYFUNCTION("""COMPUTED_VALUE"""),1.2526702E7)</f>
        <v>12526702</v>
      </c>
      <c r="G16" s="2" t="s">
        <v>5</v>
      </c>
    </row>
    <row r="17">
      <c r="A17" s="3">
        <f>IFERROR(__xludf.DUMMYFUNCTION("""COMPUTED_VALUE"""),44585.72916666667)</f>
        <v>44585.72917</v>
      </c>
      <c r="B17" s="1">
        <f>IFERROR(__xludf.DUMMYFUNCTION("""COMPUTED_VALUE"""),11.41)</f>
        <v>11.41</v>
      </c>
      <c r="C17" s="1">
        <f>IFERROR(__xludf.DUMMYFUNCTION("""COMPUTED_VALUE"""),11.48)</f>
        <v>11.48</v>
      </c>
      <c r="D17" s="1">
        <f>IFERROR(__xludf.DUMMYFUNCTION("""COMPUTED_VALUE"""),10.7)</f>
        <v>10.7</v>
      </c>
      <c r="E17" s="1">
        <f>IFERROR(__xludf.DUMMYFUNCTION("""COMPUTED_VALUE"""),10.76)</f>
        <v>10.76</v>
      </c>
      <c r="F17" s="1">
        <f>IFERROR(__xludf.DUMMYFUNCTION("""COMPUTED_VALUE"""),1.6753223E7)</f>
        <v>16753223</v>
      </c>
      <c r="G17" s="2" t="s">
        <v>5</v>
      </c>
    </row>
    <row r="18">
      <c r="A18" s="3">
        <f>IFERROR(__xludf.DUMMYFUNCTION("""COMPUTED_VALUE"""),44586.72916666667)</f>
        <v>44586.72917</v>
      </c>
      <c r="B18" s="1">
        <f>IFERROR(__xludf.DUMMYFUNCTION("""COMPUTED_VALUE"""),10.94)</f>
        <v>10.94</v>
      </c>
      <c r="C18" s="1">
        <f>IFERROR(__xludf.DUMMYFUNCTION("""COMPUTED_VALUE"""),11.09)</f>
        <v>11.09</v>
      </c>
      <c r="D18" s="1">
        <f>IFERROR(__xludf.DUMMYFUNCTION("""COMPUTED_VALUE"""),10.76)</f>
        <v>10.76</v>
      </c>
      <c r="E18" s="1">
        <f>IFERROR(__xludf.DUMMYFUNCTION("""COMPUTED_VALUE"""),11.07)</f>
        <v>11.07</v>
      </c>
      <c r="F18" s="1">
        <f>IFERROR(__xludf.DUMMYFUNCTION("""COMPUTED_VALUE"""),1.2594659E7)</f>
        <v>12594659</v>
      </c>
      <c r="G18" s="2" t="s">
        <v>5</v>
      </c>
    </row>
    <row r="19">
      <c r="A19" s="3">
        <f>IFERROR(__xludf.DUMMYFUNCTION("""COMPUTED_VALUE"""),44587.72916666667)</f>
        <v>44587.72917</v>
      </c>
      <c r="B19" s="1">
        <f>IFERROR(__xludf.DUMMYFUNCTION("""COMPUTED_VALUE"""),11.21)</f>
        <v>11.21</v>
      </c>
      <c r="C19" s="1">
        <f>IFERROR(__xludf.DUMMYFUNCTION("""COMPUTED_VALUE"""),11.54)</f>
        <v>11.54</v>
      </c>
      <c r="D19" s="1">
        <f>IFERROR(__xludf.DUMMYFUNCTION("""COMPUTED_VALUE"""),11.2)</f>
        <v>11.2</v>
      </c>
      <c r="E19" s="1">
        <f>IFERROR(__xludf.DUMMYFUNCTION("""COMPUTED_VALUE"""),11.42)</f>
        <v>11.42</v>
      </c>
      <c r="F19" s="1">
        <f>IFERROR(__xludf.DUMMYFUNCTION("""COMPUTED_VALUE"""),1.2466641E7)</f>
        <v>12466641</v>
      </c>
      <c r="G19" s="2" t="s">
        <v>5</v>
      </c>
    </row>
    <row r="20">
      <c r="A20" s="3">
        <f>IFERROR(__xludf.DUMMYFUNCTION("""COMPUTED_VALUE"""),44588.72916666667)</f>
        <v>44588.72917</v>
      </c>
      <c r="B20" s="1">
        <f>IFERROR(__xludf.DUMMYFUNCTION("""COMPUTED_VALUE"""),11.45)</f>
        <v>11.45</v>
      </c>
      <c r="C20" s="1">
        <f>IFERROR(__xludf.DUMMYFUNCTION("""COMPUTED_VALUE"""),12.12)</f>
        <v>12.12</v>
      </c>
      <c r="D20" s="1">
        <f>IFERROR(__xludf.DUMMYFUNCTION("""COMPUTED_VALUE"""),11.39)</f>
        <v>11.39</v>
      </c>
      <c r="E20" s="1">
        <f>IFERROR(__xludf.DUMMYFUNCTION("""COMPUTED_VALUE"""),11.92)</f>
        <v>11.92</v>
      </c>
      <c r="F20" s="1">
        <f>IFERROR(__xludf.DUMMYFUNCTION("""COMPUTED_VALUE"""),2.0304574E7)</f>
        <v>20304574</v>
      </c>
      <c r="G20" s="2" t="s">
        <v>5</v>
      </c>
    </row>
    <row r="21">
      <c r="A21" s="3">
        <f>IFERROR(__xludf.DUMMYFUNCTION("""COMPUTED_VALUE"""),44589.72916666667)</f>
        <v>44589.72917</v>
      </c>
      <c r="B21" s="1">
        <f>IFERROR(__xludf.DUMMYFUNCTION("""COMPUTED_VALUE"""),12.04)</f>
        <v>12.04</v>
      </c>
      <c r="C21" s="1">
        <f>IFERROR(__xludf.DUMMYFUNCTION("""COMPUTED_VALUE"""),12.04)</f>
        <v>12.04</v>
      </c>
      <c r="D21" s="1">
        <f>IFERROR(__xludf.DUMMYFUNCTION("""COMPUTED_VALUE"""),11.82)</f>
        <v>11.82</v>
      </c>
      <c r="E21" s="1">
        <f>IFERROR(__xludf.DUMMYFUNCTION("""COMPUTED_VALUE"""),11.91)</f>
        <v>11.91</v>
      </c>
      <c r="F21" s="1">
        <f>IFERROR(__xludf.DUMMYFUNCTION("""COMPUTED_VALUE"""),1.4747257E7)</f>
        <v>14747257</v>
      </c>
      <c r="G21" s="2" t="s">
        <v>5</v>
      </c>
    </row>
    <row r="22">
      <c r="A22" s="3">
        <f>IFERROR(__xludf.DUMMYFUNCTION("""COMPUTED_VALUE"""),44592.72916666667)</f>
        <v>44592.72917</v>
      </c>
      <c r="B22" s="1">
        <f>IFERROR(__xludf.DUMMYFUNCTION("""COMPUTED_VALUE"""),12.15)</f>
        <v>12.15</v>
      </c>
      <c r="C22" s="1">
        <f>IFERROR(__xludf.DUMMYFUNCTION("""COMPUTED_VALUE"""),12.41)</f>
        <v>12.41</v>
      </c>
      <c r="D22" s="1">
        <f>IFERROR(__xludf.DUMMYFUNCTION("""COMPUTED_VALUE"""),12.05)</f>
        <v>12.05</v>
      </c>
      <c r="E22" s="1">
        <f>IFERROR(__xludf.DUMMYFUNCTION("""COMPUTED_VALUE"""),12.25)</f>
        <v>12.25</v>
      </c>
      <c r="F22" s="1">
        <f>IFERROR(__xludf.DUMMYFUNCTION("""COMPUTED_VALUE"""),1.5872843E7)</f>
        <v>15872843</v>
      </c>
      <c r="G22" s="2" t="s">
        <v>5</v>
      </c>
    </row>
    <row r="23">
      <c r="A23" s="3">
        <f>IFERROR(__xludf.DUMMYFUNCTION("""COMPUTED_VALUE"""),44593.72916666667)</f>
        <v>44593.72917</v>
      </c>
      <c r="B23" s="1">
        <f>IFERROR(__xludf.DUMMYFUNCTION("""COMPUTED_VALUE"""),12.42)</f>
        <v>12.42</v>
      </c>
      <c r="C23" s="1">
        <f>IFERROR(__xludf.DUMMYFUNCTION("""COMPUTED_VALUE"""),12.69)</f>
        <v>12.69</v>
      </c>
      <c r="D23" s="1">
        <f>IFERROR(__xludf.DUMMYFUNCTION("""COMPUTED_VALUE"""),12.31)</f>
        <v>12.31</v>
      </c>
      <c r="E23" s="1">
        <f>IFERROR(__xludf.DUMMYFUNCTION("""COMPUTED_VALUE"""),12.64)</f>
        <v>12.64</v>
      </c>
      <c r="F23" s="1">
        <f>IFERROR(__xludf.DUMMYFUNCTION("""COMPUTED_VALUE"""),1.4939739E7)</f>
        <v>14939739</v>
      </c>
      <c r="G23" s="2" t="s">
        <v>5</v>
      </c>
    </row>
    <row r="24">
      <c r="A24" s="3">
        <f>IFERROR(__xludf.DUMMYFUNCTION("""COMPUTED_VALUE"""),44594.72916666667)</f>
        <v>44594.72917</v>
      </c>
      <c r="B24" s="1">
        <f>IFERROR(__xludf.DUMMYFUNCTION("""COMPUTED_VALUE"""),12.71)</f>
        <v>12.71</v>
      </c>
      <c r="C24" s="1">
        <f>IFERROR(__xludf.DUMMYFUNCTION("""COMPUTED_VALUE"""),12.91)</f>
        <v>12.91</v>
      </c>
      <c r="D24" s="1">
        <f>IFERROR(__xludf.DUMMYFUNCTION("""COMPUTED_VALUE"""),12.61)</f>
        <v>12.61</v>
      </c>
      <c r="E24" s="1">
        <f>IFERROR(__xludf.DUMMYFUNCTION("""COMPUTED_VALUE"""),12.64)</f>
        <v>12.64</v>
      </c>
      <c r="F24" s="1">
        <f>IFERROR(__xludf.DUMMYFUNCTION("""COMPUTED_VALUE"""),1.3386633E7)</f>
        <v>13386633</v>
      </c>
      <c r="G24" s="2" t="s">
        <v>5</v>
      </c>
    </row>
    <row r="25">
      <c r="A25" s="3">
        <f>IFERROR(__xludf.DUMMYFUNCTION("""COMPUTED_VALUE"""),44595.72916666667)</f>
        <v>44595.72917</v>
      </c>
      <c r="B25" s="1">
        <f>IFERROR(__xludf.DUMMYFUNCTION("""COMPUTED_VALUE"""),12.64)</f>
        <v>12.64</v>
      </c>
      <c r="C25" s="1">
        <f>IFERROR(__xludf.DUMMYFUNCTION("""COMPUTED_VALUE"""),13.37)</f>
        <v>13.37</v>
      </c>
      <c r="D25" s="1">
        <f>IFERROR(__xludf.DUMMYFUNCTION("""COMPUTED_VALUE"""),12.63)</f>
        <v>12.63</v>
      </c>
      <c r="E25" s="1">
        <f>IFERROR(__xludf.DUMMYFUNCTION("""COMPUTED_VALUE"""),13.26)</f>
        <v>13.26</v>
      </c>
      <c r="F25" s="1">
        <f>IFERROR(__xludf.DUMMYFUNCTION("""COMPUTED_VALUE"""),2.5079467E7)</f>
        <v>25079467</v>
      </c>
      <c r="G25" s="2" t="s">
        <v>5</v>
      </c>
    </row>
    <row r="26">
      <c r="A26" s="3">
        <f>IFERROR(__xludf.DUMMYFUNCTION("""COMPUTED_VALUE"""),44596.72916666667)</f>
        <v>44596.72917</v>
      </c>
      <c r="B26" s="1">
        <f>IFERROR(__xludf.DUMMYFUNCTION("""COMPUTED_VALUE"""),13.39)</f>
        <v>13.39</v>
      </c>
      <c r="C26" s="1">
        <f>IFERROR(__xludf.DUMMYFUNCTION("""COMPUTED_VALUE"""),13.66)</f>
        <v>13.66</v>
      </c>
      <c r="D26" s="1">
        <f>IFERROR(__xludf.DUMMYFUNCTION("""COMPUTED_VALUE"""),13.31)</f>
        <v>13.31</v>
      </c>
      <c r="E26" s="1">
        <f>IFERROR(__xludf.DUMMYFUNCTION("""COMPUTED_VALUE"""),13.58)</f>
        <v>13.58</v>
      </c>
      <c r="F26" s="1">
        <f>IFERROR(__xludf.DUMMYFUNCTION("""COMPUTED_VALUE"""),2.1303671E7)</f>
        <v>21303671</v>
      </c>
      <c r="G26" s="2" t="s">
        <v>5</v>
      </c>
    </row>
    <row r="27">
      <c r="A27" s="3">
        <f>IFERROR(__xludf.DUMMYFUNCTION("""COMPUTED_VALUE"""),44599.72916666667)</f>
        <v>44599.72917</v>
      </c>
      <c r="B27" s="1">
        <f>IFERROR(__xludf.DUMMYFUNCTION("""COMPUTED_VALUE"""),13.77)</f>
        <v>13.77</v>
      </c>
      <c r="C27" s="1">
        <f>IFERROR(__xludf.DUMMYFUNCTION("""COMPUTED_VALUE"""),13.78)</f>
        <v>13.78</v>
      </c>
      <c r="D27" s="1">
        <f>IFERROR(__xludf.DUMMYFUNCTION("""COMPUTED_VALUE"""),13.33)</f>
        <v>13.33</v>
      </c>
      <c r="E27" s="1">
        <f>IFERROR(__xludf.DUMMYFUNCTION("""COMPUTED_VALUE"""),13.7)</f>
        <v>13.7</v>
      </c>
      <c r="F27" s="1">
        <f>IFERROR(__xludf.DUMMYFUNCTION("""COMPUTED_VALUE"""),1.6298114E7)</f>
        <v>16298114</v>
      </c>
      <c r="G27" s="2" t="s">
        <v>5</v>
      </c>
    </row>
    <row r="28">
      <c r="A28" s="3">
        <f>IFERROR(__xludf.DUMMYFUNCTION("""COMPUTED_VALUE"""),44600.72916666667)</f>
        <v>44600.72917</v>
      </c>
      <c r="B28" s="1">
        <f>IFERROR(__xludf.DUMMYFUNCTION("""COMPUTED_VALUE"""),13.78)</f>
        <v>13.78</v>
      </c>
      <c r="C28" s="1">
        <f>IFERROR(__xludf.DUMMYFUNCTION("""COMPUTED_VALUE"""),14.43)</f>
        <v>14.43</v>
      </c>
      <c r="D28" s="1">
        <f>IFERROR(__xludf.DUMMYFUNCTION("""COMPUTED_VALUE"""),13.77)</f>
        <v>13.77</v>
      </c>
      <c r="E28" s="1">
        <f>IFERROR(__xludf.DUMMYFUNCTION("""COMPUTED_VALUE"""),14.37)</f>
        <v>14.37</v>
      </c>
      <c r="F28" s="1">
        <f>IFERROR(__xludf.DUMMYFUNCTION("""COMPUTED_VALUE"""),1.9853075E7)</f>
        <v>19853075</v>
      </c>
      <c r="G28" s="2" t="s">
        <v>5</v>
      </c>
    </row>
    <row r="29">
      <c r="A29" s="3">
        <f>IFERROR(__xludf.DUMMYFUNCTION("""COMPUTED_VALUE"""),44601.72916666667)</f>
        <v>44601.72917</v>
      </c>
      <c r="B29" s="1">
        <f>IFERROR(__xludf.DUMMYFUNCTION("""COMPUTED_VALUE"""),14.25)</f>
        <v>14.25</v>
      </c>
      <c r="C29" s="1">
        <f>IFERROR(__xludf.DUMMYFUNCTION("""COMPUTED_VALUE"""),14.45)</f>
        <v>14.45</v>
      </c>
      <c r="D29" s="1">
        <f>IFERROR(__xludf.DUMMYFUNCTION("""COMPUTED_VALUE"""),14.05)</f>
        <v>14.05</v>
      </c>
      <c r="E29" s="1">
        <f>IFERROR(__xludf.DUMMYFUNCTION("""COMPUTED_VALUE"""),14.41)</f>
        <v>14.41</v>
      </c>
      <c r="F29" s="1">
        <f>IFERROR(__xludf.DUMMYFUNCTION("""COMPUTED_VALUE"""),2.1499326E7)</f>
        <v>21499326</v>
      </c>
      <c r="G29" s="2" t="s">
        <v>5</v>
      </c>
    </row>
    <row r="30">
      <c r="A30" s="3">
        <f>IFERROR(__xludf.DUMMYFUNCTION("""COMPUTED_VALUE"""),44602.72916666667)</f>
        <v>44602.72917</v>
      </c>
      <c r="B30" s="1">
        <f>IFERROR(__xludf.DUMMYFUNCTION("""COMPUTED_VALUE"""),14.36)</f>
        <v>14.36</v>
      </c>
      <c r="C30" s="1">
        <f>IFERROR(__xludf.DUMMYFUNCTION("""COMPUTED_VALUE"""),14.64)</f>
        <v>14.64</v>
      </c>
      <c r="D30" s="1">
        <f>IFERROR(__xludf.DUMMYFUNCTION("""COMPUTED_VALUE"""),14.33)</f>
        <v>14.33</v>
      </c>
      <c r="E30" s="1">
        <f>IFERROR(__xludf.DUMMYFUNCTION("""COMPUTED_VALUE"""),14.46)</f>
        <v>14.46</v>
      </c>
      <c r="F30" s="1">
        <f>IFERROR(__xludf.DUMMYFUNCTION("""COMPUTED_VALUE"""),1.6980055E7)</f>
        <v>16980055</v>
      </c>
      <c r="G30" s="2" t="s">
        <v>5</v>
      </c>
    </row>
    <row r="31">
      <c r="A31" s="3">
        <f>IFERROR(__xludf.DUMMYFUNCTION("""COMPUTED_VALUE"""),44603.72916666667)</f>
        <v>44603.72917</v>
      </c>
      <c r="B31" s="1">
        <f>IFERROR(__xludf.DUMMYFUNCTION("""COMPUTED_VALUE"""),14.3)</f>
        <v>14.3</v>
      </c>
      <c r="C31" s="1">
        <f>IFERROR(__xludf.DUMMYFUNCTION("""COMPUTED_VALUE"""),14.56)</f>
        <v>14.56</v>
      </c>
      <c r="D31" s="1">
        <f>IFERROR(__xludf.DUMMYFUNCTION("""COMPUTED_VALUE"""),14.11)</f>
        <v>14.11</v>
      </c>
      <c r="E31" s="1">
        <f>IFERROR(__xludf.DUMMYFUNCTION("""COMPUTED_VALUE"""),14.4)</f>
        <v>14.4</v>
      </c>
      <c r="F31" s="1">
        <f>IFERROR(__xludf.DUMMYFUNCTION("""COMPUTED_VALUE"""),1.6205921E7)</f>
        <v>16205921</v>
      </c>
      <c r="G31" s="2" t="s">
        <v>5</v>
      </c>
    </row>
    <row r="32">
      <c r="A32" s="3">
        <f>IFERROR(__xludf.DUMMYFUNCTION("""COMPUTED_VALUE"""),44606.72916666667)</f>
        <v>44606.72917</v>
      </c>
      <c r="B32" s="1">
        <f>IFERROR(__xludf.DUMMYFUNCTION("""COMPUTED_VALUE"""),13.82)</f>
        <v>13.82</v>
      </c>
      <c r="C32" s="1">
        <f>IFERROR(__xludf.DUMMYFUNCTION("""COMPUTED_VALUE"""),14.02)</f>
        <v>14.02</v>
      </c>
      <c r="D32" s="1">
        <f>IFERROR(__xludf.DUMMYFUNCTION("""COMPUTED_VALUE"""),13.46)</f>
        <v>13.46</v>
      </c>
      <c r="E32" s="1">
        <f>IFERROR(__xludf.DUMMYFUNCTION("""COMPUTED_VALUE"""),13.9)</f>
        <v>13.9</v>
      </c>
      <c r="F32" s="1">
        <f>IFERROR(__xludf.DUMMYFUNCTION("""COMPUTED_VALUE"""),2.2979062E7)</f>
        <v>22979062</v>
      </c>
      <c r="G32" s="2" t="s">
        <v>5</v>
      </c>
    </row>
    <row r="33">
      <c r="A33" s="3">
        <f>IFERROR(__xludf.DUMMYFUNCTION("""COMPUTED_VALUE"""),44607.72916666667)</f>
        <v>44607.72917</v>
      </c>
      <c r="B33" s="1">
        <f>IFERROR(__xludf.DUMMYFUNCTION("""COMPUTED_VALUE"""),13.8)</f>
        <v>13.8</v>
      </c>
      <c r="C33" s="1">
        <f>IFERROR(__xludf.DUMMYFUNCTION("""COMPUTED_VALUE"""),14.11)</f>
        <v>14.11</v>
      </c>
      <c r="D33" s="1">
        <f>IFERROR(__xludf.DUMMYFUNCTION("""COMPUTED_VALUE"""),13.78)</f>
        <v>13.78</v>
      </c>
      <c r="E33" s="1">
        <f>IFERROR(__xludf.DUMMYFUNCTION("""COMPUTED_VALUE"""),14.02)</f>
        <v>14.02</v>
      </c>
      <c r="F33" s="1">
        <f>IFERROR(__xludf.DUMMYFUNCTION("""COMPUTED_VALUE"""),1.3342424E7)</f>
        <v>13342424</v>
      </c>
      <c r="G33" s="2" t="s">
        <v>5</v>
      </c>
    </row>
    <row r="34">
      <c r="A34" s="3">
        <f>IFERROR(__xludf.DUMMYFUNCTION("""COMPUTED_VALUE"""),44608.72916666667)</f>
        <v>44608.72917</v>
      </c>
      <c r="B34" s="1">
        <f>IFERROR(__xludf.DUMMYFUNCTION("""COMPUTED_VALUE"""),14.08)</f>
        <v>14.08</v>
      </c>
      <c r="C34" s="1">
        <f>IFERROR(__xludf.DUMMYFUNCTION("""COMPUTED_VALUE"""),14.15)</f>
        <v>14.15</v>
      </c>
      <c r="D34" s="1">
        <f>IFERROR(__xludf.DUMMYFUNCTION("""COMPUTED_VALUE"""),13.73)</f>
        <v>13.73</v>
      </c>
      <c r="E34" s="1">
        <f>IFERROR(__xludf.DUMMYFUNCTION("""COMPUTED_VALUE"""),13.88)</f>
        <v>13.88</v>
      </c>
      <c r="F34" s="1">
        <f>IFERROR(__xludf.DUMMYFUNCTION("""COMPUTED_VALUE"""),1.2364044E7)</f>
        <v>12364044</v>
      </c>
      <c r="G34" s="2" t="s">
        <v>5</v>
      </c>
    </row>
    <row r="35">
      <c r="A35" s="3">
        <f>IFERROR(__xludf.DUMMYFUNCTION("""COMPUTED_VALUE"""),44609.72916666667)</f>
        <v>44609.72917</v>
      </c>
      <c r="B35" s="1">
        <f>IFERROR(__xludf.DUMMYFUNCTION("""COMPUTED_VALUE"""),13.93)</f>
        <v>13.93</v>
      </c>
      <c r="C35" s="1">
        <f>IFERROR(__xludf.DUMMYFUNCTION("""COMPUTED_VALUE"""),13.95)</f>
        <v>13.95</v>
      </c>
      <c r="D35" s="1">
        <f>IFERROR(__xludf.DUMMYFUNCTION("""COMPUTED_VALUE"""),13.61)</f>
        <v>13.61</v>
      </c>
      <c r="E35" s="1">
        <f>IFERROR(__xludf.DUMMYFUNCTION("""COMPUTED_VALUE"""),13.69)</f>
        <v>13.69</v>
      </c>
      <c r="F35" s="1">
        <f>IFERROR(__xludf.DUMMYFUNCTION("""COMPUTED_VALUE"""),1.26822E7)</f>
        <v>12682200</v>
      </c>
      <c r="G35" s="2" t="s">
        <v>5</v>
      </c>
    </row>
    <row r="36">
      <c r="A36" s="3">
        <f>IFERROR(__xludf.DUMMYFUNCTION("""COMPUTED_VALUE"""),44610.72916666667)</f>
        <v>44610.72917</v>
      </c>
      <c r="B36" s="1">
        <f>IFERROR(__xludf.DUMMYFUNCTION("""COMPUTED_VALUE"""),13.7)</f>
        <v>13.7</v>
      </c>
      <c r="C36" s="1">
        <f>IFERROR(__xludf.DUMMYFUNCTION("""COMPUTED_VALUE"""),13.77)</f>
        <v>13.77</v>
      </c>
      <c r="D36" s="1">
        <f>IFERROR(__xludf.DUMMYFUNCTION("""COMPUTED_VALUE"""),13.49)</f>
        <v>13.49</v>
      </c>
      <c r="E36" s="1">
        <f>IFERROR(__xludf.DUMMYFUNCTION("""COMPUTED_VALUE"""),13.56)</f>
        <v>13.56</v>
      </c>
      <c r="F36" s="1">
        <f>IFERROR(__xludf.DUMMYFUNCTION("""COMPUTED_VALUE"""),1.3131951E7)</f>
        <v>13131951</v>
      </c>
      <c r="G36" s="2" t="s">
        <v>5</v>
      </c>
    </row>
    <row r="37">
      <c r="A37" s="3">
        <f>IFERROR(__xludf.DUMMYFUNCTION("""COMPUTED_VALUE"""),44613.72916666667)</f>
        <v>44613.72917</v>
      </c>
      <c r="B37" s="1">
        <f>IFERROR(__xludf.DUMMYFUNCTION("""COMPUTED_VALUE"""),13.7)</f>
        <v>13.7</v>
      </c>
      <c r="C37" s="1">
        <f>IFERROR(__xludf.DUMMYFUNCTION("""COMPUTED_VALUE"""),13.91)</f>
        <v>13.91</v>
      </c>
      <c r="D37" s="1">
        <f>IFERROR(__xludf.DUMMYFUNCTION("""COMPUTED_VALUE"""),13.17)</f>
        <v>13.17</v>
      </c>
      <c r="E37" s="1">
        <f>IFERROR(__xludf.DUMMYFUNCTION("""COMPUTED_VALUE"""),13.3)</f>
        <v>13.3</v>
      </c>
      <c r="F37" s="1">
        <f>IFERROR(__xludf.DUMMYFUNCTION("""COMPUTED_VALUE"""),1.2280034E7)</f>
        <v>12280034</v>
      </c>
      <c r="G37" s="2" t="s">
        <v>5</v>
      </c>
    </row>
    <row r="38">
      <c r="A38" s="3">
        <f>IFERROR(__xludf.DUMMYFUNCTION("""COMPUTED_VALUE"""),44614.72916666667)</f>
        <v>44614.72917</v>
      </c>
      <c r="B38" s="1">
        <f>IFERROR(__xludf.DUMMYFUNCTION("""COMPUTED_VALUE"""),12.76)</f>
        <v>12.76</v>
      </c>
      <c r="C38" s="1">
        <f>IFERROR(__xludf.DUMMYFUNCTION("""COMPUTED_VALUE"""),13.37)</f>
        <v>13.37</v>
      </c>
      <c r="D38" s="1">
        <f>IFERROR(__xludf.DUMMYFUNCTION("""COMPUTED_VALUE"""),12.51)</f>
        <v>12.51</v>
      </c>
      <c r="E38" s="1">
        <f>IFERROR(__xludf.DUMMYFUNCTION("""COMPUTED_VALUE"""),13.2)</f>
        <v>13.2</v>
      </c>
      <c r="F38" s="1">
        <f>IFERROR(__xludf.DUMMYFUNCTION("""COMPUTED_VALUE"""),2.0094487E7)</f>
        <v>20094487</v>
      </c>
      <c r="G38" s="2" t="s">
        <v>5</v>
      </c>
    </row>
    <row r="39">
      <c r="A39" s="3">
        <f>IFERROR(__xludf.DUMMYFUNCTION("""COMPUTED_VALUE"""),44615.72916666667)</f>
        <v>44615.72917</v>
      </c>
      <c r="B39" s="1">
        <f>IFERROR(__xludf.DUMMYFUNCTION("""COMPUTED_VALUE"""),13.31)</f>
        <v>13.31</v>
      </c>
      <c r="C39" s="1">
        <f>IFERROR(__xludf.DUMMYFUNCTION("""COMPUTED_VALUE"""),13.34)</f>
        <v>13.34</v>
      </c>
      <c r="D39" s="1">
        <f>IFERROR(__xludf.DUMMYFUNCTION("""COMPUTED_VALUE"""),12.8)</f>
        <v>12.8</v>
      </c>
      <c r="E39" s="1">
        <f>IFERROR(__xludf.DUMMYFUNCTION("""COMPUTED_VALUE"""),12.87)</f>
        <v>12.87</v>
      </c>
      <c r="F39" s="1">
        <f>IFERROR(__xludf.DUMMYFUNCTION("""COMPUTED_VALUE"""),1.5793934E7)</f>
        <v>15793934</v>
      </c>
      <c r="G39" s="2" t="s">
        <v>5</v>
      </c>
    </row>
    <row r="40">
      <c r="A40" s="3">
        <f>IFERROR(__xludf.DUMMYFUNCTION("""COMPUTED_VALUE"""),44616.72916666667)</f>
        <v>44616.72917</v>
      </c>
      <c r="B40" s="1">
        <f>IFERROR(__xludf.DUMMYFUNCTION("""COMPUTED_VALUE"""),11.93)</f>
        <v>11.93</v>
      </c>
      <c r="C40" s="1">
        <f>IFERROR(__xludf.DUMMYFUNCTION("""COMPUTED_VALUE"""),12.34)</f>
        <v>12.34</v>
      </c>
      <c r="D40" s="1">
        <f>IFERROR(__xludf.DUMMYFUNCTION("""COMPUTED_VALUE"""),11.25)</f>
        <v>11.25</v>
      </c>
      <c r="E40" s="1">
        <f>IFERROR(__xludf.DUMMYFUNCTION("""COMPUTED_VALUE"""),11.26)</f>
        <v>11.26</v>
      </c>
      <c r="F40" s="1">
        <f>IFERROR(__xludf.DUMMYFUNCTION("""COMPUTED_VALUE"""),4.4158996E7)</f>
        <v>44158996</v>
      </c>
      <c r="G40" s="2" t="s">
        <v>5</v>
      </c>
    </row>
    <row r="41">
      <c r="A41" s="3">
        <f>IFERROR(__xludf.DUMMYFUNCTION("""COMPUTED_VALUE"""),44617.72916666667)</f>
        <v>44617.72917</v>
      </c>
      <c r="B41" s="1">
        <f>IFERROR(__xludf.DUMMYFUNCTION("""COMPUTED_VALUE"""),11.63)</f>
        <v>11.63</v>
      </c>
      <c r="C41" s="1">
        <f>IFERROR(__xludf.DUMMYFUNCTION("""COMPUTED_VALUE"""),12.07)</f>
        <v>12.07</v>
      </c>
      <c r="D41" s="1">
        <f>IFERROR(__xludf.DUMMYFUNCTION("""COMPUTED_VALUE"""),11.02)</f>
        <v>11.02</v>
      </c>
      <c r="E41" s="1">
        <f>IFERROR(__xludf.DUMMYFUNCTION("""COMPUTED_VALUE"""),11.88)</f>
        <v>11.88</v>
      </c>
      <c r="F41" s="1">
        <f>IFERROR(__xludf.DUMMYFUNCTION("""COMPUTED_VALUE"""),3.140581E7)</f>
        <v>31405810</v>
      </c>
      <c r="G41" s="2" t="s">
        <v>5</v>
      </c>
    </row>
    <row r="42">
      <c r="A42" s="3">
        <f>IFERROR(__xludf.DUMMYFUNCTION("""COMPUTED_VALUE"""),44620.72916666667)</f>
        <v>44620.72917</v>
      </c>
      <c r="B42" s="1">
        <f>IFERROR(__xludf.DUMMYFUNCTION("""COMPUTED_VALUE"""),11.21)</f>
        <v>11.21</v>
      </c>
      <c r="C42" s="1">
        <f>IFERROR(__xludf.DUMMYFUNCTION("""COMPUTED_VALUE"""),11.31)</f>
        <v>11.31</v>
      </c>
      <c r="D42" s="1">
        <f>IFERROR(__xludf.DUMMYFUNCTION("""COMPUTED_VALUE"""),10.69)</f>
        <v>10.69</v>
      </c>
      <c r="E42" s="1">
        <f>IFERROR(__xludf.DUMMYFUNCTION("""COMPUTED_VALUE"""),11.26)</f>
        <v>11.26</v>
      </c>
      <c r="F42" s="1">
        <f>IFERROR(__xludf.DUMMYFUNCTION("""COMPUTED_VALUE"""),2.9188148E7)</f>
        <v>29188148</v>
      </c>
      <c r="G42" s="2" t="s">
        <v>5</v>
      </c>
    </row>
    <row r="43">
      <c r="A43" s="3">
        <f>IFERROR(__xludf.DUMMYFUNCTION("""COMPUTED_VALUE"""),44621.72916666667)</f>
        <v>44621.72917</v>
      </c>
      <c r="B43" s="1">
        <f>IFERROR(__xludf.DUMMYFUNCTION("""COMPUTED_VALUE"""),11.17)</f>
        <v>11.17</v>
      </c>
      <c r="C43" s="1">
        <f>IFERROR(__xludf.DUMMYFUNCTION("""COMPUTED_VALUE"""),11.35)</f>
        <v>11.35</v>
      </c>
      <c r="D43" s="1">
        <f>IFERROR(__xludf.DUMMYFUNCTION("""COMPUTED_VALUE"""),10.41)</f>
        <v>10.41</v>
      </c>
      <c r="E43" s="1">
        <f>IFERROR(__xludf.DUMMYFUNCTION("""COMPUTED_VALUE"""),10.41)</f>
        <v>10.41</v>
      </c>
      <c r="F43" s="1">
        <f>IFERROR(__xludf.DUMMYFUNCTION("""COMPUTED_VALUE"""),2.7994686E7)</f>
        <v>27994686</v>
      </c>
      <c r="G43" s="2" t="s">
        <v>5</v>
      </c>
    </row>
    <row r="44">
      <c r="A44" s="3">
        <f>IFERROR(__xludf.DUMMYFUNCTION("""COMPUTED_VALUE"""),44622.72916666667)</f>
        <v>44622.72917</v>
      </c>
      <c r="B44" s="1">
        <f>IFERROR(__xludf.DUMMYFUNCTION("""COMPUTED_VALUE"""),10.16)</f>
        <v>10.16</v>
      </c>
      <c r="C44" s="1">
        <f>IFERROR(__xludf.DUMMYFUNCTION("""COMPUTED_VALUE"""),10.52)</f>
        <v>10.52</v>
      </c>
      <c r="D44" s="1">
        <f>IFERROR(__xludf.DUMMYFUNCTION("""COMPUTED_VALUE"""),9.91)</f>
        <v>9.91</v>
      </c>
      <c r="E44" s="1">
        <f>IFERROR(__xludf.DUMMYFUNCTION("""COMPUTED_VALUE"""),10.39)</f>
        <v>10.39</v>
      </c>
      <c r="F44" s="1">
        <f>IFERROR(__xludf.DUMMYFUNCTION("""COMPUTED_VALUE"""),2.6810629E7)</f>
        <v>26810629</v>
      </c>
      <c r="G44" s="2" t="s">
        <v>5</v>
      </c>
    </row>
    <row r="45">
      <c r="A45" s="3">
        <f>IFERROR(__xludf.DUMMYFUNCTION("""COMPUTED_VALUE"""),44623.72916666667)</f>
        <v>44623.72917</v>
      </c>
      <c r="B45" s="1">
        <f>IFERROR(__xludf.DUMMYFUNCTION("""COMPUTED_VALUE"""),10.49)</f>
        <v>10.49</v>
      </c>
      <c r="C45" s="1">
        <f>IFERROR(__xludf.DUMMYFUNCTION("""COMPUTED_VALUE"""),10.54)</f>
        <v>10.54</v>
      </c>
      <c r="D45" s="1">
        <f>IFERROR(__xludf.DUMMYFUNCTION("""COMPUTED_VALUE"""),10.04)</f>
        <v>10.04</v>
      </c>
      <c r="E45" s="1">
        <f>IFERROR(__xludf.DUMMYFUNCTION("""COMPUTED_VALUE"""),10.1)</f>
        <v>10.1</v>
      </c>
      <c r="F45" s="1">
        <f>IFERROR(__xludf.DUMMYFUNCTION("""COMPUTED_VALUE"""),2.0150401E7)</f>
        <v>20150401</v>
      </c>
      <c r="G45" s="2" t="s">
        <v>5</v>
      </c>
    </row>
    <row r="46">
      <c r="A46" s="3">
        <f>IFERROR(__xludf.DUMMYFUNCTION("""COMPUTED_VALUE"""),44624.72916666667)</f>
        <v>44624.72917</v>
      </c>
      <c r="B46" s="1">
        <f>IFERROR(__xludf.DUMMYFUNCTION("""COMPUTED_VALUE"""),9.93)</f>
        <v>9.93</v>
      </c>
      <c r="C46" s="1">
        <f>IFERROR(__xludf.DUMMYFUNCTION("""COMPUTED_VALUE"""),9.93)</f>
        <v>9.93</v>
      </c>
      <c r="D46" s="1">
        <f>IFERROR(__xludf.DUMMYFUNCTION("""COMPUTED_VALUE"""),9.15)</f>
        <v>9.15</v>
      </c>
      <c r="E46" s="1">
        <f>IFERROR(__xludf.DUMMYFUNCTION("""COMPUTED_VALUE"""),9.15)</f>
        <v>9.15</v>
      </c>
      <c r="F46" s="1">
        <f>IFERROR(__xludf.DUMMYFUNCTION("""COMPUTED_VALUE"""),3.5713032E7)</f>
        <v>35713032</v>
      </c>
      <c r="G46" s="2" t="s">
        <v>5</v>
      </c>
    </row>
    <row r="47">
      <c r="A47" s="3">
        <f>IFERROR(__xludf.DUMMYFUNCTION("""COMPUTED_VALUE"""),44627.72916666667)</f>
        <v>44627.72917</v>
      </c>
      <c r="B47" s="1">
        <f>IFERROR(__xludf.DUMMYFUNCTION("""COMPUTED_VALUE"""),8.69)</f>
        <v>8.69</v>
      </c>
      <c r="C47" s="1">
        <f>IFERROR(__xludf.DUMMYFUNCTION("""COMPUTED_VALUE"""),9.21)</f>
        <v>9.21</v>
      </c>
      <c r="D47" s="1">
        <f>IFERROR(__xludf.DUMMYFUNCTION("""COMPUTED_VALUE"""),8.16)</f>
        <v>8.16</v>
      </c>
      <c r="E47" s="1">
        <f>IFERROR(__xludf.DUMMYFUNCTION("""COMPUTED_VALUE"""),8.9)</f>
        <v>8.9</v>
      </c>
      <c r="F47" s="1">
        <f>IFERROR(__xludf.DUMMYFUNCTION("""COMPUTED_VALUE"""),3.6011795E7)</f>
        <v>36011795</v>
      </c>
      <c r="G47" s="2" t="s">
        <v>5</v>
      </c>
    </row>
    <row r="48">
      <c r="A48" s="3">
        <f>IFERROR(__xludf.DUMMYFUNCTION("""COMPUTED_VALUE"""),44628.72916666667)</f>
        <v>44628.72917</v>
      </c>
      <c r="B48" s="1">
        <f>IFERROR(__xludf.DUMMYFUNCTION("""COMPUTED_VALUE"""),8.71)</f>
        <v>8.71</v>
      </c>
      <c r="C48" s="1">
        <f>IFERROR(__xludf.DUMMYFUNCTION("""COMPUTED_VALUE"""),9.63)</f>
        <v>9.63</v>
      </c>
      <c r="D48" s="1">
        <f>IFERROR(__xludf.DUMMYFUNCTION("""COMPUTED_VALUE"""),8.65)</f>
        <v>8.65</v>
      </c>
      <c r="E48" s="1">
        <f>IFERROR(__xludf.DUMMYFUNCTION("""COMPUTED_VALUE"""),9.12)</f>
        <v>9.12</v>
      </c>
      <c r="F48" s="1">
        <f>IFERROR(__xludf.DUMMYFUNCTION("""COMPUTED_VALUE"""),3.0052317E7)</f>
        <v>30052317</v>
      </c>
      <c r="G48" s="2" t="s">
        <v>5</v>
      </c>
    </row>
    <row r="49">
      <c r="A49" s="3">
        <f>IFERROR(__xludf.DUMMYFUNCTION("""COMPUTED_VALUE"""),44629.72916666667)</f>
        <v>44629.72917</v>
      </c>
      <c r="B49" s="1">
        <f>IFERROR(__xludf.DUMMYFUNCTION("""COMPUTED_VALUE"""),9.74)</f>
        <v>9.74</v>
      </c>
      <c r="C49" s="1">
        <f>IFERROR(__xludf.DUMMYFUNCTION("""COMPUTED_VALUE"""),9.85)</f>
        <v>9.85</v>
      </c>
      <c r="D49" s="1">
        <f>IFERROR(__xludf.DUMMYFUNCTION("""COMPUTED_VALUE"""),9.44)</f>
        <v>9.44</v>
      </c>
      <c r="E49" s="1">
        <f>IFERROR(__xludf.DUMMYFUNCTION("""COMPUTED_VALUE"""),9.81)</f>
        <v>9.81</v>
      </c>
      <c r="F49" s="1">
        <f>IFERROR(__xludf.DUMMYFUNCTION("""COMPUTED_VALUE"""),2.714873E7)</f>
        <v>27148730</v>
      </c>
      <c r="G49" s="2" t="s">
        <v>5</v>
      </c>
    </row>
    <row r="50">
      <c r="A50" s="3">
        <f>IFERROR(__xludf.DUMMYFUNCTION("""COMPUTED_VALUE"""),44630.72916666667)</f>
        <v>44630.72917</v>
      </c>
      <c r="B50" s="1">
        <f>IFERROR(__xludf.DUMMYFUNCTION("""COMPUTED_VALUE"""),9.87)</f>
        <v>9.87</v>
      </c>
      <c r="C50" s="1">
        <f>IFERROR(__xludf.DUMMYFUNCTION("""COMPUTED_VALUE"""),9.97)</f>
        <v>9.97</v>
      </c>
      <c r="D50" s="1">
        <f>IFERROR(__xludf.DUMMYFUNCTION("""COMPUTED_VALUE"""),9.32)</f>
        <v>9.32</v>
      </c>
      <c r="E50" s="1">
        <f>IFERROR(__xludf.DUMMYFUNCTION("""COMPUTED_VALUE"""),9.74)</f>
        <v>9.74</v>
      </c>
      <c r="F50" s="1">
        <f>IFERROR(__xludf.DUMMYFUNCTION("""COMPUTED_VALUE"""),3.5128906E7)</f>
        <v>35128906</v>
      </c>
      <c r="G50" s="2" t="s">
        <v>5</v>
      </c>
    </row>
    <row r="51">
      <c r="A51" s="3">
        <f>IFERROR(__xludf.DUMMYFUNCTION("""COMPUTED_VALUE"""),44631.72916666667)</f>
        <v>44631.72917</v>
      </c>
      <c r="B51" s="1">
        <f>IFERROR(__xludf.DUMMYFUNCTION("""COMPUTED_VALUE"""),9.9)</f>
        <v>9.9</v>
      </c>
      <c r="C51" s="1">
        <f>IFERROR(__xludf.DUMMYFUNCTION("""COMPUTED_VALUE"""),10.05)</f>
        <v>10.05</v>
      </c>
      <c r="D51" s="1">
        <f>IFERROR(__xludf.DUMMYFUNCTION("""COMPUTED_VALUE"""),9.52)</f>
        <v>9.52</v>
      </c>
      <c r="E51" s="1">
        <f>IFERROR(__xludf.DUMMYFUNCTION("""COMPUTED_VALUE"""),9.59)</f>
        <v>9.59</v>
      </c>
      <c r="F51" s="1">
        <f>IFERROR(__xludf.DUMMYFUNCTION("""COMPUTED_VALUE"""),2.2804222E7)</f>
        <v>22804222</v>
      </c>
      <c r="G51" s="2" t="s">
        <v>5</v>
      </c>
    </row>
    <row r="52">
      <c r="A52" s="3">
        <f>IFERROR(__xludf.DUMMYFUNCTION("""COMPUTED_VALUE"""),44634.72916666667)</f>
        <v>44634.72917</v>
      </c>
      <c r="B52" s="1">
        <f>IFERROR(__xludf.DUMMYFUNCTION("""COMPUTED_VALUE"""),9.8)</f>
        <v>9.8</v>
      </c>
      <c r="C52" s="1">
        <f>IFERROR(__xludf.DUMMYFUNCTION("""COMPUTED_VALUE"""),10.46)</f>
        <v>10.46</v>
      </c>
      <c r="D52" s="1">
        <f>IFERROR(__xludf.DUMMYFUNCTION("""COMPUTED_VALUE"""),9.72)</f>
        <v>9.72</v>
      </c>
      <c r="E52" s="1">
        <f>IFERROR(__xludf.DUMMYFUNCTION("""COMPUTED_VALUE"""),10.36)</f>
        <v>10.36</v>
      </c>
      <c r="F52" s="1">
        <f>IFERROR(__xludf.DUMMYFUNCTION("""COMPUTED_VALUE"""),2.840701E7)</f>
        <v>28407010</v>
      </c>
      <c r="G52" s="2" t="s">
        <v>5</v>
      </c>
    </row>
    <row r="53">
      <c r="A53" s="3">
        <f>IFERROR(__xludf.DUMMYFUNCTION("""COMPUTED_VALUE"""),44635.72916666667)</f>
        <v>44635.72917</v>
      </c>
      <c r="B53" s="1">
        <f>IFERROR(__xludf.DUMMYFUNCTION("""COMPUTED_VALUE"""),10.09)</f>
        <v>10.09</v>
      </c>
      <c r="C53" s="1">
        <f>IFERROR(__xludf.DUMMYFUNCTION("""COMPUTED_VALUE"""),10.48)</f>
        <v>10.48</v>
      </c>
      <c r="D53" s="1">
        <f>IFERROR(__xludf.DUMMYFUNCTION("""COMPUTED_VALUE"""),9.95)</f>
        <v>9.95</v>
      </c>
      <c r="E53" s="1">
        <f>IFERROR(__xludf.DUMMYFUNCTION("""COMPUTED_VALUE"""),10.33)</f>
        <v>10.33</v>
      </c>
      <c r="F53" s="1">
        <f>IFERROR(__xludf.DUMMYFUNCTION("""COMPUTED_VALUE"""),1.9914872E7)</f>
        <v>19914872</v>
      </c>
      <c r="G53" s="2" t="s">
        <v>5</v>
      </c>
    </row>
    <row r="54">
      <c r="A54" s="3">
        <f>IFERROR(__xludf.DUMMYFUNCTION("""COMPUTED_VALUE"""),44636.72916666667)</f>
        <v>44636.72917</v>
      </c>
      <c r="B54" s="1">
        <f>IFERROR(__xludf.DUMMYFUNCTION("""COMPUTED_VALUE"""),10.64)</f>
        <v>10.64</v>
      </c>
      <c r="C54" s="1">
        <f>IFERROR(__xludf.DUMMYFUNCTION("""COMPUTED_VALUE"""),11.15)</f>
        <v>11.15</v>
      </c>
      <c r="D54" s="1">
        <f>IFERROR(__xludf.DUMMYFUNCTION("""COMPUTED_VALUE"""),10.57)</f>
        <v>10.57</v>
      </c>
      <c r="E54" s="1">
        <f>IFERROR(__xludf.DUMMYFUNCTION("""COMPUTED_VALUE"""),11.07)</f>
        <v>11.07</v>
      </c>
      <c r="F54" s="1">
        <f>IFERROR(__xludf.DUMMYFUNCTION("""COMPUTED_VALUE"""),2.6979208E7)</f>
        <v>26979208</v>
      </c>
      <c r="G54" s="2" t="s">
        <v>5</v>
      </c>
    </row>
    <row r="55">
      <c r="A55" s="3">
        <f>IFERROR(__xludf.DUMMYFUNCTION("""COMPUTED_VALUE"""),44637.72916666667)</f>
        <v>44637.72917</v>
      </c>
      <c r="B55" s="1">
        <f>IFERROR(__xludf.DUMMYFUNCTION("""COMPUTED_VALUE"""),11.11)</f>
        <v>11.11</v>
      </c>
      <c r="C55" s="1">
        <f>IFERROR(__xludf.DUMMYFUNCTION("""COMPUTED_VALUE"""),11.31)</f>
        <v>11.31</v>
      </c>
      <c r="D55" s="1">
        <f>IFERROR(__xludf.DUMMYFUNCTION("""COMPUTED_VALUE"""),10.66)</f>
        <v>10.66</v>
      </c>
      <c r="E55" s="1">
        <f>IFERROR(__xludf.DUMMYFUNCTION("""COMPUTED_VALUE"""),10.9)</f>
        <v>10.9</v>
      </c>
      <c r="F55" s="1">
        <f>IFERROR(__xludf.DUMMYFUNCTION("""COMPUTED_VALUE"""),1.7264569E7)</f>
        <v>17264569</v>
      </c>
      <c r="G55" s="2" t="s">
        <v>5</v>
      </c>
    </row>
    <row r="56">
      <c r="A56" s="3">
        <f>IFERROR(__xludf.DUMMYFUNCTION("""COMPUTED_VALUE"""),44638.72916666667)</f>
        <v>44638.72917</v>
      </c>
      <c r="B56" s="1">
        <f>IFERROR(__xludf.DUMMYFUNCTION("""COMPUTED_VALUE"""),10.91)</f>
        <v>10.91</v>
      </c>
      <c r="C56" s="1">
        <f>IFERROR(__xludf.DUMMYFUNCTION("""COMPUTED_VALUE"""),11.05)</f>
        <v>11.05</v>
      </c>
      <c r="D56" s="1">
        <f>IFERROR(__xludf.DUMMYFUNCTION("""COMPUTED_VALUE"""),10.75)</f>
        <v>10.75</v>
      </c>
      <c r="E56" s="1">
        <f>IFERROR(__xludf.DUMMYFUNCTION("""COMPUTED_VALUE"""),11.02)</f>
        <v>11.02</v>
      </c>
      <c r="F56" s="1">
        <f>IFERROR(__xludf.DUMMYFUNCTION("""COMPUTED_VALUE"""),2.3661795E7)</f>
        <v>23661795</v>
      </c>
      <c r="G56" s="2" t="s">
        <v>5</v>
      </c>
    </row>
    <row r="57">
      <c r="A57" s="3">
        <f>IFERROR(__xludf.DUMMYFUNCTION("""COMPUTED_VALUE"""),44641.72916666667)</f>
        <v>44641.72917</v>
      </c>
      <c r="B57" s="1">
        <f>IFERROR(__xludf.DUMMYFUNCTION("""COMPUTED_VALUE"""),11.08)</f>
        <v>11.08</v>
      </c>
      <c r="C57" s="1">
        <f>IFERROR(__xludf.DUMMYFUNCTION("""COMPUTED_VALUE"""),11.29)</f>
        <v>11.29</v>
      </c>
      <c r="D57" s="1">
        <f>IFERROR(__xludf.DUMMYFUNCTION("""COMPUTED_VALUE"""),11.03)</f>
        <v>11.03</v>
      </c>
      <c r="E57" s="1">
        <f>IFERROR(__xludf.DUMMYFUNCTION("""COMPUTED_VALUE"""),11.08)</f>
        <v>11.08</v>
      </c>
      <c r="F57" s="1">
        <f>IFERROR(__xludf.DUMMYFUNCTION("""COMPUTED_VALUE"""),1.3500809E7)</f>
        <v>13500809</v>
      </c>
      <c r="G57" s="2" t="s">
        <v>5</v>
      </c>
    </row>
    <row r="58">
      <c r="A58" s="3">
        <f>IFERROR(__xludf.DUMMYFUNCTION("""COMPUTED_VALUE"""),44642.72916666667)</f>
        <v>44642.72917</v>
      </c>
      <c r="B58" s="1">
        <f>IFERROR(__xludf.DUMMYFUNCTION("""COMPUTED_VALUE"""),11.2)</f>
        <v>11.2</v>
      </c>
      <c r="C58" s="1">
        <f>IFERROR(__xludf.DUMMYFUNCTION("""COMPUTED_VALUE"""),11.71)</f>
        <v>11.71</v>
      </c>
      <c r="D58" s="1">
        <f>IFERROR(__xludf.DUMMYFUNCTION("""COMPUTED_VALUE"""),11.18)</f>
        <v>11.18</v>
      </c>
      <c r="E58" s="1">
        <f>IFERROR(__xludf.DUMMYFUNCTION("""COMPUTED_VALUE"""),11.7)</f>
        <v>11.7</v>
      </c>
      <c r="F58" s="1">
        <f>IFERROR(__xludf.DUMMYFUNCTION("""COMPUTED_VALUE"""),1.7889007E7)</f>
        <v>17889007</v>
      </c>
      <c r="G58" s="2" t="s">
        <v>5</v>
      </c>
    </row>
    <row r="59">
      <c r="A59" s="3">
        <f>IFERROR(__xludf.DUMMYFUNCTION("""COMPUTED_VALUE"""),44643.72916666667)</f>
        <v>44643.72917</v>
      </c>
      <c r="B59" s="1">
        <f>IFERROR(__xludf.DUMMYFUNCTION("""COMPUTED_VALUE"""),11.8)</f>
        <v>11.8</v>
      </c>
      <c r="C59" s="1">
        <f>IFERROR(__xludf.DUMMYFUNCTION("""COMPUTED_VALUE"""),11.87)</f>
        <v>11.87</v>
      </c>
      <c r="D59" s="1">
        <f>IFERROR(__xludf.DUMMYFUNCTION("""COMPUTED_VALUE"""),11.52)</f>
        <v>11.52</v>
      </c>
      <c r="E59" s="1">
        <f>IFERROR(__xludf.DUMMYFUNCTION("""COMPUTED_VALUE"""),11.59)</f>
        <v>11.59</v>
      </c>
      <c r="F59" s="1">
        <f>IFERROR(__xludf.DUMMYFUNCTION("""COMPUTED_VALUE"""),1.2200569E7)</f>
        <v>12200569</v>
      </c>
      <c r="G59" s="2" t="s">
        <v>5</v>
      </c>
    </row>
    <row r="60">
      <c r="A60" s="3">
        <f>IFERROR(__xludf.DUMMYFUNCTION("""COMPUTED_VALUE"""),44644.72916666667)</f>
        <v>44644.72917</v>
      </c>
      <c r="B60" s="1">
        <f>IFERROR(__xludf.DUMMYFUNCTION("""COMPUTED_VALUE"""),11.57)</f>
        <v>11.57</v>
      </c>
      <c r="C60" s="1">
        <f>IFERROR(__xludf.DUMMYFUNCTION("""COMPUTED_VALUE"""),11.67)</f>
        <v>11.67</v>
      </c>
      <c r="D60" s="1">
        <f>IFERROR(__xludf.DUMMYFUNCTION("""COMPUTED_VALUE"""),11.45)</f>
        <v>11.45</v>
      </c>
      <c r="E60" s="1">
        <f>IFERROR(__xludf.DUMMYFUNCTION("""COMPUTED_VALUE"""),11.54)</f>
        <v>11.54</v>
      </c>
      <c r="F60" s="1">
        <f>IFERROR(__xludf.DUMMYFUNCTION("""COMPUTED_VALUE"""),1.0071605E7)</f>
        <v>10071605</v>
      </c>
      <c r="G60" s="2" t="s">
        <v>5</v>
      </c>
    </row>
    <row r="61">
      <c r="A61" s="3">
        <f>IFERROR(__xludf.DUMMYFUNCTION("""COMPUTED_VALUE"""),44645.72916666667)</f>
        <v>44645.72917</v>
      </c>
      <c r="B61" s="1">
        <f>IFERROR(__xludf.DUMMYFUNCTION("""COMPUTED_VALUE"""),11.56)</f>
        <v>11.56</v>
      </c>
      <c r="C61" s="1">
        <f>IFERROR(__xludf.DUMMYFUNCTION("""COMPUTED_VALUE"""),11.8)</f>
        <v>11.8</v>
      </c>
      <c r="D61" s="1">
        <f>IFERROR(__xludf.DUMMYFUNCTION("""COMPUTED_VALUE"""),11.46)</f>
        <v>11.46</v>
      </c>
      <c r="E61" s="1">
        <f>IFERROR(__xludf.DUMMYFUNCTION("""COMPUTED_VALUE"""),11.66)</f>
        <v>11.66</v>
      </c>
      <c r="F61" s="1">
        <f>IFERROR(__xludf.DUMMYFUNCTION("""COMPUTED_VALUE"""),1.086974E7)</f>
        <v>10869740</v>
      </c>
      <c r="G61" s="2" t="s">
        <v>5</v>
      </c>
    </row>
    <row r="62">
      <c r="A62" s="3">
        <f>IFERROR(__xludf.DUMMYFUNCTION("""COMPUTED_VALUE"""),44648.72916666667)</f>
        <v>44648.72917</v>
      </c>
      <c r="B62" s="1">
        <f>IFERROR(__xludf.DUMMYFUNCTION("""COMPUTED_VALUE"""),11.65)</f>
        <v>11.65</v>
      </c>
      <c r="C62" s="1">
        <f>IFERROR(__xludf.DUMMYFUNCTION("""COMPUTED_VALUE"""),11.97)</f>
        <v>11.97</v>
      </c>
      <c r="D62" s="1">
        <f>IFERROR(__xludf.DUMMYFUNCTION("""COMPUTED_VALUE"""),11.6)</f>
        <v>11.6</v>
      </c>
      <c r="E62" s="1">
        <f>IFERROR(__xludf.DUMMYFUNCTION("""COMPUTED_VALUE"""),11.66)</f>
        <v>11.66</v>
      </c>
      <c r="F62" s="1">
        <f>IFERROR(__xludf.DUMMYFUNCTION("""COMPUTED_VALUE"""),9880630.0)</f>
        <v>9880630</v>
      </c>
      <c r="G62" s="2" t="s">
        <v>5</v>
      </c>
    </row>
    <row r="63">
      <c r="A63" s="3">
        <f>IFERROR(__xludf.DUMMYFUNCTION("""COMPUTED_VALUE"""),44649.72916666667)</f>
        <v>44649.72917</v>
      </c>
      <c r="B63" s="1">
        <f>IFERROR(__xludf.DUMMYFUNCTION("""COMPUTED_VALUE"""),11.84)</f>
        <v>11.84</v>
      </c>
      <c r="C63" s="1">
        <f>IFERROR(__xludf.DUMMYFUNCTION("""COMPUTED_VALUE"""),12.11)</f>
        <v>12.11</v>
      </c>
      <c r="D63" s="1">
        <f>IFERROR(__xludf.DUMMYFUNCTION("""COMPUTED_VALUE"""),11.54)</f>
        <v>11.54</v>
      </c>
      <c r="E63" s="1">
        <f>IFERROR(__xludf.DUMMYFUNCTION("""COMPUTED_VALUE"""),11.97)</f>
        <v>11.97</v>
      </c>
      <c r="F63" s="1">
        <f>IFERROR(__xludf.DUMMYFUNCTION("""COMPUTED_VALUE"""),1.9418742E7)</f>
        <v>19418742</v>
      </c>
      <c r="G63" s="2" t="s">
        <v>5</v>
      </c>
    </row>
    <row r="64">
      <c r="A64" s="3">
        <f>IFERROR(__xludf.DUMMYFUNCTION("""COMPUTED_VALUE"""),44650.72916666667)</f>
        <v>44650.72917</v>
      </c>
      <c r="B64" s="1">
        <f>IFERROR(__xludf.DUMMYFUNCTION("""COMPUTED_VALUE"""),11.88)</f>
        <v>11.88</v>
      </c>
      <c r="C64" s="1">
        <f>IFERROR(__xludf.DUMMYFUNCTION("""COMPUTED_VALUE"""),11.93)</f>
        <v>11.93</v>
      </c>
      <c r="D64" s="1">
        <f>IFERROR(__xludf.DUMMYFUNCTION("""COMPUTED_VALUE"""),11.57)</f>
        <v>11.57</v>
      </c>
      <c r="E64" s="1">
        <f>IFERROR(__xludf.DUMMYFUNCTION("""COMPUTED_VALUE"""),11.63)</f>
        <v>11.63</v>
      </c>
      <c r="F64" s="1">
        <f>IFERROR(__xludf.DUMMYFUNCTION("""COMPUTED_VALUE"""),1.0276916E7)</f>
        <v>10276916</v>
      </c>
      <c r="G64" s="2" t="s">
        <v>5</v>
      </c>
    </row>
    <row r="65">
      <c r="A65" s="3">
        <f>IFERROR(__xludf.DUMMYFUNCTION("""COMPUTED_VALUE"""),44651.72916666667)</f>
        <v>44651.72917</v>
      </c>
      <c r="B65" s="1">
        <f>IFERROR(__xludf.DUMMYFUNCTION("""COMPUTED_VALUE"""),11.82)</f>
        <v>11.82</v>
      </c>
      <c r="C65" s="1">
        <f>IFERROR(__xludf.DUMMYFUNCTION("""COMPUTED_VALUE"""),11.94)</f>
        <v>11.94</v>
      </c>
      <c r="D65" s="1">
        <f>IFERROR(__xludf.DUMMYFUNCTION("""COMPUTED_VALUE"""),11.48)</f>
        <v>11.48</v>
      </c>
      <c r="E65" s="1">
        <f>IFERROR(__xludf.DUMMYFUNCTION("""COMPUTED_VALUE"""),11.51)</f>
        <v>11.51</v>
      </c>
      <c r="F65" s="1">
        <f>IFERROR(__xludf.DUMMYFUNCTION("""COMPUTED_VALUE"""),1.4294463E7)</f>
        <v>14294463</v>
      </c>
      <c r="G65" s="2" t="s">
        <v>5</v>
      </c>
    </row>
    <row r="66">
      <c r="A66" s="3">
        <f>IFERROR(__xludf.DUMMYFUNCTION("""COMPUTED_VALUE"""),44652.72916666667)</f>
        <v>44652.72917</v>
      </c>
      <c r="B66" s="1">
        <f>IFERROR(__xludf.DUMMYFUNCTION("""COMPUTED_VALUE"""),11.65)</f>
        <v>11.65</v>
      </c>
      <c r="C66" s="1">
        <f>IFERROR(__xludf.DUMMYFUNCTION("""COMPUTED_VALUE"""),12.0)</f>
        <v>12</v>
      </c>
      <c r="D66" s="1">
        <f>IFERROR(__xludf.DUMMYFUNCTION("""COMPUTED_VALUE"""),11.61)</f>
        <v>11.61</v>
      </c>
      <c r="E66" s="1">
        <f>IFERROR(__xludf.DUMMYFUNCTION("""COMPUTED_VALUE"""),11.82)</f>
        <v>11.82</v>
      </c>
      <c r="F66" s="1">
        <f>IFERROR(__xludf.DUMMYFUNCTION("""COMPUTED_VALUE"""),1.2007818E7)</f>
        <v>12007818</v>
      </c>
      <c r="G66" s="2" t="s">
        <v>5</v>
      </c>
    </row>
    <row r="67">
      <c r="A67" s="3">
        <f>IFERROR(__xludf.DUMMYFUNCTION("""COMPUTED_VALUE"""),44655.72916666667)</f>
        <v>44655.72917</v>
      </c>
      <c r="B67" s="1">
        <f>IFERROR(__xludf.DUMMYFUNCTION("""COMPUTED_VALUE"""),11.81)</f>
        <v>11.81</v>
      </c>
      <c r="C67" s="1">
        <f>IFERROR(__xludf.DUMMYFUNCTION("""COMPUTED_VALUE"""),11.95)</f>
        <v>11.95</v>
      </c>
      <c r="D67" s="1">
        <f>IFERROR(__xludf.DUMMYFUNCTION("""COMPUTED_VALUE"""),11.62)</f>
        <v>11.62</v>
      </c>
      <c r="E67" s="1">
        <f>IFERROR(__xludf.DUMMYFUNCTION("""COMPUTED_VALUE"""),11.81)</f>
        <v>11.81</v>
      </c>
      <c r="F67" s="1">
        <f>IFERROR(__xludf.DUMMYFUNCTION("""COMPUTED_VALUE"""),8008604.0)</f>
        <v>8008604</v>
      </c>
      <c r="G67" s="2" t="s">
        <v>5</v>
      </c>
    </row>
    <row r="68">
      <c r="A68" s="3">
        <f>IFERROR(__xludf.DUMMYFUNCTION("""COMPUTED_VALUE"""),44656.72916666667)</f>
        <v>44656.72917</v>
      </c>
      <c r="B68" s="1">
        <f>IFERROR(__xludf.DUMMYFUNCTION("""COMPUTED_VALUE"""),11.82)</f>
        <v>11.82</v>
      </c>
      <c r="C68" s="1">
        <f>IFERROR(__xludf.DUMMYFUNCTION("""COMPUTED_VALUE"""),11.97)</f>
        <v>11.97</v>
      </c>
      <c r="D68" s="1">
        <f>IFERROR(__xludf.DUMMYFUNCTION("""COMPUTED_VALUE"""),11.67)</f>
        <v>11.67</v>
      </c>
      <c r="E68" s="1">
        <f>IFERROR(__xludf.DUMMYFUNCTION("""COMPUTED_VALUE"""),11.77)</f>
        <v>11.77</v>
      </c>
      <c r="F68" s="1">
        <f>IFERROR(__xludf.DUMMYFUNCTION("""COMPUTED_VALUE"""),1.0328318E7)</f>
        <v>10328318</v>
      </c>
      <c r="G68" s="2" t="s">
        <v>5</v>
      </c>
    </row>
    <row r="69">
      <c r="A69" s="3">
        <f>IFERROR(__xludf.DUMMYFUNCTION("""COMPUTED_VALUE"""),44657.72916666667)</f>
        <v>44657.72917</v>
      </c>
      <c r="B69" s="1">
        <f>IFERROR(__xludf.DUMMYFUNCTION("""COMPUTED_VALUE"""),11.74)</f>
        <v>11.74</v>
      </c>
      <c r="C69" s="1">
        <f>IFERROR(__xludf.DUMMYFUNCTION("""COMPUTED_VALUE"""),11.93)</f>
        <v>11.93</v>
      </c>
      <c r="D69" s="1">
        <f>IFERROR(__xludf.DUMMYFUNCTION("""COMPUTED_VALUE"""),11.24)</f>
        <v>11.24</v>
      </c>
      <c r="E69" s="1">
        <f>IFERROR(__xludf.DUMMYFUNCTION("""COMPUTED_VALUE"""),11.39)</f>
        <v>11.39</v>
      </c>
      <c r="F69" s="1">
        <f>IFERROR(__xludf.DUMMYFUNCTION("""COMPUTED_VALUE"""),1.4708099E7)</f>
        <v>14708099</v>
      </c>
      <c r="G69" s="2" t="s">
        <v>5</v>
      </c>
    </row>
    <row r="70">
      <c r="A70" s="3">
        <f>IFERROR(__xludf.DUMMYFUNCTION("""COMPUTED_VALUE"""),44658.72916666667)</f>
        <v>44658.72917</v>
      </c>
      <c r="B70" s="1">
        <f>IFERROR(__xludf.DUMMYFUNCTION("""COMPUTED_VALUE"""),11.44)</f>
        <v>11.44</v>
      </c>
      <c r="C70" s="1">
        <f>IFERROR(__xludf.DUMMYFUNCTION("""COMPUTED_VALUE"""),11.74)</f>
        <v>11.74</v>
      </c>
      <c r="D70" s="1">
        <f>IFERROR(__xludf.DUMMYFUNCTION("""COMPUTED_VALUE"""),11.38)</f>
        <v>11.38</v>
      </c>
      <c r="E70" s="1">
        <f>IFERROR(__xludf.DUMMYFUNCTION("""COMPUTED_VALUE"""),11.4)</f>
        <v>11.4</v>
      </c>
      <c r="F70" s="1">
        <f>IFERROR(__xludf.DUMMYFUNCTION("""COMPUTED_VALUE"""),1.0017346E7)</f>
        <v>10017346</v>
      </c>
      <c r="G70" s="2" t="s">
        <v>5</v>
      </c>
    </row>
    <row r="71">
      <c r="A71" s="3">
        <f>IFERROR(__xludf.DUMMYFUNCTION("""COMPUTED_VALUE"""),44659.72916666667)</f>
        <v>44659.72917</v>
      </c>
      <c r="B71" s="1">
        <f>IFERROR(__xludf.DUMMYFUNCTION("""COMPUTED_VALUE"""),11.65)</f>
        <v>11.65</v>
      </c>
      <c r="C71" s="1">
        <f>IFERROR(__xludf.DUMMYFUNCTION("""COMPUTED_VALUE"""),11.95)</f>
        <v>11.95</v>
      </c>
      <c r="D71" s="1">
        <f>IFERROR(__xludf.DUMMYFUNCTION("""COMPUTED_VALUE"""),11.62)</f>
        <v>11.62</v>
      </c>
      <c r="E71" s="1">
        <f>IFERROR(__xludf.DUMMYFUNCTION("""COMPUTED_VALUE"""),11.84)</f>
        <v>11.84</v>
      </c>
      <c r="F71" s="1">
        <f>IFERROR(__xludf.DUMMYFUNCTION("""COMPUTED_VALUE"""),1.0219736E7)</f>
        <v>10219736</v>
      </c>
      <c r="G71" s="2" t="s">
        <v>5</v>
      </c>
    </row>
    <row r="72">
      <c r="A72" s="3">
        <f>IFERROR(__xludf.DUMMYFUNCTION("""COMPUTED_VALUE"""),44662.72916666667)</f>
        <v>44662.72917</v>
      </c>
      <c r="B72" s="1">
        <f>IFERROR(__xludf.DUMMYFUNCTION("""COMPUTED_VALUE"""),11.83)</f>
        <v>11.83</v>
      </c>
      <c r="C72" s="1">
        <f>IFERROR(__xludf.DUMMYFUNCTION("""COMPUTED_VALUE"""),12.04)</f>
        <v>12.04</v>
      </c>
      <c r="D72" s="1">
        <f>IFERROR(__xludf.DUMMYFUNCTION("""COMPUTED_VALUE"""),11.78)</f>
        <v>11.78</v>
      </c>
      <c r="E72" s="1">
        <f>IFERROR(__xludf.DUMMYFUNCTION("""COMPUTED_VALUE"""),11.92)</f>
        <v>11.92</v>
      </c>
      <c r="F72" s="1">
        <f>IFERROR(__xludf.DUMMYFUNCTION("""COMPUTED_VALUE"""),9319572.0)</f>
        <v>9319572</v>
      </c>
      <c r="G72" s="2" t="s">
        <v>5</v>
      </c>
    </row>
    <row r="73">
      <c r="A73" s="3">
        <f>IFERROR(__xludf.DUMMYFUNCTION("""COMPUTED_VALUE"""),44663.72916666667)</f>
        <v>44663.72917</v>
      </c>
      <c r="B73" s="1">
        <f>IFERROR(__xludf.DUMMYFUNCTION("""COMPUTED_VALUE"""),10.96)</f>
        <v>10.96</v>
      </c>
      <c r="C73" s="1">
        <f>IFERROR(__xludf.DUMMYFUNCTION("""COMPUTED_VALUE"""),11.06)</f>
        <v>11.06</v>
      </c>
      <c r="D73" s="1">
        <f>IFERROR(__xludf.DUMMYFUNCTION("""COMPUTED_VALUE"""),10.64)</f>
        <v>10.64</v>
      </c>
      <c r="E73" s="1">
        <f>IFERROR(__xludf.DUMMYFUNCTION("""COMPUTED_VALUE"""),10.81)</f>
        <v>10.81</v>
      </c>
      <c r="F73" s="1">
        <f>IFERROR(__xludf.DUMMYFUNCTION("""COMPUTED_VALUE"""),3.4888236E7)</f>
        <v>34888236</v>
      </c>
      <c r="G73" s="2" t="s">
        <v>5</v>
      </c>
    </row>
    <row r="74">
      <c r="A74" s="3">
        <f>IFERROR(__xludf.DUMMYFUNCTION("""COMPUTED_VALUE"""),44664.72916666667)</f>
        <v>44664.72917</v>
      </c>
      <c r="B74" s="1">
        <f>IFERROR(__xludf.DUMMYFUNCTION("""COMPUTED_VALUE"""),10.84)</f>
        <v>10.84</v>
      </c>
      <c r="C74" s="1">
        <f>IFERROR(__xludf.DUMMYFUNCTION("""COMPUTED_VALUE"""),10.9)</f>
        <v>10.9</v>
      </c>
      <c r="D74" s="1">
        <f>IFERROR(__xludf.DUMMYFUNCTION("""COMPUTED_VALUE"""),10.62)</f>
        <v>10.62</v>
      </c>
      <c r="E74" s="1">
        <f>IFERROR(__xludf.DUMMYFUNCTION("""COMPUTED_VALUE"""),10.9)</f>
        <v>10.9</v>
      </c>
      <c r="F74" s="1">
        <f>IFERROR(__xludf.DUMMYFUNCTION("""COMPUTED_VALUE"""),1.4699189E7)</f>
        <v>14699189</v>
      </c>
      <c r="G74" s="2" t="s">
        <v>5</v>
      </c>
    </row>
    <row r="75">
      <c r="A75" s="3">
        <f>IFERROR(__xludf.DUMMYFUNCTION("""COMPUTED_VALUE"""),44665.72916666667)</f>
        <v>44665.72917</v>
      </c>
      <c r="B75" s="1">
        <f>IFERROR(__xludf.DUMMYFUNCTION("""COMPUTED_VALUE"""),10.98)</f>
        <v>10.98</v>
      </c>
      <c r="C75" s="1">
        <f>IFERROR(__xludf.DUMMYFUNCTION("""COMPUTED_VALUE"""),11.0)</f>
        <v>11</v>
      </c>
      <c r="D75" s="1">
        <f>IFERROR(__xludf.DUMMYFUNCTION("""COMPUTED_VALUE"""),10.84)</f>
        <v>10.84</v>
      </c>
      <c r="E75" s="1">
        <f>IFERROR(__xludf.DUMMYFUNCTION("""COMPUTED_VALUE"""),10.98)</f>
        <v>10.98</v>
      </c>
      <c r="F75" s="1">
        <f>IFERROR(__xludf.DUMMYFUNCTION("""COMPUTED_VALUE"""),1.4362799E7)</f>
        <v>14362799</v>
      </c>
      <c r="G75" s="2" t="s">
        <v>5</v>
      </c>
    </row>
    <row r="76">
      <c r="A76" s="3">
        <f>IFERROR(__xludf.DUMMYFUNCTION("""COMPUTED_VALUE"""),44670.72916666667)</f>
        <v>44670.72917</v>
      </c>
      <c r="B76" s="1">
        <f>IFERROR(__xludf.DUMMYFUNCTION("""COMPUTED_VALUE"""),10.96)</f>
        <v>10.96</v>
      </c>
      <c r="C76" s="1">
        <f>IFERROR(__xludf.DUMMYFUNCTION("""COMPUTED_VALUE"""),11.09)</f>
        <v>11.09</v>
      </c>
      <c r="D76" s="1">
        <f>IFERROR(__xludf.DUMMYFUNCTION("""COMPUTED_VALUE"""),10.84)</f>
        <v>10.84</v>
      </c>
      <c r="E76" s="1">
        <f>IFERROR(__xludf.DUMMYFUNCTION("""COMPUTED_VALUE"""),11.0)</f>
        <v>11</v>
      </c>
      <c r="F76" s="1">
        <f>IFERROR(__xludf.DUMMYFUNCTION("""COMPUTED_VALUE"""),1.115285E7)</f>
        <v>11152850</v>
      </c>
      <c r="G76" s="2" t="s">
        <v>5</v>
      </c>
    </row>
    <row r="77">
      <c r="A77" s="3">
        <f>IFERROR(__xludf.DUMMYFUNCTION("""COMPUTED_VALUE"""),44671.72916666667)</f>
        <v>44671.72917</v>
      </c>
      <c r="B77" s="1">
        <f>IFERROR(__xludf.DUMMYFUNCTION("""COMPUTED_VALUE"""),11.01)</f>
        <v>11.01</v>
      </c>
      <c r="C77" s="1">
        <f>IFERROR(__xludf.DUMMYFUNCTION("""COMPUTED_VALUE"""),11.31)</f>
        <v>11.31</v>
      </c>
      <c r="D77" s="1">
        <f>IFERROR(__xludf.DUMMYFUNCTION("""COMPUTED_VALUE"""),11.01)</f>
        <v>11.01</v>
      </c>
      <c r="E77" s="1">
        <f>IFERROR(__xludf.DUMMYFUNCTION("""COMPUTED_VALUE"""),11.22)</f>
        <v>11.22</v>
      </c>
      <c r="F77" s="1">
        <f>IFERROR(__xludf.DUMMYFUNCTION("""COMPUTED_VALUE"""),1.3929821E7)</f>
        <v>13929821</v>
      </c>
      <c r="G77" s="2" t="s">
        <v>5</v>
      </c>
    </row>
    <row r="78">
      <c r="A78" s="3">
        <f>IFERROR(__xludf.DUMMYFUNCTION("""COMPUTED_VALUE"""),44672.72916666667)</f>
        <v>44672.72917</v>
      </c>
      <c r="B78" s="1">
        <f>IFERROR(__xludf.DUMMYFUNCTION("""COMPUTED_VALUE"""),11.25)</f>
        <v>11.25</v>
      </c>
      <c r="C78" s="1">
        <f>IFERROR(__xludf.DUMMYFUNCTION("""COMPUTED_VALUE"""),11.51)</f>
        <v>11.51</v>
      </c>
      <c r="D78" s="1">
        <f>IFERROR(__xludf.DUMMYFUNCTION("""COMPUTED_VALUE"""),11.23)</f>
        <v>11.23</v>
      </c>
      <c r="E78" s="1">
        <f>IFERROR(__xludf.DUMMYFUNCTION("""COMPUTED_VALUE"""),11.36)</f>
        <v>11.36</v>
      </c>
      <c r="F78" s="1">
        <f>IFERROR(__xludf.DUMMYFUNCTION("""COMPUTED_VALUE"""),1.1894688E7)</f>
        <v>11894688</v>
      </c>
      <c r="G78" s="2" t="s">
        <v>5</v>
      </c>
    </row>
    <row r="79">
      <c r="A79" s="3">
        <f>IFERROR(__xludf.DUMMYFUNCTION("""COMPUTED_VALUE"""),44673.72916666667)</f>
        <v>44673.72917</v>
      </c>
      <c r="B79" s="1">
        <f>IFERROR(__xludf.DUMMYFUNCTION("""COMPUTED_VALUE"""),11.25)</f>
        <v>11.25</v>
      </c>
      <c r="C79" s="1">
        <f>IFERROR(__xludf.DUMMYFUNCTION("""COMPUTED_VALUE"""),11.37)</f>
        <v>11.37</v>
      </c>
      <c r="D79" s="1">
        <f>IFERROR(__xludf.DUMMYFUNCTION("""COMPUTED_VALUE"""),10.97)</f>
        <v>10.97</v>
      </c>
      <c r="E79" s="1">
        <f>IFERROR(__xludf.DUMMYFUNCTION("""COMPUTED_VALUE"""),11.02)</f>
        <v>11.02</v>
      </c>
      <c r="F79" s="1">
        <f>IFERROR(__xludf.DUMMYFUNCTION("""COMPUTED_VALUE"""),1.2183873E7)</f>
        <v>12183873</v>
      </c>
      <c r="G79" s="2" t="s">
        <v>5</v>
      </c>
    </row>
    <row r="80">
      <c r="A80" s="3">
        <f>IFERROR(__xludf.DUMMYFUNCTION("""COMPUTED_VALUE"""),44676.72916666667)</f>
        <v>44676.72917</v>
      </c>
      <c r="B80" s="1">
        <f>IFERROR(__xludf.DUMMYFUNCTION("""COMPUTED_VALUE"""),10.81)</f>
        <v>10.81</v>
      </c>
      <c r="C80" s="1">
        <f>IFERROR(__xludf.DUMMYFUNCTION("""COMPUTED_VALUE"""),10.86)</f>
        <v>10.86</v>
      </c>
      <c r="D80" s="1">
        <f>IFERROR(__xludf.DUMMYFUNCTION("""COMPUTED_VALUE"""),10.38)</f>
        <v>10.38</v>
      </c>
      <c r="E80" s="1">
        <f>IFERROR(__xludf.DUMMYFUNCTION("""COMPUTED_VALUE"""),10.39)</f>
        <v>10.39</v>
      </c>
      <c r="F80" s="1">
        <f>IFERROR(__xludf.DUMMYFUNCTION("""COMPUTED_VALUE"""),1.5058588E7)</f>
        <v>15058588</v>
      </c>
      <c r="G80" s="2" t="s">
        <v>5</v>
      </c>
    </row>
    <row r="81">
      <c r="A81" s="3">
        <f>IFERROR(__xludf.DUMMYFUNCTION("""COMPUTED_VALUE"""),44677.72916666667)</f>
        <v>44677.72917</v>
      </c>
      <c r="B81" s="1">
        <f>IFERROR(__xludf.DUMMYFUNCTION("""COMPUTED_VALUE"""),10.66)</f>
        <v>10.66</v>
      </c>
      <c r="C81" s="1">
        <f>IFERROR(__xludf.DUMMYFUNCTION("""COMPUTED_VALUE"""),10.68)</f>
        <v>10.68</v>
      </c>
      <c r="D81" s="1">
        <f>IFERROR(__xludf.DUMMYFUNCTION("""COMPUTED_VALUE"""),10.12)</f>
        <v>10.12</v>
      </c>
      <c r="E81" s="1">
        <f>IFERROR(__xludf.DUMMYFUNCTION("""COMPUTED_VALUE"""),10.12)</f>
        <v>10.12</v>
      </c>
      <c r="F81" s="1">
        <f>IFERROR(__xludf.DUMMYFUNCTION("""COMPUTED_VALUE"""),1.4313567E7)</f>
        <v>14313567</v>
      </c>
      <c r="G81" s="2" t="s">
        <v>5</v>
      </c>
    </row>
    <row r="82">
      <c r="A82" s="3">
        <f>IFERROR(__xludf.DUMMYFUNCTION("""COMPUTED_VALUE"""),44678.72916666667)</f>
        <v>44678.72917</v>
      </c>
      <c r="B82" s="1">
        <f>IFERROR(__xludf.DUMMYFUNCTION("""COMPUTED_VALUE"""),10.16)</f>
        <v>10.16</v>
      </c>
      <c r="C82" s="1">
        <f>IFERROR(__xludf.DUMMYFUNCTION("""COMPUTED_VALUE"""),10.18)</f>
        <v>10.18</v>
      </c>
      <c r="D82" s="1">
        <f>IFERROR(__xludf.DUMMYFUNCTION("""COMPUTED_VALUE"""),9.44)</f>
        <v>9.44</v>
      </c>
      <c r="E82" s="1">
        <f>IFERROR(__xludf.DUMMYFUNCTION("""COMPUTED_VALUE"""),9.55)</f>
        <v>9.55</v>
      </c>
      <c r="F82" s="1">
        <f>IFERROR(__xludf.DUMMYFUNCTION("""COMPUTED_VALUE"""),3.7155084E7)</f>
        <v>37155084</v>
      </c>
      <c r="G82" s="2" t="s">
        <v>5</v>
      </c>
    </row>
    <row r="83">
      <c r="A83" s="3">
        <f>IFERROR(__xludf.DUMMYFUNCTION("""COMPUTED_VALUE"""),44679.72916666667)</f>
        <v>44679.72917</v>
      </c>
      <c r="B83" s="1">
        <f>IFERROR(__xludf.DUMMYFUNCTION("""COMPUTED_VALUE"""),9.75)</f>
        <v>9.75</v>
      </c>
      <c r="C83" s="1">
        <f>IFERROR(__xludf.DUMMYFUNCTION("""COMPUTED_VALUE"""),9.91)</f>
        <v>9.91</v>
      </c>
      <c r="D83" s="1">
        <f>IFERROR(__xludf.DUMMYFUNCTION("""COMPUTED_VALUE"""),9.51)</f>
        <v>9.51</v>
      </c>
      <c r="E83" s="1">
        <f>IFERROR(__xludf.DUMMYFUNCTION("""COMPUTED_VALUE"""),9.62)</f>
        <v>9.62</v>
      </c>
      <c r="F83" s="1">
        <f>IFERROR(__xludf.DUMMYFUNCTION("""COMPUTED_VALUE"""),1.594147E7)</f>
        <v>15941470</v>
      </c>
      <c r="G83" s="2" t="s">
        <v>5</v>
      </c>
    </row>
    <row r="84">
      <c r="A84" s="3">
        <f>IFERROR(__xludf.DUMMYFUNCTION("""COMPUTED_VALUE"""),44680.72916666667)</f>
        <v>44680.72917</v>
      </c>
      <c r="B84" s="1">
        <f>IFERROR(__xludf.DUMMYFUNCTION("""COMPUTED_VALUE"""),9.76)</f>
        <v>9.76</v>
      </c>
      <c r="C84" s="1">
        <f>IFERROR(__xludf.DUMMYFUNCTION("""COMPUTED_VALUE"""),9.89)</f>
        <v>9.89</v>
      </c>
      <c r="D84" s="1">
        <f>IFERROR(__xludf.DUMMYFUNCTION("""COMPUTED_VALUE"""),9.26)</f>
        <v>9.26</v>
      </c>
      <c r="E84" s="1">
        <f>IFERROR(__xludf.DUMMYFUNCTION("""COMPUTED_VALUE"""),9.63)</f>
        <v>9.63</v>
      </c>
      <c r="F84" s="1">
        <f>IFERROR(__xludf.DUMMYFUNCTION("""COMPUTED_VALUE"""),2.3656422E7)</f>
        <v>23656422</v>
      </c>
      <c r="G84" s="2" t="s">
        <v>5</v>
      </c>
    </row>
    <row r="85">
      <c r="A85" s="3">
        <f>IFERROR(__xludf.DUMMYFUNCTION("""COMPUTED_VALUE"""),44683.72916666667)</f>
        <v>44683.72917</v>
      </c>
      <c r="B85" s="1">
        <f>IFERROR(__xludf.DUMMYFUNCTION("""COMPUTED_VALUE"""),9.55)</f>
        <v>9.55</v>
      </c>
      <c r="C85" s="1">
        <f>IFERROR(__xludf.DUMMYFUNCTION("""COMPUTED_VALUE"""),9.63)</f>
        <v>9.63</v>
      </c>
      <c r="D85" s="1">
        <f>IFERROR(__xludf.DUMMYFUNCTION("""COMPUTED_VALUE"""),9.13)</f>
        <v>9.13</v>
      </c>
      <c r="E85" s="1">
        <f>IFERROR(__xludf.DUMMYFUNCTION("""COMPUTED_VALUE"""),9.48)</f>
        <v>9.48</v>
      </c>
      <c r="F85" s="1">
        <f>IFERROR(__xludf.DUMMYFUNCTION("""COMPUTED_VALUE"""),1.3801078E7)</f>
        <v>13801078</v>
      </c>
      <c r="G85" s="2" t="s">
        <v>5</v>
      </c>
    </row>
    <row r="86">
      <c r="A86" s="3">
        <f>IFERROR(__xludf.DUMMYFUNCTION("""COMPUTED_VALUE"""),44684.72916666667)</f>
        <v>44684.72917</v>
      </c>
      <c r="B86" s="1">
        <f>IFERROR(__xludf.DUMMYFUNCTION("""COMPUTED_VALUE"""),9.64)</f>
        <v>9.64</v>
      </c>
      <c r="C86" s="1">
        <f>IFERROR(__xludf.DUMMYFUNCTION("""COMPUTED_VALUE"""),9.89)</f>
        <v>9.89</v>
      </c>
      <c r="D86" s="1">
        <f>IFERROR(__xludf.DUMMYFUNCTION("""COMPUTED_VALUE"""),9.59)</f>
        <v>9.59</v>
      </c>
      <c r="E86" s="1">
        <f>IFERROR(__xludf.DUMMYFUNCTION("""COMPUTED_VALUE"""),9.86)</f>
        <v>9.86</v>
      </c>
      <c r="F86" s="1">
        <f>IFERROR(__xludf.DUMMYFUNCTION("""COMPUTED_VALUE"""),1.5059589E7)</f>
        <v>15059589</v>
      </c>
      <c r="G86" s="2" t="s">
        <v>5</v>
      </c>
    </row>
    <row r="87">
      <c r="A87" s="3">
        <f>IFERROR(__xludf.DUMMYFUNCTION("""COMPUTED_VALUE"""),44685.72916666667)</f>
        <v>44685.72917</v>
      </c>
      <c r="B87" s="1">
        <f>IFERROR(__xludf.DUMMYFUNCTION("""COMPUTED_VALUE"""),9.96)</f>
        <v>9.96</v>
      </c>
      <c r="C87" s="1">
        <f>IFERROR(__xludf.DUMMYFUNCTION("""COMPUTED_VALUE"""),9.98)</f>
        <v>9.98</v>
      </c>
      <c r="D87" s="1">
        <f>IFERROR(__xludf.DUMMYFUNCTION("""COMPUTED_VALUE"""),9.76)</f>
        <v>9.76</v>
      </c>
      <c r="E87" s="1">
        <f>IFERROR(__xludf.DUMMYFUNCTION("""COMPUTED_VALUE"""),9.82)</f>
        <v>9.82</v>
      </c>
      <c r="F87" s="1">
        <f>IFERROR(__xludf.DUMMYFUNCTION("""COMPUTED_VALUE"""),1.0085502E7)</f>
        <v>10085502</v>
      </c>
      <c r="G87" s="2" t="s">
        <v>5</v>
      </c>
    </row>
    <row r="88">
      <c r="A88" s="3">
        <f>IFERROR(__xludf.DUMMYFUNCTION("""COMPUTED_VALUE"""),44686.72916666667)</f>
        <v>44686.72917</v>
      </c>
      <c r="B88" s="1">
        <f>IFERROR(__xludf.DUMMYFUNCTION("""COMPUTED_VALUE"""),10.09)</f>
        <v>10.09</v>
      </c>
      <c r="C88" s="1">
        <f>IFERROR(__xludf.DUMMYFUNCTION("""COMPUTED_VALUE"""),10.11)</f>
        <v>10.11</v>
      </c>
      <c r="D88" s="1">
        <f>IFERROR(__xludf.DUMMYFUNCTION("""COMPUTED_VALUE"""),9.44)</f>
        <v>9.44</v>
      </c>
      <c r="E88" s="1">
        <f>IFERROR(__xludf.DUMMYFUNCTION("""COMPUTED_VALUE"""),9.45)</f>
        <v>9.45</v>
      </c>
      <c r="F88" s="1">
        <f>IFERROR(__xludf.DUMMYFUNCTION("""COMPUTED_VALUE"""),1.5004649E7)</f>
        <v>15004649</v>
      </c>
      <c r="G88" s="2" t="s">
        <v>5</v>
      </c>
    </row>
    <row r="89">
      <c r="A89" s="3">
        <f>IFERROR(__xludf.DUMMYFUNCTION("""COMPUTED_VALUE"""),44687.72916666667)</f>
        <v>44687.72917</v>
      </c>
      <c r="B89" s="1">
        <f>IFERROR(__xludf.DUMMYFUNCTION("""COMPUTED_VALUE"""),9.38)</f>
        <v>9.38</v>
      </c>
      <c r="C89" s="1">
        <f>IFERROR(__xludf.DUMMYFUNCTION("""COMPUTED_VALUE"""),9.5)</f>
        <v>9.5</v>
      </c>
      <c r="D89" s="1">
        <f>IFERROR(__xludf.DUMMYFUNCTION("""COMPUTED_VALUE"""),9.21)</f>
        <v>9.21</v>
      </c>
      <c r="E89" s="1">
        <f>IFERROR(__xludf.DUMMYFUNCTION("""COMPUTED_VALUE"""),9.32)</f>
        <v>9.32</v>
      </c>
      <c r="F89" s="1">
        <f>IFERROR(__xludf.DUMMYFUNCTION("""COMPUTED_VALUE"""),1.3522777E7)</f>
        <v>13522777</v>
      </c>
      <c r="G89" s="2" t="s">
        <v>5</v>
      </c>
    </row>
    <row r="90">
      <c r="A90" s="3">
        <f>IFERROR(__xludf.DUMMYFUNCTION("""COMPUTED_VALUE"""),44690.72916666667)</f>
        <v>44690.72917</v>
      </c>
      <c r="B90" s="1">
        <f>IFERROR(__xludf.DUMMYFUNCTION("""COMPUTED_VALUE"""),9.22)</f>
        <v>9.22</v>
      </c>
      <c r="C90" s="1">
        <f>IFERROR(__xludf.DUMMYFUNCTION("""COMPUTED_VALUE"""),9.33)</f>
        <v>9.33</v>
      </c>
      <c r="D90" s="1">
        <f>IFERROR(__xludf.DUMMYFUNCTION("""COMPUTED_VALUE"""),8.96)</f>
        <v>8.96</v>
      </c>
      <c r="E90" s="1">
        <f>IFERROR(__xludf.DUMMYFUNCTION("""COMPUTED_VALUE"""),8.96)</f>
        <v>8.96</v>
      </c>
      <c r="F90" s="1">
        <f>IFERROR(__xludf.DUMMYFUNCTION("""COMPUTED_VALUE"""),1.2430646E7)</f>
        <v>12430646</v>
      </c>
      <c r="G90" s="2" t="s">
        <v>5</v>
      </c>
    </row>
    <row r="91">
      <c r="A91" s="3">
        <f>IFERROR(__xludf.DUMMYFUNCTION("""COMPUTED_VALUE"""),44691.72916666667)</f>
        <v>44691.72917</v>
      </c>
      <c r="B91" s="1">
        <f>IFERROR(__xludf.DUMMYFUNCTION("""COMPUTED_VALUE"""),9.1)</f>
        <v>9.1</v>
      </c>
      <c r="C91" s="1">
        <f>IFERROR(__xludf.DUMMYFUNCTION("""COMPUTED_VALUE"""),9.3)</f>
        <v>9.3</v>
      </c>
      <c r="D91" s="1">
        <f>IFERROR(__xludf.DUMMYFUNCTION("""COMPUTED_VALUE"""),9.07)</f>
        <v>9.07</v>
      </c>
      <c r="E91" s="1">
        <f>IFERROR(__xludf.DUMMYFUNCTION("""COMPUTED_VALUE"""),9.1)</f>
        <v>9.1</v>
      </c>
      <c r="F91" s="1">
        <f>IFERROR(__xludf.DUMMYFUNCTION("""COMPUTED_VALUE"""),1.071565E7)</f>
        <v>10715650</v>
      </c>
      <c r="G91" s="2" t="s">
        <v>5</v>
      </c>
    </row>
    <row r="92">
      <c r="A92" s="3">
        <f>IFERROR(__xludf.DUMMYFUNCTION("""COMPUTED_VALUE"""),44692.72916666667)</f>
        <v>44692.72917</v>
      </c>
      <c r="B92" s="1">
        <f>IFERROR(__xludf.DUMMYFUNCTION("""COMPUTED_VALUE"""),9.21)</f>
        <v>9.21</v>
      </c>
      <c r="C92" s="1">
        <f>IFERROR(__xludf.DUMMYFUNCTION("""COMPUTED_VALUE"""),9.4)</f>
        <v>9.4</v>
      </c>
      <c r="D92" s="1">
        <f>IFERROR(__xludf.DUMMYFUNCTION("""COMPUTED_VALUE"""),8.99)</f>
        <v>8.99</v>
      </c>
      <c r="E92" s="1">
        <f>IFERROR(__xludf.DUMMYFUNCTION("""COMPUTED_VALUE"""),9.31)</f>
        <v>9.31</v>
      </c>
      <c r="F92" s="1">
        <f>IFERROR(__xludf.DUMMYFUNCTION("""COMPUTED_VALUE"""),1.3449301E7)</f>
        <v>13449301</v>
      </c>
      <c r="G92" s="2" t="s">
        <v>5</v>
      </c>
    </row>
    <row r="93">
      <c r="A93" s="3">
        <f>IFERROR(__xludf.DUMMYFUNCTION("""COMPUTED_VALUE"""),44693.72916666667)</f>
        <v>44693.72917</v>
      </c>
      <c r="B93" s="1">
        <f>IFERROR(__xludf.DUMMYFUNCTION("""COMPUTED_VALUE"""),9.09)</f>
        <v>9.09</v>
      </c>
      <c r="C93" s="1">
        <f>IFERROR(__xludf.DUMMYFUNCTION("""COMPUTED_VALUE"""),9.15)</f>
        <v>9.15</v>
      </c>
      <c r="D93" s="1">
        <f>IFERROR(__xludf.DUMMYFUNCTION("""COMPUTED_VALUE"""),8.81)</f>
        <v>8.81</v>
      </c>
      <c r="E93" s="1">
        <f>IFERROR(__xludf.DUMMYFUNCTION("""COMPUTED_VALUE"""),9.13)</f>
        <v>9.13</v>
      </c>
      <c r="F93" s="1">
        <f>IFERROR(__xludf.DUMMYFUNCTION("""COMPUTED_VALUE"""),1.5622882E7)</f>
        <v>15622882</v>
      </c>
      <c r="G93" s="2" t="s">
        <v>5</v>
      </c>
    </row>
    <row r="94">
      <c r="A94" s="3">
        <f>IFERROR(__xludf.DUMMYFUNCTION("""COMPUTED_VALUE"""),44694.72916666667)</f>
        <v>44694.72917</v>
      </c>
      <c r="B94" s="1">
        <f>IFERROR(__xludf.DUMMYFUNCTION("""COMPUTED_VALUE"""),9.25)</f>
        <v>9.25</v>
      </c>
      <c r="C94" s="1">
        <f>IFERROR(__xludf.DUMMYFUNCTION("""COMPUTED_VALUE"""),9.37)</f>
        <v>9.37</v>
      </c>
      <c r="D94" s="1">
        <f>IFERROR(__xludf.DUMMYFUNCTION("""COMPUTED_VALUE"""),9.21)</f>
        <v>9.21</v>
      </c>
      <c r="E94" s="1">
        <f>IFERROR(__xludf.DUMMYFUNCTION("""COMPUTED_VALUE"""),9.35)</f>
        <v>9.35</v>
      </c>
      <c r="F94" s="1">
        <f>IFERROR(__xludf.DUMMYFUNCTION("""COMPUTED_VALUE"""),1.0443791E7)</f>
        <v>10443791</v>
      </c>
      <c r="G94" s="2" t="s">
        <v>5</v>
      </c>
    </row>
    <row r="95">
      <c r="A95" s="3">
        <f>IFERROR(__xludf.DUMMYFUNCTION("""COMPUTED_VALUE"""),44697.72916666667)</f>
        <v>44697.72917</v>
      </c>
      <c r="B95" s="1">
        <f>IFERROR(__xludf.DUMMYFUNCTION("""COMPUTED_VALUE"""),9.31)</f>
        <v>9.31</v>
      </c>
      <c r="C95" s="1">
        <f>IFERROR(__xludf.DUMMYFUNCTION("""COMPUTED_VALUE"""),9.43)</f>
        <v>9.43</v>
      </c>
      <c r="D95" s="1">
        <f>IFERROR(__xludf.DUMMYFUNCTION("""COMPUTED_VALUE"""),9.18)</f>
        <v>9.18</v>
      </c>
      <c r="E95" s="1">
        <f>IFERROR(__xludf.DUMMYFUNCTION("""COMPUTED_VALUE"""),9.22)</f>
        <v>9.22</v>
      </c>
      <c r="F95" s="1">
        <f>IFERROR(__xludf.DUMMYFUNCTION("""COMPUTED_VALUE"""),9085840.0)</f>
        <v>9085840</v>
      </c>
      <c r="G95" s="2" t="s">
        <v>5</v>
      </c>
    </row>
    <row r="96">
      <c r="A96" s="3">
        <f>IFERROR(__xludf.DUMMYFUNCTION("""COMPUTED_VALUE"""),44698.72916666667)</f>
        <v>44698.72917</v>
      </c>
      <c r="B96" s="1">
        <f>IFERROR(__xludf.DUMMYFUNCTION("""COMPUTED_VALUE"""),9.38)</f>
        <v>9.38</v>
      </c>
      <c r="C96" s="1">
        <f>IFERROR(__xludf.DUMMYFUNCTION("""COMPUTED_VALUE"""),9.64)</f>
        <v>9.64</v>
      </c>
      <c r="D96" s="1">
        <f>IFERROR(__xludf.DUMMYFUNCTION("""COMPUTED_VALUE"""),9.35)</f>
        <v>9.35</v>
      </c>
      <c r="E96" s="1">
        <f>IFERROR(__xludf.DUMMYFUNCTION("""COMPUTED_VALUE"""),9.54)</f>
        <v>9.54</v>
      </c>
      <c r="F96" s="1">
        <f>IFERROR(__xludf.DUMMYFUNCTION("""COMPUTED_VALUE"""),1.2170287E7)</f>
        <v>12170287</v>
      </c>
      <c r="G96" s="2" t="s">
        <v>5</v>
      </c>
    </row>
    <row r="97">
      <c r="A97" s="3">
        <f>IFERROR(__xludf.DUMMYFUNCTION("""COMPUTED_VALUE"""),44699.72916666667)</f>
        <v>44699.72917</v>
      </c>
      <c r="B97" s="1">
        <f>IFERROR(__xludf.DUMMYFUNCTION("""COMPUTED_VALUE"""),9.65)</f>
        <v>9.65</v>
      </c>
      <c r="C97" s="1">
        <f>IFERROR(__xludf.DUMMYFUNCTION("""COMPUTED_VALUE"""),9.71)</f>
        <v>9.71</v>
      </c>
      <c r="D97" s="1">
        <f>IFERROR(__xludf.DUMMYFUNCTION("""COMPUTED_VALUE"""),9.46)</f>
        <v>9.46</v>
      </c>
      <c r="E97" s="1">
        <f>IFERROR(__xludf.DUMMYFUNCTION("""COMPUTED_VALUE"""),9.47)</f>
        <v>9.47</v>
      </c>
      <c r="F97" s="1">
        <f>IFERROR(__xludf.DUMMYFUNCTION("""COMPUTED_VALUE"""),9230090.0)</f>
        <v>9230090</v>
      </c>
      <c r="G97" s="2" t="s">
        <v>5</v>
      </c>
    </row>
    <row r="98">
      <c r="A98" s="3">
        <f>IFERROR(__xludf.DUMMYFUNCTION("""COMPUTED_VALUE"""),44700.72916666667)</f>
        <v>44700.72917</v>
      </c>
      <c r="B98" s="1">
        <f>IFERROR(__xludf.DUMMYFUNCTION("""COMPUTED_VALUE"""),9.43)</f>
        <v>9.43</v>
      </c>
      <c r="C98" s="1">
        <f>IFERROR(__xludf.DUMMYFUNCTION("""COMPUTED_VALUE"""),9.5)</f>
        <v>9.5</v>
      </c>
      <c r="D98" s="1">
        <f>IFERROR(__xludf.DUMMYFUNCTION("""COMPUTED_VALUE"""),9.3)</f>
        <v>9.3</v>
      </c>
      <c r="E98" s="1">
        <f>IFERROR(__xludf.DUMMYFUNCTION("""COMPUTED_VALUE"""),9.49)</f>
        <v>9.49</v>
      </c>
      <c r="F98" s="1">
        <f>IFERROR(__xludf.DUMMYFUNCTION("""COMPUTED_VALUE"""),1.4035561E7)</f>
        <v>14035561</v>
      </c>
      <c r="G98" s="2" t="s">
        <v>5</v>
      </c>
    </row>
    <row r="99">
      <c r="A99" s="3">
        <f>IFERROR(__xludf.DUMMYFUNCTION("""COMPUTED_VALUE"""),44701.72916666667)</f>
        <v>44701.72917</v>
      </c>
      <c r="B99" s="1">
        <f>IFERROR(__xludf.DUMMYFUNCTION("""COMPUTED_VALUE"""),9.53)</f>
        <v>9.53</v>
      </c>
      <c r="C99" s="1">
        <f>IFERROR(__xludf.DUMMYFUNCTION("""COMPUTED_VALUE"""),9.57)</f>
        <v>9.57</v>
      </c>
      <c r="D99" s="1">
        <f>IFERROR(__xludf.DUMMYFUNCTION("""COMPUTED_VALUE"""),9.29)</f>
        <v>9.29</v>
      </c>
      <c r="E99" s="1">
        <f>IFERROR(__xludf.DUMMYFUNCTION("""COMPUTED_VALUE"""),9.36)</f>
        <v>9.36</v>
      </c>
      <c r="F99" s="1">
        <f>IFERROR(__xludf.DUMMYFUNCTION("""COMPUTED_VALUE"""),1.2131184E7)</f>
        <v>12131184</v>
      </c>
      <c r="G99" s="2" t="s">
        <v>5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IFERROR(__xludf.DUMMYFUNCTION("""COMPUTED_VALUE"""),9.62)</f>
        <v>9.62</v>
      </c>
      <c r="C100" s="1">
        <f>IFERROR(__xludf.DUMMYFUNCTION("""COMPUTED_VALUE"""),10.02)</f>
        <v>10.02</v>
      </c>
      <c r="D100" s="1">
        <f>IFERROR(__xludf.DUMMYFUNCTION("""COMPUTED_VALUE"""),9.56)</f>
        <v>9.56</v>
      </c>
      <c r="E100" s="1">
        <f>IFERROR(__xludf.DUMMYFUNCTION("""COMPUTED_VALUE"""),10.02)</f>
        <v>10.02</v>
      </c>
      <c r="F100" s="1">
        <f>IFERROR(__xludf.DUMMYFUNCTION("""COMPUTED_VALUE"""),1.4551549E7)</f>
        <v>14551549</v>
      </c>
      <c r="G100" s="2" t="s">
        <v>5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IFERROR(__xludf.DUMMYFUNCTION("""COMPUTED_VALUE"""),9.88)</f>
        <v>9.88</v>
      </c>
      <c r="C101" s="1">
        <f>IFERROR(__xludf.DUMMYFUNCTION("""COMPUTED_VALUE"""),10.31)</f>
        <v>10.31</v>
      </c>
      <c r="D101" s="1">
        <f>IFERROR(__xludf.DUMMYFUNCTION("""COMPUTED_VALUE"""),9.88)</f>
        <v>9.88</v>
      </c>
      <c r="E101" s="1">
        <f>IFERROR(__xludf.DUMMYFUNCTION("""COMPUTED_VALUE"""),10.08)</f>
        <v>10.08</v>
      </c>
      <c r="F101" s="1">
        <f>IFERROR(__xludf.DUMMYFUNCTION("""COMPUTED_VALUE"""),1.4533165E7)</f>
        <v>14533165</v>
      </c>
      <c r="G101" s="2" t="s">
        <v>5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IFERROR(__xludf.DUMMYFUNCTION("""COMPUTED_VALUE"""),10.16)</f>
        <v>10.16</v>
      </c>
      <c r="C102" s="1">
        <f>IFERROR(__xludf.DUMMYFUNCTION("""COMPUTED_VALUE"""),10.27)</f>
        <v>10.27</v>
      </c>
      <c r="D102" s="1">
        <f>IFERROR(__xludf.DUMMYFUNCTION("""COMPUTED_VALUE"""),9.97)</f>
        <v>9.97</v>
      </c>
      <c r="E102" s="1">
        <f>IFERROR(__xludf.DUMMYFUNCTION("""COMPUTED_VALUE"""),10.26)</f>
        <v>10.26</v>
      </c>
      <c r="F102" s="1">
        <f>IFERROR(__xludf.DUMMYFUNCTION("""COMPUTED_VALUE"""),9758757.0)</f>
        <v>9758757</v>
      </c>
      <c r="G102" s="2" t="s">
        <v>5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IFERROR(__xludf.DUMMYFUNCTION("""COMPUTED_VALUE"""),10.24)</f>
        <v>10.24</v>
      </c>
      <c r="C103" s="1">
        <f>IFERROR(__xludf.DUMMYFUNCTION("""COMPUTED_VALUE"""),10.43)</f>
        <v>10.43</v>
      </c>
      <c r="D103" s="1">
        <f>IFERROR(__xludf.DUMMYFUNCTION("""COMPUTED_VALUE"""),10.2)</f>
        <v>10.2</v>
      </c>
      <c r="E103" s="1">
        <f>IFERROR(__xludf.DUMMYFUNCTION("""COMPUTED_VALUE"""),10.41)</f>
        <v>10.41</v>
      </c>
      <c r="F103" s="1">
        <f>IFERROR(__xludf.DUMMYFUNCTION("""COMPUTED_VALUE"""),7968466.0)</f>
        <v>7968466</v>
      </c>
      <c r="G103" s="2" t="s">
        <v>5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IFERROR(__xludf.DUMMYFUNCTION("""COMPUTED_VALUE"""),10.46)</f>
        <v>10.46</v>
      </c>
      <c r="C104" s="1">
        <f>IFERROR(__xludf.DUMMYFUNCTION("""COMPUTED_VALUE"""),10.46)</f>
        <v>10.46</v>
      </c>
      <c r="D104" s="1">
        <f>IFERROR(__xludf.DUMMYFUNCTION("""COMPUTED_VALUE"""),10.32)</f>
        <v>10.32</v>
      </c>
      <c r="E104" s="1">
        <f>IFERROR(__xludf.DUMMYFUNCTION("""COMPUTED_VALUE"""),10.39)</f>
        <v>10.39</v>
      </c>
      <c r="F104" s="1">
        <f>IFERROR(__xludf.DUMMYFUNCTION("""COMPUTED_VALUE"""),7382525.0)</f>
        <v>7382525</v>
      </c>
      <c r="G104" s="2" t="s">
        <v>5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IFERROR(__xludf.DUMMYFUNCTION("""COMPUTED_VALUE"""),10.55)</f>
        <v>10.55</v>
      </c>
      <c r="C105" s="1">
        <f>IFERROR(__xludf.DUMMYFUNCTION("""COMPUTED_VALUE"""),10.66)</f>
        <v>10.66</v>
      </c>
      <c r="D105" s="1">
        <f>IFERROR(__xludf.DUMMYFUNCTION("""COMPUTED_VALUE"""),10.41)</f>
        <v>10.41</v>
      </c>
      <c r="E105" s="1">
        <f>IFERROR(__xludf.DUMMYFUNCTION("""COMPUTED_VALUE"""),10.65)</f>
        <v>10.65</v>
      </c>
      <c r="F105" s="1">
        <f>IFERROR(__xludf.DUMMYFUNCTION("""COMPUTED_VALUE"""),8096863.0)</f>
        <v>8096863</v>
      </c>
      <c r="G105" s="2" t="s">
        <v>5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IFERROR(__xludf.DUMMYFUNCTION("""COMPUTED_VALUE"""),10.59)</f>
        <v>10.59</v>
      </c>
      <c r="C106" s="1">
        <f>IFERROR(__xludf.DUMMYFUNCTION("""COMPUTED_VALUE"""),10.73)</f>
        <v>10.73</v>
      </c>
      <c r="D106" s="1">
        <f>IFERROR(__xludf.DUMMYFUNCTION("""COMPUTED_VALUE"""),10.37)</f>
        <v>10.37</v>
      </c>
      <c r="E106" s="1">
        <f>IFERROR(__xludf.DUMMYFUNCTION("""COMPUTED_VALUE"""),10.37)</f>
        <v>10.37</v>
      </c>
      <c r="F106" s="1">
        <f>IFERROR(__xludf.DUMMYFUNCTION("""COMPUTED_VALUE"""),1.2743581E7)</f>
        <v>12743581</v>
      </c>
      <c r="G106" s="2" t="s">
        <v>5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IFERROR(__xludf.DUMMYFUNCTION("""COMPUTED_VALUE"""),10.52)</f>
        <v>10.52</v>
      </c>
      <c r="C107" s="1">
        <f>IFERROR(__xludf.DUMMYFUNCTION("""COMPUTED_VALUE"""),10.55)</f>
        <v>10.55</v>
      </c>
      <c r="D107" s="1">
        <f>IFERROR(__xludf.DUMMYFUNCTION("""COMPUTED_VALUE"""),10.24)</f>
        <v>10.24</v>
      </c>
      <c r="E107" s="1">
        <f>IFERROR(__xludf.DUMMYFUNCTION("""COMPUTED_VALUE"""),10.29)</f>
        <v>10.29</v>
      </c>
      <c r="F107" s="1">
        <f>IFERROR(__xludf.DUMMYFUNCTION("""COMPUTED_VALUE"""),9533794.0)</f>
        <v>9533794</v>
      </c>
      <c r="G107" s="2" t="s">
        <v>5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IFERROR(__xludf.DUMMYFUNCTION("""COMPUTED_VALUE"""),10.32)</f>
        <v>10.32</v>
      </c>
      <c r="C108" s="1">
        <f>IFERROR(__xludf.DUMMYFUNCTION("""COMPUTED_VALUE"""),10.38)</f>
        <v>10.38</v>
      </c>
      <c r="D108" s="1">
        <f>IFERROR(__xludf.DUMMYFUNCTION("""COMPUTED_VALUE"""),10.17)</f>
        <v>10.17</v>
      </c>
      <c r="E108" s="1">
        <f>IFERROR(__xludf.DUMMYFUNCTION("""COMPUTED_VALUE"""),10.21)</f>
        <v>10.21</v>
      </c>
      <c r="F108" s="1">
        <f>IFERROR(__xludf.DUMMYFUNCTION("""COMPUTED_VALUE"""),5556376.0)</f>
        <v>5556376</v>
      </c>
      <c r="G108" s="2" t="s">
        <v>5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IFERROR(__xludf.DUMMYFUNCTION("""COMPUTED_VALUE"""),10.29)</f>
        <v>10.29</v>
      </c>
      <c r="C109" s="1">
        <f>IFERROR(__xludf.DUMMYFUNCTION("""COMPUTED_VALUE"""),10.31)</f>
        <v>10.31</v>
      </c>
      <c r="D109" s="1">
        <f>IFERROR(__xludf.DUMMYFUNCTION("""COMPUTED_VALUE"""),10.15)</f>
        <v>10.15</v>
      </c>
      <c r="E109" s="1">
        <f>IFERROR(__xludf.DUMMYFUNCTION("""COMPUTED_VALUE"""),10.2)</f>
        <v>10.2</v>
      </c>
      <c r="F109" s="1">
        <f>IFERROR(__xludf.DUMMYFUNCTION("""COMPUTED_VALUE"""),4737686.0)</f>
        <v>4737686</v>
      </c>
      <c r="G109" s="2" t="s">
        <v>5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IFERROR(__xludf.DUMMYFUNCTION("""COMPUTED_VALUE"""),10.31)</f>
        <v>10.31</v>
      </c>
      <c r="C110" s="1">
        <f>IFERROR(__xludf.DUMMYFUNCTION("""COMPUTED_VALUE"""),10.51)</f>
        <v>10.51</v>
      </c>
      <c r="D110" s="1">
        <f>IFERROR(__xludf.DUMMYFUNCTION("""COMPUTED_VALUE"""),10.28)</f>
        <v>10.28</v>
      </c>
      <c r="E110" s="1">
        <f>IFERROR(__xludf.DUMMYFUNCTION("""COMPUTED_VALUE"""),10.46)</f>
        <v>10.46</v>
      </c>
      <c r="F110" s="1">
        <f>IFERROR(__xludf.DUMMYFUNCTION("""COMPUTED_VALUE"""),5754428.0)</f>
        <v>5754428</v>
      </c>
      <c r="G110" s="2" t="s">
        <v>5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IFERROR(__xludf.DUMMYFUNCTION("""COMPUTED_VALUE"""),10.36)</f>
        <v>10.36</v>
      </c>
      <c r="C111" s="1">
        <f>IFERROR(__xludf.DUMMYFUNCTION("""COMPUTED_VALUE"""),10.46)</f>
        <v>10.46</v>
      </c>
      <c r="D111" s="1">
        <f>IFERROR(__xludf.DUMMYFUNCTION("""COMPUTED_VALUE"""),10.22)</f>
        <v>10.22</v>
      </c>
      <c r="E111" s="1">
        <f>IFERROR(__xludf.DUMMYFUNCTION("""COMPUTED_VALUE"""),10.34)</f>
        <v>10.34</v>
      </c>
      <c r="F111" s="1">
        <f>IFERROR(__xludf.DUMMYFUNCTION("""COMPUTED_VALUE"""),7111395.0)</f>
        <v>7111395</v>
      </c>
      <c r="G111" s="2" t="s">
        <v>5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IFERROR(__xludf.DUMMYFUNCTION("""COMPUTED_VALUE"""),10.32)</f>
        <v>10.32</v>
      </c>
      <c r="C112" s="1">
        <f>IFERROR(__xludf.DUMMYFUNCTION("""COMPUTED_VALUE"""),10.34)</f>
        <v>10.34</v>
      </c>
      <c r="D112" s="1">
        <f>IFERROR(__xludf.DUMMYFUNCTION("""COMPUTED_VALUE"""),9.97)</f>
        <v>9.97</v>
      </c>
      <c r="E112" s="1">
        <f>IFERROR(__xludf.DUMMYFUNCTION("""COMPUTED_VALUE"""),10.14)</f>
        <v>10.14</v>
      </c>
      <c r="F112" s="1">
        <f>IFERROR(__xludf.DUMMYFUNCTION("""COMPUTED_VALUE"""),9335127.0)</f>
        <v>9335127</v>
      </c>
      <c r="G112" s="2" t="s">
        <v>5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IFERROR(__xludf.DUMMYFUNCTION("""COMPUTED_VALUE"""),10.11)</f>
        <v>10.11</v>
      </c>
      <c r="C113" s="1">
        <f>IFERROR(__xludf.DUMMYFUNCTION("""COMPUTED_VALUE"""),10.19)</f>
        <v>10.19</v>
      </c>
      <c r="D113" s="1">
        <f>IFERROR(__xludf.DUMMYFUNCTION("""COMPUTED_VALUE"""),9.95)</f>
        <v>9.95</v>
      </c>
      <c r="E113" s="1">
        <f>IFERROR(__xludf.DUMMYFUNCTION("""COMPUTED_VALUE"""),10.01)</f>
        <v>10.01</v>
      </c>
      <c r="F113" s="1">
        <f>IFERROR(__xludf.DUMMYFUNCTION("""COMPUTED_VALUE"""),9284551.0)</f>
        <v>9284551</v>
      </c>
      <c r="G113" s="2" t="s">
        <v>5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IFERROR(__xludf.DUMMYFUNCTION("""COMPUTED_VALUE"""),9.95)</f>
        <v>9.95</v>
      </c>
      <c r="C114" s="1">
        <f>IFERROR(__xludf.DUMMYFUNCTION("""COMPUTED_VALUE"""),9.97)</f>
        <v>9.97</v>
      </c>
      <c r="D114" s="1">
        <f>IFERROR(__xludf.DUMMYFUNCTION("""COMPUTED_VALUE"""),9.39)</f>
        <v>9.39</v>
      </c>
      <c r="E114" s="1">
        <f>IFERROR(__xludf.DUMMYFUNCTION("""COMPUTED_VALUE"""),9.43)</f>
        <v>9.43</v>
      </c>
      <c r="F114" s="1">
        <f>IFERROR(__xludf.DUMMYFUNCTION("""COMPUTED_VALUE"""),1.5495962E7)</f>
        <v>15495962</v>
      </c>
      <c r="G114" s="2" t="s">
        <v>5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IFERROR(__xludf.DUMMYFUNCTION("""COMPUTED_VALUE"""),9.36)</f>
        <v>9.36</v>
      </c>
      <c r="C115" s="1">
        <f>IFERROR(__xludf.DUMMYFUNCTION("""COMPUTED_VALUE"""),9.36)</f>
        <v>9.36</v>
      </c>
      <c r="D115" s="1">
        <f>IFERROR(__xludf.DUMMYFUNCTION("""COMPUTED_VALUE"""),9.13)</f>
        <v>9.13</v>
      </c>
      <c r="E115" s="1">
        <f>IFERROR(__xludf.DUMMYFUNCTION("""COMPUTED_VALUE"""),9.25)</f>
        <v>9.25</v>
      </c>
      <c r="F115" s="1">
        <f>IFERROR(__xludf.DUMMYFUNCTION("""COMPUTED_VALUE"""),1.1736567E7)</f>
        <v>11736567</v>
      </c>
      <c r="G115" s="2" t="s">
        <v>5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IFERROR(__xludf.DUMMYFUNCTION("""COMPUTED_VALUE"""),9.34)</f>
        <v>9.34</v>
      </c>
      <c r="C116" s="1">
        <f>IFERROR(__xludf.DUMMYFUNCTION("""COMPUTED_VALUE"""),9.44)</f>
        <v>9.44</v>
      </c>
      <c r="D116" s="1">
        <f>IFERROR(__xludf.DUMMYFUNCTION("""COMPUTED_VALUE"""),9.16)</f>
        <v>9.16</v>
      </c>
      <c r="E116" s="1">
        <f>IFERROR(__xludf.DUMMYFUNCTION("""COMPUTED_VALUE"""),9.26)</f>
        <v>9.26</v>
      </c>
      <c r="F116" s="1">
        <f>IFERROR(__xludf.DUMMYFUNCTION("""COMPUTED_VALUE"""),9114076.0)</f>
        <v>9114076</v>
      </c>
      <c r="G116" s="2" t="s">
        <v>5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IFERROR(__xludf.DUMMYFUNCTION("""COMPUTED_VALUE"""),9.37)</f>
        <v>9.37</v>
      </c>
      <c r="C117" s="1">
        <f>IFERROR(__xludf.DUMMYFUNCTION("""COMPUTED_VALUE"""),9.55)</f>
        <v>9.55</v>
      </c>
      <c r="D117" s="1">
        <f>IFERROR(__xludf.DUMMYFUNCTION("""COMPUTED_VALUE"""),9.31)</f>
        <v>9.31</v>
      </c>
      <c r="E117" s="1">
        <f>IFERROR(__xludf.DUMMYFUNCTION("""COMPUTED_VALUE"""),9.5)</f>
        <v>9.5</v>
      </c>
      <c r="F117" s="1">
        <f>IFERROR(__xludf.DUMMYFUNCTION("""COMPUTED_VALUE"""),1.0462663E7)</f>
        <v>10462663</v>
      </c>
      <c r="G117" s="2" t="s">
        <v>5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IFERROR(__xludf.DUMMYFUNCTION("""COMPUTED_VALUE"""),9.5)</f>
        <v>9.5</v>
      </c>
      <c r="C118" s="1">
        <f>IFERROR(__xludf.DUMMYFUNCTION("""COMPUTED_VALUE"""),9.56)</f>
        <v>9.56</v>
      </c>
      <c r="D118" s="1">
        <f>IFERROR(__xludf.DUMMYFUNCTION("""COMPUTED_VALUE"""),9.28)</f>
        <v>9.28</v>
      </c>
      <c r="E118" s="1">
        <f>IFERROR(__xludf.DUMMYFUNCTION("""COMPUTED_VALUE"""),9.34)</f>
        <v>9.34</v>
      </c>
      <c r="F118" s="1">
        <f>IFERROR(__xludf.DUMMYFUNCTION("""COMPUTED_VALUE"""),1.1018534E7)</f>
        <v>11018534</v>
      </c>
      <c r="G118" s="2" t="s">
        <v>5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IFERROR(__xludf.DUMMYFUNCTION("""COMPUTED_VALUE"""),9.4)</f>
        <v>9.4</v>
      </c>
      <c r="C119" s="1">
        <f>IFERROR(__xludf.DUMMYFUNCTION("""COMPUTED_VALUE"""),9.56)</f>
        <v>9.56</v>
      </c>
      <c r="D119" s="1">
        <f>IFERROR(__xludf.DUMMYFUNCTION("""COMPUTED_VALUE"""),9.31)</f>
        <v>9.31</v>
      </c>
      <c r="E119" s="1">
        <f>IFERROR(__xludf.DUMMYFUNCTION("""COMPUTED_VALUE"""),9.4)</f>
        <v>9.4</v>
      </c>
      <c r="F119" s="1">
        <f>IFERROR(__xludf.DUMMYFUNCTION("""COMPUTED_VALUE"""),2.1270123E7)</f>
        <v>21270123</v>
      </c>
      <c r="G119" s="2" t="s">
        <v>5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IFERROR(__xludf.DUMMYFUNCTION("""COMPUTED_VALUE"""),9.47)</f>
        <v>9.47</v>
      </c>
      <c r="C120" s="1">
        <f>IFERROR(__xludf.DUMMYFUNCTION("""COMPUTED_VALUE"""),9.74)</f>
        <v>9.74</v>
      </c>
      <c r="D120" s="1">
        <f>IFERROR(__xludf.DUMMYFUNCTION("""COMPUTED_VALUE"""),9.33)</f>
        <v>9.33</v>
      </c>
      <c r="E120" s="1">
        <f>IFERROR(__xludf.DUMMYFUNCTION("""COMPUTED_VALUE"""),9.66)</f>
        <v>9.66</v>
      </c>
      <c r="F120" s="1">
        <f>IFERROR(__xludf.DUMMYFUNCTION("""COMPUTED_VALUE"""),8585337.0)</f>
        <v>8585337</v>
      </c>
      <c r="G120" s="2" t="s">
        <v>5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IFERROR(__xludf.DUMMYFUNCTION("""COMPUTED_VALUE"""),9.7)</f>
        <v>9.7</v>
      </c>
      <c r="C121" s="1">
        <f>IFERROR(__xludf.DUMMYFUNCTION("""COMPUTED_VALUE"""),9.9)</f>
        <v>9.9</v>
      </c>
      <c r="D121" s="1">
        <f>IFERROR(__xludf.DUMMYFUNCTION("""COMPUTED_VALUE"""),9.66)</f>
        <v>9.66</v>
      </c>
      <c r="E121" s="1">
        <f>IFERROR(__xludf.DUMMYFUNCTION("""COMPUTED_VALUE"""),9.71)</f>
        <v>9.71</v>
      </c>
      <c r="F121" s="1">
        <f>IFERROR(__xludf.DUMMYFUNCTION("""COMPUTED_VALUE"""),8089711.0)</f>
        <v>8089711</v>
      </c>
      <c r="G121" s="2" t="s">
        <v>5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IFERROR(__xludf.DUMMYFUNCTION("""COMPUTED_VALUE"""),9.52)</f>
        <v>9.52</v>
      </c>
      <c r="C122" s="1">
        <f>IFERROR(__xludf.DUMMYFUNCTION("""COMPUTED_VALUE"""),9.75)</f>
        <v>9.75</v>
      </c>
      <c r="D122" s="1">
        <f>IFERROR(__xludf.DUMMYFUNCTION("""COMPUTED_VALUE"""),9.41)</f>
        <v>9.41</v>
      </c>
      <c r="E122" s="1">
        <f>IFERROR(__xludf.DUMMYFUNCTION("""COMPUTED_VALUE"""),9.69)</f>
        <v>9.69</v>
      </c>
      <c r="F122" s="1">
        <f>IFERROR(__xludf.DUMMYFUNCTION("""COMPUTED_VALUE"""),8483780.0)</f>
        <v>8483780</v>
      </c>
      <c r="G122" s="2" t="s">
        <v>5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IFERROR(__xludf.DUMMYFUNCTION("""COMPUTED_VALUE"""),9.73)</f>
        <v>9.73</v>
      </c>
      <c r="C123" s="1">
        <f>IFERROR(__xludf.DUMMYFUNCTION("""COMPUTED_VALUE"""),9.79)</f>
        <v>9.79</v>
      </c>
      <c r="D123" s="1">
        <f>IFERROR(__xludf.DUMMYFUNCTION("""COMPUTED_VALUE"""),8.51)</f>
        <v>8.51</v>
      </c>
      <c r="E123" s="1">
        <f>IFERROR(__xludf.DUMMYFUNCTION("""COMPUTED_VALUE"""),8.51)</f>
        <v>8.51</v>
      </c>
      <c r="F123" s="1">
        <f>IFERROR(__xludf.DUMMYFUNCTION("""COMPUTED_VALUE"""),2.819037E7)</f>
        <v>28190370</v>
      </c>
      <c r="G123" s="2" t="s">
        <v>5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IFERROR(__xludf.DUMMYFUNCTION("""COMPUTED_VALUE"""),8.63)</f>
        <v>8.63</v>
      </c>
      <c r="C124" s="1">
        <f>IFERROR(__xludf.DUMMYFUNCTION("""COMPUTED_VALUE"""),8.93)</f>
        <v>8.93</v>
      </c>
      <c r="D124" s="1">
        <f>IFERROR(__xludf.DUMMYFUNCTION("""COMPUTED_VALUE"""),8.29)</f>
        <v>8.29</v>
      </c>
      <c r="E124" s="1">
        <f>IFERROR(__xludf.DUMMYFUNCTION("""COMPUTED_VALUE"""),8.92)</f>
        <v>8.92</v>
      </c>
      <c r="F124" s="1">
        <f>IFERROR(__xludf.DUMMYFUNCTION("""COMPUTED_VALUE"""),1.886899E7)</f>
        <v>18868990</v>
      </c>
      <c r="G124" s="2" t="s">
        <v>5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IFERROR(__xludf.DUMMYFUNCTION("""COMPUTED_VALUE"""),8.96)</f>
        <v>8.96</v>
      </c>
      <c r="C125" s="1">
        <f>IFERROR(__xludf.DUMMYFUNCTION("""COMPUTED_VALUE"""),9.15)</f>
        <v>9.15</v>
      </c>
      <c r="D125" s="1">
        <f>IFERROR(__xludf.DUMMYFUNCTION("""COMPUTED_VALUE"""),8.75)</f>
        <v>8.75</v>
      </c>
      <c r="E125" s="1">
        <f>IFERROR(__xludf.DUMMYFUNCTION("""COMPUTED_VALUE"""),8.89)</f>
        <v>8.89</v>
      </c>
      <c r="F125" s="1">
        <f>IFERROR(__xludf.DUMMYFUNCTION("""COMPUTED_VALUE"""),1.0112593E7)</f>
        <v>10112593</v>
      </c>
      <c r="G125" s="2" t="s">
        <v>5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IFERROR(__xludf.DUMMYFUNCTION("""COMPUTED_VALUE"""),8.97)</f>
        <v>8.97</v>
      </c>
      <c r="C126" s="1">
        <f>IFERROR(__xludf.DUMMYFUNCTION("""COMPUTED_VALUE"""),9.08)</f>
        <v>9.08</v>
      </c>
      <c r="D126" s="1">
        <f>IFERROR(__xludf.DUMMYFUNCTION("""COMPUTED_VALUE"""),8.84)</f>
        <v>8.84</v>
      </c>
      <c r="E126" s="1">
        <f>IFERROR(__xludf.DUMMYFUNCTION("""COMPUTED_VALUE"""),8.86)</f>
        <v>8.86</v>
      </c>
      <c r="F126" s="1">
        <f>IFERROR(__xludf.DUMMYFUNCTION("""COMPUTED_VALUE"""),1.0200558E7)</f>
        <v>10200558</v>
      </c>
      <c r="G126" s="2" t="s">
        <v>5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IFERROR(__xludf.DUMMYFUNCTION("""COMPUTED_VALUE"""),8.71)</f>
        <v>8.71</v>
      </c>
      <c r="C127" s="1">
        <f>IFERROR(__xludf.DUMMYFUNCTION("""COMPUTED_VALUE"""),8.8)</f>
        <v>8.8</v>
      </c>
      <c r="D127" s="1">
        <f>IFERROR(__xludf.DUMMYFUNCTION("""COMPUTED_VALUE"""),8.56)</f>
        <v>8.56</v>
      </c>
      <c r="E127" s="1">
        <f>IFERROR(__xludf.DUMMYFUNCTION("""COMPUTED_VALUE"""),8.57)</f>
        <v>8.57</v>
      </c>
      <c r="F127" s="1">
        <f>IFERROR(__xludf.DUMMYFUNCTION("""COMPUTED_VALUE"""),1.0311991E7)</f>
        <v>10311991</v>
      </c>
      <c r="G127" s="2" t="s">
        <v>5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IFERROR(__xludf.DUMMYFUNCTION("""COMPUTED_VALUE"""),8.45)</f>
        <v>8.45</v>
      </c>
      <c r="C128" s="1">
        <f>IFERROR(__xludf.DUMMYFUNCTION("""COMPUTED_VALUE"""),8.45)</f>
        <v>8.45</v>
      </c>
      <c r="D128" s="1">
        <f>IFERROR(__xludf.DUMMYFUNCTION("""COMPUTED_VALUE"""),8.12)</f>
        <v>8.12</v>
      </c>
      <c r="E128" s="1">
        <f>IFERROR(__xludf.DUMMYFUNCTION("""COMPUTED_VALUE"""),8.32)</f>
        <v>8.32</v>
      </c>
      <c r="F128" s="1">
        <f>IFERROR(__xludf.DUMMYFUNCTION("""COMPUTED_VALUE"""),1.7462311E7)</f>
        <v>17462311</v>
      </c>
      <c r="G128" s="2" t="s">
        <v>5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IFERROR(__xludf.DUMMYFUNCTION("""COMPUTED_VALUE"""),8.18)</f>
        <v>8.18</v>
      </c>
      <c r="C129" s="1">
        <f>IFERROR(__xludf.DUMMYFUNCTION("""COMPUTED_VALUE"""),8.27)</f>
        <v>8.27</v>
      </c>
      <c r="D129" s="1">
        <f>IFERROR(__xludf.DUMMYFUNCTION("""COMPUTED_VALUE"""),7.93)</f>
        <v>7.93</v>
      </c>
      <c r="E129" s="1">
        <f>IFERROR(__xludf.DUMMYFUNCTION("""COMPUTED_VALUE"""),8.05)</f>
        <v>8.05</v>
      </c>
      <c r="F129" s="1">
        <f>IFERROR(__xludf.DUMMYFUNCTION("""COMPUTED_VALUE"""),1.6767255E7)</f>
        <v>16767255</v>
      </c>
      <c r="G129" s="2" t="s">
        <v>5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IFERROR(__xludf.DUMMYFUNCTION("""COMPUTED_VALUE"""),8.1)</f>
        <v>8.1</v>
      </c>
      <c r="C130" s="1">
        <f>IFERROR(__xludf.DUMMYFUNCTION("""COMPUTED_VALUE"""),8.17)</f>
        <v>8.17</v>
      </c>
      <c r="D130" s="1">
        <f>IFERROR(__xludf.DUMMYFUNCTION("""COMPUTED_VALUE"""),7.99)</f>
        <v>7.99</v>
      </c>
      <c r="E130" s="1">
        <f>IFERROR(__xludf.DUMMYFUNCTION("""COMPUTED_VALUE"""),8.09)</f>
        <v>8.09</v>
      </c>
      <c r="F130" s="1">
        <f>IFERROR(__xludf.DUMMYFUNCTION("""COMPUTED_VALUE"""),6573460.0)</f>
        <v>6573460</v>
      </c>
      <c r="G130" s="2" t="s">
        <v>5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IFERROR(__xludf.DUMMYFUNCTION("""COMPUTED_VALUE"""),8.16)</f>
        <v>8.16</v>
      </c>
      <c r="C131" s="1">
        <f>IFERROR(__xludf.DUMMYFUNCTION("""COMPUTED_VALUE"""),8.18)</f>
        <v>8.18</v>
      </c>
      <c r="D131" s="1">
        <f>IFERROR(__xludf.DUMMYFUNCTION("""COMPUTED_VALUE"""),7.64)</f>
        <v>7.64</v>
      </c>
      <c r="E131" s="1">
        <f>IFERROR(__xludf.DUMMYFUNCTION("""COMPUTED_VALUE"""),7.76)</f>
        <v>7.76</v>
      </c>
      <c r="F131" s="1">
        <f>IFERROR(__xludf.DUMMYFUNCTION("""COMPUTED_VALUE"""),1.4939788E7)</f>
        <v>14939788</v>
      </c>
      <c r="G131" s="2" t="s">
        <v>5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IFERROR(__xludf.DUMMYFUNCTION("""COMPUTED_VALUE"""),7.85)</f>
        <v>7.85</v>
      </c>
      <c r="C132" s="1">
        <f>IFERROR(__xludf.DUMMYFUNCTION("""COMPUTED_VALUE"""),7.9)</f>
        <v>7.9</v>
      </c>
      <c r="D132" s="1">
        <f>IFERROR(__xludf.DUMMYFUNCTION("""COMPUTED_VALUE"""),7.61)</f>
        <v>7.61</v>
      </c>
      <c r="E132" s="1">
        <f>IFERROR(__xludf.DUMMYFUNCTION("""COMPUTED_VALUE"""),7.69)</f>
        <v>7.69</v>
      </c>
      <c r="F132" s="1">
        <f>IFERROR(__xludf.DUMMYFUNCTION("""COMPUTED_VALUE"""),1.2809355E7)</f>
        <v>12809355</v>
      </c>
      <c r="G132" s="2" t="s">
        <v>5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IFERROR(__xludf.DUMMYFUNCTION("""COMPUTED_VALUE"""),7.8)</f>
        <v>7.8</v>
      </c>
      <c r="C133" s="1">
        <f>IFERROR(__xludf.DUMMYFUNCTION("""COMPUTED_VALUE"""),8.02)</f>
        <v>8.02</v>
      </c>
      <c r="D133" s="1">
        <f>IFERROR(__xludf.DUMMYFUNCTION("""COMPUTED_VALUE"""),7.79)</f>
        <v>7.79</v>
      </c>
      <c r="E133" s="1">
        <f>IFERROR(__xludf.DUMMYFUNCTION("""COMPUTED_VALUE"""),7.98)</f>
        <v>7.98</v>
      </c>
      <c r="F133" s="1">
        <f>IFERROR(__xludf.DUMMYFUNCTION("""COMPUTED_VALUE"""),1.1169777E7)</f>
        <v>11169777</v>
      </c>
      <c r="G133" s="2" t="s">
        <v>5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IFERROR(__xludf.DUMMYFUNCTION("""COMPUTED_VALUE"""),7.91)</f>
        <v>7.91</v>
      </c>
      <c r="C134" s="1">
        <f>IFERROR(__xludf.DUMMYFUNCTION("""COMPUTED_VALUE"""),8.28)</f>
        <v>8.28</v>
      </c>
      <c r="D134" s="1">
        <f>IFERROR(__xludf.DUMMYFUNCTION("""COMPUTED_VALUE"""),7.87)</f>
        <v>7.87</v>
      </c>
      <c r="E134" s="1">
        <f>IFERROR(__xludf.DUMMYFUNCTION("""COMPUTED_VALUE"""),8.2)</f>
        <v>8.2</v>
      </c>
      <c r="F134" s="1">
        <f>IFERROR(__xludf.DUMMYFUNCTION("""COMPUTED_VALUE"""),1.178604E7)</f>
        <v>11786040</v>
      </c>
      <c r="G134" s="2" t="s">
        <v>5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IFERROR(__xludf.DUMMYFUNCTION("""COMPUTED_VALUE"""),7.99)</f>
        <v>7.99</v>
      </c>
      <c r="C135" s="1">
        <f>IFERROR(__xludf.DUMMYFUNCTION("""COMPUTED_VALUE"""),8.07)</f>
        <v>8.07</v>
      </c>
      <c r="D135" s="1">
        <f>IFERROR(__xludf.DUMMYFUNCTION("""COMPUTED_VALUE"""),7.85)</f>
        <v>7.85</v>
      </c>
      <c r="E135" s="1">
        <f>IFERROR(__xludf.DUMMYFUNCTION("""COMPUTED_VALUE"""),7.87)</f>
        <v>7.87</v>
      </c>
      <c r="F135" s="1">
        <f>IFERROR(__xludf.DUMMYFUNCTION("""COMPUTED_VALUE"""),9147874.0)</f>
        <v>9147874</v>
      </c>
      <c r="G135" s="2" t="s">
        <v>5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IFERROR(__xludf.DUMMYFUNCTION("""COMPUTED_VALUE"""),7.81)</f>
        <v>7.81</v>
      </c>
      <c r="C136" s="1">
        <f>IFERROR(__xludf.DUMMYFUNCTION("""COMPUTED_VALUE"""),7.92)</f>
        <v>7.92</v>
      </c>
      <c r="D136" s="1">
        <f>IFERROR(__xludf.DUMMYFUNCTION("""COMPUTED_VALUE"""),7.6)</f>
        <v>7.6</v>
      </c>
      <c r="E136" s="1">
        <f>IFERROR(__xludf.DUMMYFUNCTION("""COMPUTED_VALUE"""),7.91)</f>
        <v>7.91</v>
      </c>
      <c r="F136" s="1">
        <f>IFERROR(__xludf.DUMMYFUNCTION("""COMPUTED_VALUE"""),1.0942143E7)</f>
        <v>10942143</v>
      </c>
      <c r="G136" s="2" t="s">
        <v>5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IFERROR(__xludf.DUMMYFUNCTION("""COMPUTED_VALUE"""),7.85)</f>
        <v>7.85</v>
      </c>
      <c r="C137" s="1">
        <f>IFERROR(__xludf.DUMMYFUNCTION("""COMPUTED_VALUE"""),7.9)</f>
        <v>7.9</v>
      </c>
      <c r="D137" s="1">
        <f>IFERROR(__xludf.DUMMYFUNCTION("""COMPUTED_VALUE"""),7.65)</f>
        <v>7.65</v>
      </c>
      <c r="E137" s="1">
        <f>IFERROR(__xludf.DUMMYFUNCTION("""COMPUTED_VALUE"""),7.78)</f>
        <v>7.78</v>
      </c>
      <c r="F137" s="1">
        <f>IFERROR(__xludf.DUMMYFUNCTION("""COMPUTED_VALUE"""),8667029.0)</f>
        <v>8667029</v>
      </c>
      <c r="G137" s="2" t="s">
        <v>5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IFERROR(__xludf.DUMMYFUNCTION("""COMPUTED_VALUE"""),7.7)</f>
        <v>7.7</v>
      </c>
      <c r="C138" s="1">
        <f>IFERROR(__xludf.DUMMYFUNCTION("""COMPUTED_VALUE"""),7.91)</f>
        <v>7.91</v>
      </c>
      <c r="D138" s="1">
        <f>IFERROR(__xludf.DUMMYFUNCTION("""COMPUTED_VALUE"""),7.62)</f>
        <v>7.62</v>
      </c>
      <c r="E138" s="1">
        <f>IFERROR(__xludf.DUMMYFUNCTION("""COMPUTED_VALUE"""),7.67)</f>
        <v>7.67</v>
      </c>
      <c r="F138" s="1">
        <f>IFERROR(__xludf.DUMMYFUNCTION("""COMPUTED_VALUE"""),1.4089656E7)</f>
        <v>14089656</v>
      </c>
      <c r="G138" s="2" t="s">
        <v>5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IFERROR(__xludf.DUMMYFUNCTION("""COMPUTED_VALUE"""),7.62)</f>
        <v>7.62</v>
      </c>
      <c r="C139" s="1">
        <f>IFERROR(__xludf.DUMMYFUNCTION("""COMPUTED_VALUE"""),7.85)</f>
        <v>7.85</v>
      </c>
      <c r="D139" s="1">
        <f>IFERROR(__xludf.DUMMYFUNCTION("""COMPUTED_VALUE"""),7.53)</f>
        <v>7.53</v>
      </c>
      <c r="E139" s="1">
        <f>IFERROR(__xludf.DUMMYFUNCTION("""COMPUTED_VALUE"""),7.8)</f>
        <v>7.8</v>
      </c>
      <c r="F139" s="1">
        <f>IFERROR(__xludf.DUMMYFUNCTION("""COMPUTED_VALUE"""),1.2815063E7)</f>
        <v>12815063</v>
      </c>
      <c r="G139" s="2" t="s">
        <v>5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IFERROR(__xludf.DUMMYFUNCTION("""COMPUTED_VALUE"""),7.94)</f>
        <v>7.94</v>
      </c>
      <c r="C140" s="1">
        <f>IFERROR(__xludf.DUMMYFUNCTION("""COMPUTED_VALUE"""),8.16)</f>
        <v>8.16</v>
      </c>
      <c r="D140" s="1">
        <f>IFERROR(__xludf.DUMMYFUNCTION("""COMPUTED_VALUE"""),7.92)</f>
        <v>7.92</v>
      </c>
      <c r="E140" s="1">
        <f>IFERROR(__xludf.DUMMYFUNCTION("""COMPUTED_VALUE"""),8.07)</f>
        <v>8.07</v>
      </c>
      <c r="F140" s="1">
        <f>IFERROR(__xludf.DUMMYFUNCTION("""COMPUTED_VALUE"""),1.0890379E7)</f>
        <v>10890379</v>
      </c>
      <c r="G140" s="2" t="s">
        <v>5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IFERROR(__xludf.DUMMYFUNCTION("""COMPUTED_VALUE"""),8.0)</f>
        <v>8</v>
      </c>
      <c r="C141" s="1">
        <f>IFERROR(__xludf.DUMMYFUNCTION("""COMPUTED_VALUE"""),8.51)</f>
        <v>8.51</v>
      </c>
      <c r="D141" s="1">
        <f>IFERROR(__xludf.DUMMYFUNCTION("""COMPUTED_VALUE"""),7.99)</f>
        <v>7.99</v>
      </c>
      <c r="E141" s="1">
        <f>IFERROR(__xludf.DUMMYFUNCTION("""COMPUTED_VALUE"""),8.43)</f>
        <v>8.43</v>
      </c>
      <c r="F141" s="1">
        <f>IFERROR(__xludf.DUMMYFUNCTION("""COMPUTED_VALUE"""),1.0573499E7)</f>
        <v>10573499</v>
      </c>
      <c r="G141" s="2" t="s">
        <v>5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IFERROR(__xludf.DUMMYFUNCTION("""COMPUTED_VALUE"""),8.5)</f>
        <v>8.5</v>
      </c>
      <c r="C142" s="1">
        <f>IFERROR(__xludf.DUMMYFUNCTION("""COMPUTED_VALUE"""),8.64)</f>
        <v>8.64</v>
      </c>
      <c r="D142" s="1">
        <f>IFERROR(__xludf.DUMMYFUNCTION("""COMPUTED_VALUE"""),8.26)</f>
        <v>8.26</v>
      </c>
      <c r="E142" s="1">
        <f>IFERROR(__xludf.DUMMYFUNCTION("""COMPUTED_VALUE"""),8.4)</f>
        <v>8.4</v>
      </c>
      <c r="F142" s="1">
        <f>IFERROR(__xludf.DUMMYFUNCTION("""COMPUTED_VALUE"""),1.2759356E7)</f>
        <v>12759356</v>
      </c>
      <c r="G142" s="2" t="s">
        <v>5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IFERROR(__xludf.DUMMYFUNCTION("""COMPUTED_VALUE"""),8.32)</f>
        <v>8.32</v>
      </c>
      <c r="C143" s="1">
        <f>IFERROR(__xludf.DUMMYFUNCTION("""COMPUTED_VALUE"""),8.67)</f>
        <v>8.67</v>
      </c>
      <c r="D143" s="1">
        <f>IFERROR(__xludf.DUMMYFUNCTION("""COMPUTED_VALUE"""),8.25)</f>
        <v>8.25</v>
      </c>
      <c r="E143" s="1">
        <f>IFERROR(__xludf.DUMMYFUNCTION("""COMPUTED_VALUE"""),8.46)</f>
        <v>8.46</v>
      </c>
      <c r="F143" s="1">
        <f>IFERROR(__xludf.DUMMYFUNCTION("""COMPUTED_VALUE"""),1.5730355E7)</f>
        <v>15730355</v>
      </c>
      <c r="G143" s="2" t="s">
        <v>5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IFERROR(__xludf.DUMMYFUNCTION("""COMPUTED_VALUE"""),8.44)</f>
        <v>8.44</v>
      </c>
      <c r="C144" s="1">
        <f>IFERROR(__xludf.DUMMYFUNCTION("""COMPUTED_VALUE"""),8.45)</f>
        <v>8.45</v>
      </c>
      <c r="D144" s="1">
        <f>IFERROR(__xludf.DUMMYFUNCTION("""COMPUTED_VALUE"""),8.23)</f>
        <v>8.23</v>
      </c>
      <c r="E144" s="1">
        <f>IFERROR(__xludf.DUMMYFUNCTION("""COMPUTED_VALUE"""),8.26)</f>
        <v>8.26</v>
      </c>
      <c r="F144" s="1">
        <f>IFERROR(__xludf.DUMMYFUNCTION("""COMPUTED_VALUE"""),1.1210534E7)</f>
        <v>11210534</v>
      </c>
      <c r="G144" s="2" t="s">
        <v>5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IFERROR(__xludf.DUMMYFUNCTION("""COMPUTED_VALUE"""),8.25)</f>
        <v>8.25</v>
      </c>
      <c r="C145" s="1">
        <f>IFERROR(__xludf.DUMMYFUNCTION("""COMPUTED_VALUE"""),8.46)</f>
        <v>8.46</v>
      </c>
      <c r="D145" s="1">
        <f>IFERROR(__xludf.DUMMYFUNCTION("""COMPUTED_VALUE"""),8.24)</f>
        <v>8.24</v>
      </c>
      <c r="E145" s="1">
        <f>IFERROR(__xludf.DUMMYFUNCTION("""COMPUTED_VALUE"""),8.35)</f>
        <v>8.35</v>
      </c>
      <c r="F145" s="1">
        <f>IFERROR(__xludf.DUMMYFUNCTION("""COMPUTED_VALUE"""),8028501.0)</f>
        <v>8028501</v>
      </c>
      <c r="G145" s="2" t="s">
        <v>5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IFERROR(__xludf.DUMMYFUNCTION("""COMPUTED_VALUE"""),8.28)</f>
        <v>8.28</v>
      </c>
      <c r="C146" s="1">
        <f>IFERROR(__xludf.DUMMYFUNCTION("""COMPUTED_VALUE"""),8.32)</f>
        <v>8.32</v>
      </c>
      <c r="D146" s="1">
        <f>IFERROR(__xludf.DUMMYFUNCTION("""COMPUTED_VALUE"""),8.08)</f>
        <v>8.08</v>
      </c>
      <c r="E146" s="1">
        <f>IFERROR(__xludf.DUMMYFUNCTION("""COMPUTED_VALUE"""),8.19)</f>
        <v>8.19</v>
      </c>
      <c r="F146" s="1">
        <f>IFERROR(__xludf.DUMMYFUNCTION("""COMPUTED_VALUE"""),1.0356708E7)</f>
        <v>10356708</v>
      </c>
      <c r="G146" s="2" t="s">
        <v>5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IFERROR(__xludf.DUMMYFUNCTION("""COMPUTED_VALUE"""),8.3)</f>
        <v>8.3</v>
      </c>
      <c r="C147" s="1">
        <f>IFERROR(__xludf.DUMMYFUNCTION("""COMPUTED_VALUE"""),8.32)</f>
        <v>8.32</v>
      </c>
      <c r="D147" s="1">
        <f>IFERROR(__xludf.DUMMYFUNCTION("""COMPUTED_VALUE"""),7.82)</f>
        <v>7.82</v>
      </c>
      <c r="E147" s="1">
        <f>IFERROR(__xludf.DUMMYFUNCTION("""COMPUTED_VALUE"""),8.06)</f>
        <v>8.06</v>
      </c>
      <c r="F147" s="1">
        <f>IFERROR(__xludf.DUMMYFUNCTION("""COMPUTED_VALUE"""),2.0400279E7)</f>
        <v>20400279</v>
      </c>
      <c r="G147" s="2" t="s">
        <v>5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IFERROR(__xludf.DUMMYFUNCTION("""COMPUTED_VALUE"""),8.19)</f>
        <v>8.19</v>
      </c>
      <c r="C148" s="1">
        <f>IFERROR(__xludf.DUMMYFUNCTION("""COMPUTED_VALUE"""),8.46)</f>
        <v>8.46</v>
      </c>
      <c r="D148" s="1">
        <f>IFERROR(__xludf.DUMMYFUNCTION("""COMPUTED_VALUE"""),8.14)</f>
        <v>8.14</v>
      </c>
      <c r="E148" s="1">
        <f>IFERROR(__xludf.DUMMYFUNCTION("""COMPUTED_VALUE"""),8.34)</f>
        <v>8.34</v>
      </c>
      <c r="F148" s="1">
        <f>IFERROR(__xludf.DUMMYFUNCTION("""COMPUTED_VALUE"""),1.5054028E7)</f>
        <v>15054028</v>
      </c>
      <c r="G148" s="2" t="s">
        <v>5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IFERROR(__xludf.DUMMYFUNCTION("""COMPUTED_VALUE"""),8.46)</f>
        <v>8.46</v>
      </c>
      <c r="C149" s="1">
        <f>IFERROR(__xludf.DUMMYFUNCTION("""COMPUTED_VALUE"""),8.61)</f>
        <v>8.61</v>
      </c>
      <c r="D149" s="1">
        <f>IFERROR(__xludf.DUMMYFUNCTION("""COMPUTED_VALUE"""),8.41)</f>
        <v>8.41</v>
      </c>
      <c r="E149" s="1">
        <f>IFERROR(__xludf.DUMMYFUNCTION("""COMPUTED_VALUE"""),8.53)</f>
        <v>8.53</v>
      </c>
      <c r="F149" s="1">
        <f>IFERROR(__xludf.DUMMYFUNCTION("""COMPUTED_VALUE"""),9719546.0)</f>
        <v>9719546</v>
      </c>
      <c r="G149" s="2" t="s">
        <v>5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IFERROR(__xludf.DUMMYFUNCTION("""COMPUTED_VALUE"""),8.55)</f>
        <v>8.55</v>
      </c>
      <c r="C150" s="1">
        <f>IFERROR(__xludf.DUMMYFUNCTION("""COMPUTED_VALUE"""),8.6)</f>
        <v>8.6</v>
      </c>
      <c r="D150" s="1">
        <f>IFERROR(__xludf.DUMMYFUNCTION("""COMPUTED_VALUE"""),8.4)</f>
        <v>8.4</v>
      </c>
      <c r="E150" s="1">
        <f>IFERROR(__xludf.DUMMYFUNCTION("""COMPUTED_VALUE"""),8.4)</f>
        <v>8.4</v>
      </c>
      <c r="F150" s="1">
        <f>IFERROR(__xludf.DUMMYFUNCTION("""COMPUTED_VALUE"""),9197173.0)</f>
        <v>9197173</v>
      </c>
      <c r="G150" s="2" t="s">
        <v>5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IFERROR(__xludf.DUMMYFUNCTION("""COMPUTED_VALUE"""),8.37)</f>
        <v>8.37</v>
      </c>
      <c r="C151" s="1">
        <f>IFERROR(__xludf.DUMMYFUNCTION("""COMPUTED_VALUE"""),8.47)</f>
        <v>8.47</v>
      </c>
      <c r="D151" s="1">
        <f>IFERROR(__xludf.DUMMYFUNCTION("""COMPUTED_VALUE"""),8.28)</f>
        <v>8.28</v>
      </c>
      <c r="E151" s="1">
        <f>IFERROR(__xludf.DUMMYFUNCTION("""COMPUTED_VALUE"""),8.41)</f>
        <v>8.41</v>
      </c>
      <c r="F151" s="1">
        <f>IFERROR(__xludf.DUMMYFUNCTION("""COMPUTED_VALUE"""),6519488.0)</f>
        <v>6519488</v>
      </c>
      <c r="G151" s="2" t="s">
        <v>5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IFERROR(__xludf.DUMMYFUNCTION("""COMPUTED_VALUE"""),8.48)</f>
        <v>8.48</v>
      </c>
      <c r="C152" s="1">
        <f>IFERROR(__xludf.DUMMYFUNCTION("""COMPUTED_VALUE"""),8.56)</f>
        <v>8.56</v>
      </c>
      <c r="D152" s="1">
        <f>IFERROR(__xludf.DUMMYFUNCTION("""COMPUTED_VALUE"""),8.35)</f>
        <v>8.35</v>
      </c>
      <c r="E152" s="1">
        <f>IFERROR(__xludf.DUMMYFUNCTION("""COMPUTED_VALUE"""),8.56)</f>
        <v>8.56</v>
      </c>
      <c r="F152" s="1">
        <f>IFERROR(__xludf.DUMMYFUNCTION("""COMPUTED_VALUE"""),8039908.0)</f>
        <v>8039908</v>
      </c>
      <c r="G152" s="2" t="s">
        <v>5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IFERROR(__xludf.DUMMYFUNCTION("""COMPUTED_VALUE"""),8.61)</f>
        <v>8.61</v>
      </c>
      <c r="C153" s="1">
        <f>IFERROR(__xludf.DUMMYFUNCTION("""COMPUTED_VALUE"""),8.79)</f>
        <v>8.79</v>
      </c>
      <c r="D153" s="1">
        <f>IFERROR(__xludf.DUMMYFUNCTION("""COMPUTED_VALUE"""),8.55)</f>
        <v>8.55</v>
      </c>
      <c r="E153" s="1">
        <f>IFERROR(__xludf.DUMMYFUNCTION("""COMPUTED_VALUE"""),8.63)</f>
        <v>8.63</v>
      </c>
      <c r="F153" s="1">
        <f>IFERROR(__xludf.DUMMYFUNCTION("""COMPUTED_VALUE"""),9383881.0)</f>
        <v>9383881</v>
      </c>
      <c r="G153" s="2" t="s">
        <v>5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IFERROR(__xludf.DUMMYFUNCTION("""COMPUTED_VALUE"""),8.63)</f>
        <v>8.63</v>
      </c>
      <c r="C154" s="1">
        <f>IFERROR(__xludf.DUMMYFUNCTION("""COMPUTED_VALUE"""),8.8)</f>
        <v>8.8</v>
      </c>
      <c r="D154" s="1">
        <f>IFERROR(__xludf.DUMMYFUNCTION("""COMPUTED_VALUE"""),8.62)</f>
        <v>8.62</v>
      </c>
      <c r="E154" s="1">
        <f>IFERROR(__xludf.DUMMYFUNCTION("""COMPUTED_VALUE"""),8.76)</f>
        <v>8.76</v>
      </c>
      <c r="F154" s="1">
        <f>IFERROR(__xludf.DUMMYFUNCTION("""COMPUTED_VALUE"""),6658176.0)</f>
        <v>6658176</v>
      </c>
      <c r="G154" s="2" t="s">
        <v>5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IFERROR(__xludf.DUMMYFUNCTION("""COMPUTED_VALUE"""),8.81)</f>
        <v>8.81</v>
      </c>
      <c r="C155" s="1">
        <f>IFERROR(__xludf.DUMMYFUNCTION("""COMPUTED_VALUE"""),8.9)</f>
        <v>8.9</v>
      </c>
      <c r="D155" s="1">
        <f>IFERROR(__xludf.DUMMYFUNCTION("""COMPUTED_VALUE"""),8.67)</f>
        <v>8.67</v>
      </c>
      <c r="E155" s="1">
        <f>IFERROR(__xludf.DUMMYFUNCTION("""COMPUTED_VALUE"""),8.8)</f>
        <v>8.8</v>
      </c>
      <c r="F155" s="1">
        <f>IFERROR(__xludf.DUMMYFUNCTION("""COMPUTED_VALUE"""),6484202.0)</f>
        <v>6484202</v>
      </c>
      <c r="G155" s="2" t="s">
        <v>5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IFERROR(__xludf.DUMMYFUNCTION("""COMPUTED_VALUE"""),8.8)</f>
        <v>8.8</v>
      </c>
      <c r="C156" s="1">
        <f>IFERROR(__xludf.DUMMYFUNCTION("""COMPUTED_VALUE"""),8.82)</f>
        <v>8.82</v>
      </c>
      <c r="D156" s="1">
        <f>IFERROR(__xludf.DUMMYFUNCTION("""COMPUTED_VALUE"""),8.68)</f>
        <v>8.68</v>
      </c>
      <c r="E156" s="1">
        <f>IFERROR(__xludf.DUMMYFUNCTION("""COMPUTED_VALUE"""),8.73)</f>
        <v>8.73</v>
      </c>
      <c r="F156" s="1">
        <f>IFERROR(__xludf.DUMMYFUNCTION("""COMPUTED_VALUE"""),4778154.0)</f>
        <v>4778154</v>
      </c>
      <c r="G156" s="2" t="s">
        <v>5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IFERROR(__xludf.DUMMYFUNCTION("""COMPUTED_VALUE"""),8.69)</f>
        <v>8.69</v>
      </c>
      <c r="C157" s="1">
        <f>IFERROR(__xludf.DUMMYFUNCTION("""COMPUTED_VALUE"""),8.87)</f>
        <v>8.87</v>
      </c>
      <c r="D157" s="1">
        <f>IFERROR(__xludf.DUMMYFUNCTION("""COMPUTED_VALUE"""),8.66)</f>
        <v>8.66</v>
      </c>
      <c r="E157" s="1">
        <f>IFERROR(__xludf.DUMMYFUNCTION("""COMPUTED_VALUE"""),8.83)</f>
        <v>8.83</v>
      </c>
      <c r="F157" s="1">
        <f>IFERROR(__xludf.DUMMYFUNCTION("""COMPUTED_VALUE"""),7714471.0)</f>
        <v>7714471</v>
      </c>
      <c r="G157" s="2" t="s">
        <v>5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IFERROR(__xludf.DUMMYFUNCTION("""COMPUTED_VALUE"""),8.89)</f>
        <v>8.89</v>
      </c>
      <c r="C158" s="1">
        <f>IFERROR(__xludf.DUMMYFUNCTION("""COMPUTED_VALUE"""),8.96)</f>
        <v>8.96</v>
      </c>
      <c r="D158" s="1">
        <f>IFERROR(__xludf.DUMMYFUNCTION("""COMPUTED_VALUE"""),8.82)</f>
        <v>8.82</v>
      </c>
      <c r="E158" s="1">
        <f>IFERROR(__xludf.DUMMYFUNCTION("""COMPUTED_VALUE"""),8.86)</f>
        <v>8.86</v>
      </c>
      <c r="F158" s="1">
        <f>IFERROR(__xludf.DUMMYFUNCTION("""COMPUTED_VALUE"""),6173146.0)</f>
        <v>6173146</v>
      </c>
      <c r="G158" s="2" t="s">
        <v>5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IFERROR(__xludf.DUMMYFUNCTION("""COMPUTED_VALUE"""),8.95)</f>
        <v>8.95</v>
      </c>
      <c r="C159" s="1">
        <f>IFERROR(__xludf.DUMMYFUNCTION("""COMPUTED_VALUE"""),9.13)</f>
        <v>9.13</v>
      </c>
      <c r="D159" s="1">
        <f>IFERROR(__xludf.DUMMYFUNCTION("""COMPUTED_VALUE"""),8.92)</f>
        <v>8.92</v>
      </c>
      <c r="E159" s="1">
        <f>IFERROR(__xludf.DUMMYFUNCTION("""COMPUTED_VALUE"""),9.06)</f>
        <v>9.06</v>
      </c>
      <c r="F159" s="1">
        <f>IFERROR(__xludf.DUMMYFUNCTION("""COMPUTED_VALUE"""),8193539.0)</f>
        <v>8193539</v>
      </c>
      <c r="G159" s="2" t="s">
        <v>5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IFERROR(__xludf.DUMMYFUNCTION("""COMPUTED_VALUE"""),9.1)</f>
        <v>9.1</v>
      </c>
      <c r="C160" s="1">
        <f>IFERROR(__xludf.DUMMYFUNCTION("""COMPUTED_VALUE"""),9.12)</f>
        <v>9.12</v>
      </c>
      <c r="D160" s="1">
        <f>IFERROR(__xludf.DUMMYFUNCTION("""COMPUTED_VALUE"""),8.9)</f>
        <v>8.9</v>
      </c>
      <c r="E160" s="1">
        <f>IFERROR(__xludf.DUMMYFUNCTION("""COMPUTED_VALUE"""),8.94)</f>
        <v>8.94</v>
      </c>
      <c r="F160" s="1">
        <f>IFERROR(__xludf.DUMMYFUNCTION("""COMPUTED_VALUE"""),5628293.0)</f>
        <v>5628293</v>
      </c>
      <c r="G160" s="2" t="s">
        <v>5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IFERROR(__xludf.DUMMYFUNCTION("""COMPUTED_VALUE"""),8.98)</f>
        <v>8.98</v>
      </c>
      <c r="C161" s="1">
        <f>IFERROR(__xludf.DUMMYFUNCTION("""COMPUTED_VALUE"""),9.09)</f>
        <v>9.09</v>
      </c>
      <c r="D161" s="1">
        <f>IFERROR(__xludf.DUMMYFUNCTION("""COMPUTED_VALUE"""),8.95)</f>
        <v>8.95</v>
      </c>
      <c r="E161" s="1">
        <f>IFERROR(__xludf.DUMMYFUNCTION("""COMPUTED_VALUE"""),8.96)</f>
        <v>8.96</v>
      </c>
      <c r="F161" s="1">
        <f>IFERROR(__xludf.DUMMYFUNCTION("""COMPUTED_VALUE"""),5706031.0)</f>
        <v>5706031</v>
      </c>
      <c r="G161" s="2" t="s">
        <v>5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IFERROR(__xludf.DUMMYFUNCTION("""COMPUTED_VALUE"""),9.08)</f>
        <v>9.08</v>
      </c>
      <c r="C162" s="1">
        <f>IFERROR(__xludf.DUMMYFUNCTION("""COMPUTED_VALUE"""),9.18)</f>
        <v>9.18</v>
      </c>
      <c r="D162" s="1">
        <f>IFERROR(__xludf.DUMMYFUNCTION("""COMPUTED_VALUE"""),8.82)</f>
        <v>8.82</v>
      </c>
      <c r="E162" s="1">
        <f>IFERROR(__xludf.DUMMYFUNCTION("""COMPUTED_VALUE"""),8.86)</f>
        <v>8.86</v>
      </c>
      <c r="F162" s="1">
        <f>IFERROR(__xludf.DUMMYFUNCTION("""COMPUTED_VALUE"""),7844503.0)</f>
        <v>7844503</v>
      </c>
      <c r="G162" s="2" t="s">
        <v>5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IFERROR(__xludf.DUMMYFUNCTION("""COMPUTED_VALUE"""),8.81)</f>
        <v>8.81</v>
      </c>
      <c r="C163" s="1">
        <f>IFERROR(__xludf.DUMMYFUNCTION("""COMPUTED_VALUE"""),8.96)</f>
        <v>8.96</v>
      </c>
      <c r="D163" s="1">
        <f>IFERROR(__xludf.DUMMYFUNCTION("""COMPUTED_VALUE"""),8.77)</f>
        <v>8.77</v>
      </c>
      <c r="E163" s="1">
        <f>IFERROR(__xludf.DUMMYFUNCTION("""COMPUTED_VALUE"""),8.87)</f>
        <v>8.87</v>
      </c>
      <c r="F163" s="1">
        <f>IFERROR(__xludf.DUMMYFUNCTION("""COMPUTED_VALUE"""),6872297.0)</f>
        <v>6872297</v>
      </c>
      <c r="G163" s="2" t="s">
        <v>5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IFERROR(__xludf.DUMMYFUNCTION("""COMPUTED_VALUE"""),8.75)</f>
        <v>8.75</v>
      </c>
      <c r="C164" s="1">
        <f>IFERROR(__xludf.DUMMYFUNCTION("""COMPUTED_VALUE"""),8.76)</f>
        <v>8.76</v>
      </c>
      <c r="D164" s="1">
        <f>IFERROR(__xludf.DUMMYFUNCTION("""COMPUTED_VALUE"""),8.46)</f>
        <v>8.46</v>
      </c>
      <c r="E164" s="1">
        <f>IFERROR(__xludf.DUMMYFUNCTION("""COMPUTED_VALUE"""),8.5)</f>
        <v>8.5</v>
      </c>
      <c r="F164" s="1">
        <f>IFERROR(__xludf.DUMMYFUNCTION("""COMPUTED_VALUE"""),1.0849544E7)</f>
        <v>10849544</v>
      </c>
      <c r="G164" s="2" t="s">
        <v>5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IFERROR(__xludf.DUMMYFUNCTION("""COMPUTED_VALUE"""),8.4)</f>
        <v>8.4</v>
      </c>
      <c r="C165" s="1">
        <f>IFERROR(__xludf.DUMMYFUNCTION("""COMPUTED_VALUE"""),8.46)</f>
        <v>8.46</v>
      </c>
      <c r="D165" s="1">
        <f>IFERROR(__xludf.DUMMYFUNCTION("""COMPUTED_VALUE"""),8.27)</f>
        <v>8.27</v>
      </c>
      <c r="E165" s="1">
        <f>IFERROR(__xludf.DUMMYFUNCTION("""COMPUTED_VALUE"""),8.39)</f>
        <v>8.39</v>
      </c>
      <c r="F165" s="1">
        <f>IFERROR(__xludf.DUMMYFUNCTION("""COMPUTED_VALUE"""),7253829.0)</f>
        <v>7253829</v>
      </c>
      <c r="G165" s="2" t="s">
        <v>5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IFERROR(__xludf.DUMMYFUNCTION("""COMPUTED_VALUE"""),8.38)</f>
        <v>8.38</v>
      </c>
      <c r="C166" s="1">
        <f>IFERROR(__xludf.DUMMYFUNCTION("""COMPUTED_VALUE"""),8.44)</f>
        <v>8.44</v>
      </c>
      <c r="D166" s="1">
        <f>IFERROR(__xludf.DUMMYFUNCTION("""COMPUTED_VALUE"""),8.25)</f>
        <v>8.25</v>
      </c>
      <c r="E166" s="1">
        <f>IFERROR(__xludf.DUMMYFUNCTION("""COMPUTED_VALUE"""),8.34)</f>
        <v>8.34</v>
      </c>
      <c r="F166" s="1">
        <f>IFERROR(__xludf.DUMMYFUNCTION("""COMPUTED_VALUE"""),9556365.0)</f>
        <v>9556365</v>
      </c>
      <c r="G166" s="2" t="s">
        <v>5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IFERROR(__xludf.DUMMYFUNCTION("""COMPUTED_VALUE"""),8.32)</f>
        <v>8.32</v>
      </c>
      <c r="C167" s="1">
        <f>IFERROR(__xludf.DUMMYFUNCTION("""COMPUTED_VALUE"""),8.37)</f>
        <v>8.37</v>
      </c>
      <c r="D167" s="1">
        <f>IFERROR(__xludf.DUMMYFUNCTION("""COMPUTED_VALUE"""),8.18)</f>
        <v>8.18</v>
      </c>
      <c r="E167" s="1">
        <f>IFERROR(__xludf.DUMMYFUNCTION("""COMPUTED_VALUE"""),8.36)</f>
        <v>8.36</v>
      </c>
      <c r="F167" s="1">
        <f>IFERROR(__xludf.DUMMYFUNCTION("""COMPUTED_VALUE"""),7979604.0)</f>
        <v>7979604</v>
      </c>
      <c r="G167" s="2" t="s">
        <v>5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IFERROR(__xludf.DUMMYFUNCTION("""COMPUTED_VALUE"""),8.46)</f>
        <v>8.46</v>
      </c>
      <c r="C168" s="1">
        <f>IFERROR(__xludf.DUMMYFUNCTION("""COMPUTED_VALUE"""),8.51)</f>
        <v>8.51</v>
      </c>
      <c r="D168" s="1">
        <f>IFERROR(__xludf.DUMMYFUNCTION("""COMPUTED_VALUE"""),8.31)</f>
        <v>8.31</v>
      </c>
      <c r="E168" s="1">
        <f>IFERROR(__xludf.DUMMYFUNCTION("""COMPUTED_VALUE"""),8.36)</f>
        <v>8.36</v>
      </c>
      <c r="F168" s="1">
        <f>IFERROR(__xludf.DUMMYFUNCTION("""COMPUTED_VALUE"""),5371612.0)</f>
        <v>5371612</v>
      </c>
      <c r="G168" s="2" t="s">
        <v>5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IFERROR(__xludf.DUMMYFUNCTION("""COMPUTED_VALUE"""),8.39)</f>
        <v>8.39</v>
      </c>
      <c r="C169" s="1">
        <f>IFERROR(__xludf.DUMMYFUNCTION("""COMPUTED_VALUE"""),8.52)</f>
        <v>8.52</v>
      </c>
      <c r="D169" s="1">
        <f>IFERROR(__xludf.DUMMYFUNCTION("""COMPUTED_VALUE"""),8.17)</f>
        <v>8.17</v>
      </c>
      <c r="E169" s="1">
        <f>IFERROR(__xludf.DUMMYFUNCTION("""COMPUTED_VALUE"""),8.17)</f>
        <v>8.17</v>
      </c>
      <c r="F169" s="1">
        <f>IFERROR(__xludf.DUMMYFUNCTION("""COMPUTED_VALUE"""),6773632.0)</f>
        <v>6773632</v>
      </c>
      <c r="G169" s="2" t="s">
        <v>5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IFERROR(__xludf.DUMMYFUNCTION("""COMPUTED_VALUE"""),8.17)</f>
        <v>8.17</v>
      </c>
      <c r="C170" s="1">
        <f>IFERROR(__xludf.DUMMYFUNCTION("""COMPUTED_VALUE"""),8.26)</f>
        <v>8.26</v>
      </c>
      <c r="D170" s="1">
        <f>IFERROR(__xludf.DUMMYFUNCTION("""COMPUTED_VALUE"""),8.08)</f>
        <v>8.08</v>
      </c>
      <c r="E170" s="1">
        <f>IFERROR(__xludf.DUMMYFUNCTION("""COMPUTED_VALUE"""),8.24)</f>
        <v>8.24</v>
      </c>
      <c r="F170" s="1">
        <f>IFERROR(__xludf.DUMMYFUNCTION("""COMPUTED_VALUE"""),5951411.0)</f>
        <v>5951411</v>
      </c>
      <c r="G170" s="2" t="s">
        <v>5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IFERROR(__xludf.DUMMYFUNCTION("""COMPUTED_VALUE"""),8.23)</f>
        <v>8.23</v>
      </c>
      <c r="C171" s="1">
        <f>IFERROR(__xludf.DUMMYFUNCTION("""COMPUTED_VALUE"""),8.56)</f>
        <v>8.56</v>
      </c>
      <c r="D171" s="1">
        <f>IFERROR(__xludf.DUMMYFUNCTION("""COMPUTED_VALUE"""),8.23)</f>
        <v>8.23</v>
      </c>
      <c r="E171" s="1">
        <f>IFERROR(__xludf.DUMMYFUNCTION("""COMPUTED_VALUE"""),8.39)</f>
        <v>8.39</v>
      </c>
      <c r="F171" s="1">
        <f>IFERROR(__xludf.DUMMYFUNCTION("""COMPUTED_VALUE"""),9503694.0)</f>
        <v>9503694</v>
      </c>
      <c r="G171" s="2" t="s">
        <v>5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IFERROR(__xludf.DUMMYFUNCTION("""COMPUTED_VALUE"""),8.44)</f>
        <v>8.44</v>
      </c>
      <c r="C172" s="1">
        <f>IFERROR(__xludf.DUMMYFUNCTION("""COMPUTED_VALUE"""),8.49)</f>
        <v>8.49</v>
      </c>
      <c r="D172" s="1">
        <f>IFERROR(__xludf.DUMMYFUNCTION("""COMPUTED_VALUE"""),8.31)</f>
        <v>8.31</v>
      </c>
      <c r="E172" s="1">
        <f>IFERROR(__xludf.DUMMYFUNCTION("""COMPUTED_VALUE"""),8.32)</f>
        <v>8.32</v>
      </c>
      <c r="F172" s="1">
        <f>IFERROR(__xludf.DUMMYFUNCTION("""COMPUTED_VALUE"""),7873666.0)</f>
        <v>7873666</v>
      </c>
      <c r="G172" s="2" t="s">
        <v>5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IFERROR(__xludf.DUMMYFUNCTION("""COMPUTED_VALUE"""),8.28)</f>
        <v>8.28</v>
      </c>
      <c r="C173" s="1">
        <f>IFERROR(__xludf.DUMMYFUNCTION("""COMPUTED_VALUE"""),8.31)</f>
        <v>8.31</v>
      </c>
      <c r="D173" s="1">
        <f>IFERROR(__xludf.DUMMYFUNCTION("""COMPUTED_VALUE"""),8.07)</f>
        <v>8.07</v>
      </c>
      <c r="E173" s="1">
        <f>IFERROR(__xludf.DUMMYFUNCTION("""COMPUTED_VALUE"""),8.13)</f>
        <v>8.13</v>
      </c>
      <c r="F173" s="1">
        <f>IFERROR(__xludf.DUMMYFUNCTION("""COMPUTED_VALUE"""),8479512.0)</f>
        <v>8479512</v>
      </c>
      <c r="G173" s="2" t="s">
        <v>5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IFERROR(__xludf.DUMMYFUNCTION("""COMPUTED_VALUE"""),8.24)</f>
        <v>8.24</v>
      </c>
      <c r="C174" s="1">
        <f>IFERROR(__xludf.DUMMYFUNCTION("""COMPUTED_VALUE"""),8.58)</f>
        <v>8.58</v>
      </c>
      <c r="D174" s="1">
        <f>IFERROR(__xludf.DUMMYFUNCTION("""COMPUTED_VALUE"""),8.18)</f>
        <v>8.18</v>
      </c>
      <c r="E174" s="1">
        <f>IFERROR(__xludf.DUMMYFUNCTION("""COMPUTED_VALUE"""),8.57)</f>
        <v>8.57</v>
      </c>
      <c r="F174" s="1">
        <f>IFERROR(__xludf.DUMMYFUNCTION("""COMPUTED_VALUE"""),9938059.0)</f>
        <v>9938059</v>
      </c>
      <c r="G174" s="2" t="s">
        <v>5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IFERROR(__xludf.DUMMYFUNCTION("""COMPUTED_VALUE"""),8.27)</f>
        <v>8.27</v>
      </c>
      <c r="C175" s="1">
        <f>IFERROR(__xludf.DUMMYFUNCTION("""COMPUTED_VALUE"""),8.28)</f>
        <v>8.28</v>
      </c>
      <c r="D175" s="1">
        <f>IFERROR(__xludf.DUMMYFUNCTION("""COMPUTED_VALUE"""),8.04)</f>
        <v>8.04</v>
      </c>
      <c r="E175" s="1">
        <f>IFERROR(__xludf.DUMMYFUNCTION("""COMPUTED_VALUE"""),8.18)</f>
        <v>8.18</v>
      </c>
      <c r="F175" s="1">
        <f>IFERROR(__xludf.DUMMYFUNCTION("""COMPUTED_VALUE"""),1.1197994E7)</f>
        <v>11197994</v>
      </c>
      <c r="G175" s="2" t="s">
        <v>5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IFERROR(__xludf.DUMMYFUNCTION("""COMPUTED_VALUE"""),8.24)</f>
        <v>8.24</v>
      </c>
      <c r="C176" s="1">
        <f>IFERROR(__xludf.DUMMYFUNCTION("""COMPUTED_VALUE"""),8.44)</f>
        <v>8.44</v>
      </c>
      <c r="D176" s="1">
        <f>IFERROR(__xludf.DUMMYFUNCTION("""COMPUTED_VALUE"""),8.22)</f>
        <v>8.22</v>
      </c>
      <c r="E176" s="1">
        <f>IFERROR(__xludf.DUMMYFUNCTION("""COMPUTED_VALUE"""),8.36)</f>
        <v>8.36</v>
      </c>
      <c r="F176" s="1">
        <f>IFERROR(__xludf.DUMMYFUNCTION("""COMPUTED_VALUE"""),9194142.0)</f>
        <v>9194142</v>
      </c>
      <c r="G176" s="2" t="s">
        <v>5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IFERROR(__xludf.DUMMYFUNCTION("""COMPUTED_VALUE"""),8.26)</f>
        <v>8.26</v>
      </c>
      <c r="C177" s="1">
        <f>IFERROR(__xludf.DUMMYFUNCTION("""COMPUTED_VALUE"""),8.34)</f>
        <v>8.34</v>
      </c>
      <c r="D177" s="1">
        <f>IFERROR(__xludf.DUMMYFUNCTION("""COMPUTED_VALUE"""),8.03)</f>
        <v>8.03</v>
      </c>
      <c r="E177" s="1">
        <f>IFERROR(__xludf.DUMMYFUNCTION("""COMPUTED_VALUE"""),8.2)</f>
        <v>8.2</v>
      </c>
      <c r="F177" s="1">
        <f>IFERROR(__xludf.DUMMYFUNCTION("""COMPUTED_VALUE"""),1.1249328E7)</f>
        <v>11249328</v>
      </c>
      <c r="G177" s="2" t="s">
        <v>5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IFERROR(__xludf.DUMMYFUNCTION("""COMPUTED_VALUE"""),8.28)</f>
        <v>8.28</v>
      </c>
      <c r="C178" s="1">
        <f>IFERROR(__xludf.DUMMYFUNCTION("""COMPUTED_VALUE"""),8.72)</f>
        <v>8.72</v>
      </c>
      <c r="D178" s="1">
        <f>IFERROR(__xludf.DUMMYFUNCTION("""COMPUTED_VALUE"""),8.27)</f>
        <v>8.27</v>
      </c>
      <c r="E178" s="1">
        <f>IFERROR(__xludf.DUMMYFUNCTION("""COMPUTED_VALUE"""),8.65)</f>
        <v>8.65</v>
      </c>
      <c r="F178" s="1">
        <f>IFERROR(__xludf.DUMMYFUNCTION("""COMPUTED_VALUE"""),1.8432601E7)</f>
        <v>18432601</v>
      </c>
      <c r="G178" s="2" t="s">
        <v>5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IFERROR(__xludf.DUMMYFUNCTION("""COMPUTED_VALUE"""),8.71)</f>
        <v>8.71</v>
      </c>
      <c r="C179" s="1">
        <f>IFERROR(__xludf.DUMMYFUNCTION("""COMPUTED_VALUE"""),8.98)</f>
        <v>8.98</v>
      </c>
      <c r="D179" s="1">
        <f>IFERROR(__xludf.DUMMYFUNCTION("""COMPUTED_VALUE"""),8.71)</f>
        <v>8.71</v>
      </c>
      <c r="E179" s="1">
        <f>IFERROR(__xludf.DUMMYFUNCTION("""COMPUTED_VALUE"""),8.93)</f>
        <v>8.93</v>
      </c>
      <c r="F179" s="1">
        <f>IFERROR(__xludf.DUMMYFUNCTION("""COMPUTED_VALUE"""),1.2474008E7)</f>
        <v>12474008</v>
      </c>
      <c r="G179" s="2" t="s">
        <v>5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IFERROR(__xludf.DUMMYFUNCTION("""COMPUTED_VALUE"""),9.01)</f>
        <v>9.01</v>
      </c>
      <c r="C180" s="1">
        <f>IFERROR(__xludf.DUMMYFUNCTION("""COMPUTED_VALUE"""),9.28)</f>
        <v>9.28</v>
      </c>
      <c r="D180" s="1">
        <f>IFERROR(__xludf.DUMMYFUNCTION("""COMPUTED_VALUE"""),9.01)</f>
        <v>9.01</v>
      </c>
      <c r="E180" s="1">
        <f>IFERROR(__xludf.DUMMYFUNCTION("""COMPUTED_VALUE"""),9.22)</f>
        <v>9.22</v>
      </c>
      <c r="F180" s="1">
        <f>IFERROR(__xludf.DUMMYFUNCTION("""COMPUTED_VALUE"""),1.2116664E7)</f>
        <v>12116664</v>
      </c>
      <c r="G180" s="2" t="s">
        <v>5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IFERROR(__xludf.DUMMYFUNCTION("""COMPUTED_VALUE"""),9.22)</f>
        <v>9.22</v>
      </c>
      <c r="C181" s="1">
        <f>IFERROR(__xludf.DUMMYFUNCTION("""COMPUTED_VALUE"""),9.29)</f>
        <v>9.29</v>
      </c>
      <c r="D181" s="1">
        <f>IFERROR(__xludf.DUMMYFUNCTION("""COMPUTED_VALUE"""),8.93)</f>
        <v>8.93</v>
      </c>
      <c r="E181" s="1">
        <f>IFERROR(__xludf.DUMMYFUNCTION("""COMPUTED_VALUE"""),9.02)</f>
        <v>9.02</v>
      </c>
      <c r="F181" s="1">
        <f>IFERROR(__xludf.DUMMYFUNCTION("""COMPUTED_VALUE"""),1.106075E7)</f>
        <v>11060750</v>
      </c>
      <c r="G181" s="2" t="s">
        <v>5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IFERROR(__xludf.DUMMYFUNCTION("""COMPUTED_VALUE"""),9.0)</f>
        <v>9</v>
      </c>
      <c r="C182" s="1">
        <f>IFERROR(__xludf.DUMMYFUNCTION("""COMPUTED_VALUE"""),9.14)</f>
        <v>9.14</v>
      </c>
      <c r="D182" s="1">
        <f>IFERROR(__xludf.DUMMYFUNCTION("""COMPUTED_VALUE"""),8.92)</f>
        <v>8.92</v>
      </c>
      <c r="E182" s="1">
        <f>IFERROR(__xludf.DUMMYFUNCTION("""COMPUTED_VALUE"""),9.02)</f>
        <v>9.02</v>
      </c>
      <c r="F182" s="1">
        <f>IFERROR(__xludf.DUMMYFUNCTION("""COMPUTED_VALUE"""),9076547.0)</f>
        <v>9076547</v>
      </c>
      <c r="G182" s="2" t="s">
        <v>5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IFERROR(__xludf.DUMMYFUNCTION("""COMPUTED_VALUE"""),9.05)</f>
        <v>9.05</v>
      </c>
      <c r="C183" s="1">
        <f>IFERROR(__xludf.DUMMYFUNCTION("""COMPUTED_VALUE"""),9.3)</f>
        <v>9.3</v>
      </c>
      <c r="D183" s="1">
        <f>IFERROR(__xludf.DUMMYFUNCTION("""COMPUTED_VALUE"""),9.05)</f>
        <v>9.05</v>
      </c>
      <c r="E183" s="1">
        <f>IFERROR(__xludf.DUMMYFUNCTION("""COMPUTED_VALUE"""),9.23)</f>
        <v>9.23</v>
      </c>
      <c r="F183" s="1">
        <f>IFERROR(__xludf.DUMMYFUNCTION("""COMPUTED_VALUE"""),1.3949593E7)</f>
        <v>13949593</v>
      </c>
      <c r="G183" s="2" t="s">
        <v>5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IFERROR(__xludf.DUMMYFUNCTION("""COMPUTED_VALUE"""),9.12)</f>
        <v>9.12</v>
      </c>
      <c r="C184" s="1">
        <f>IFERROR(__xludf.DUMMYFUNCTION("""COMPUTED_VALUE"""),9.15)</f>
        <v>9.15</v>
      </c>
      <c r="D184" s="1">
        <f>IFERROR(__xludf.DUMMYFUNCTION("""COMPUTED_VALUE"""),8.98)</f>
        <v>8.98</v>
      </c>
      <c r="E184" s="1">
        <f>IFERROR(__xludf.DUMMYFUNCTION("""COMPUTED_VALUE"""),9.07)</f>
        <v>9.07</v>
      </c>
      <c r="F184" s="1">
        <f>IFERROR(__xludf.DUMMYFUNCTION("""COMPUTED_VALUE"""),2.0538411E7)</f>
        <v>20538411</v>
      </c>
      <c r="G184" s="2" t="s">
        <v>5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IFERROR(__xludf.DUMMYFUNCTION("""COMPUTED_VALUE"""),9.04)</f>
        <v>9.04</v>
      </c>
      <c r="C185" s="1">
        <f>IFERROR(__xludf.DUMMYFUNCTION("""COMPUTED_VALUE"""),9.15)</f>
        <v>9.15</v>
      </c>
      <c r="D185" s="1">
        <f>IFERROR(__xludf.DUMMYFUNCTION("""COMPUTED_VALUE"""),8.94)</f>
        <v>8.94</v>
      </c>
      <c r="E185" s="1">
        <f>IFERROR(__xludf.DUMMYFUNCTION("""COMPUTED_VALUE"""),9.1)</f>
        <v>9.1</v>
      </c>
      <c r="F185" s="1">
        <f>IFERROR(__xludf.DUMMYFUNCTION("""COMPUTED_VALUE"""),7241546.0)</f>
        <v>7241546</v>
      </c>
      <c r="G185" s="2" t="s">
        <v>5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IFERROR(__xludf.DUMMYFUNCTION("""COMPUTED_VALUE"""),9.16)</f>
        <v>9.16</v>
      </c>
      <c r="C186" s="1">
        <f>IFERROR(__xludf.DUMMYFUNCTION("""COMPUTED_VALUE"""),9.28)</f>
        <v>9.28</v>
      </c>
      <c r="D186" s="1">
        <f>IFERROR(__xludf.DUMMYFUNCTION("""COMPUTED_VALUE"""),8.97)</f>
        <v>8.97</v>
      </c>
      <c r="E186" s="1">
        <f>IFERROR(__xludf.DUMMYFUNCTION("""COMPUTED_VALUE"""),8.98)</f>
        <v>8.98</v>
      </c>
      <c r="F186" s="1">
        <f>IFERROR(__xludf.DUMMYFUNCTION("""COMPUTED_VALUE"""),8392094.0)</f>
        <v>8392094</v>
      </c>
      <c r="G186" s="2" t="s">
        <v>5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IFERROR(__xludf.DUMMYFUNCTION("""COMPUTED_VALUE"""),8.86)</f>
        <v>8.86</v>
      </c>
      <c r="C187" s="1">
        <f>IFERROR(__xludf.DUMMYFUNCTION("""COMPUTED_VALUE"""),8.91)</f>
        <v>8.91</v>
      </c>
      <c r="D187" s="1">
        <f>IFERROR(__xludf.DUMMYFUNCTION("""COMPUTED_VALUE"""),8.71)</f>
        <v>8.71</v>
      </c>
      <c r="E187" s="1">
        <f>IFERROR(__xludf.DUMMYFUNCTION("""COMPUTED_VALUE"""),8.82)</f>
        <v>8.82</v>
      </c>
      <c r="F187" s="1">
        <f>IFERROR(__xludf.DUMMYFUNCTION("""COMPUTED_VALUE"""),9398940.0)</f>
        <v>9398940</v>
      </c>
      <c r="G187" s="2" t="s">
        <v>5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IFERROR(__xludf.DUMMYFUNCTION("""COMPUTED_VALUE"""),8.69)</f>
        <v>8.69</v>
      </c>
      <c r="C188" s="1">
        <f>IFERROR(__xludf.DUMMYFUNCTION("""COMPUTED_VALUE"""),9.32)</f>
        <v>9.32</v>
      </c>
      <c r="D188" s="1">
        <f>IFERROR(__xludf.DUMMYFUNCTION("""COMPUTED_VALUE"""),8.66)</f>
        <v>8.66</v>
      </c>
      <c r="E188" s="1">
        <f>IFERROR(__xludf.DUMMYFUNCTION("""COMPUTED_VALUE"""),9.03)</f>
        <v>9.03</v>
      </c>
      <c r="F188" s="1">
        <f>IFERROR(__xludf.DUMMYFUNCTION("""COMPUTED_VALUE"""),1.6358469E7)</f>
        <v>16358469</v>
      </c>
      <c r="G188" s="2" t="s">
        <v>5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IFERROR(__xludf.DUMMYFUNCTION("""COMPUTED_VALUE"""),9.04)</f>
        <v>9.04</v>
      </c>
      <c r="C189" s="1">
        <f>IFERROR(__xludf.DUMMYFUNCTION("""COMPUTED_VALUE"""),9.04)</f>
        <v>9.04</v>
      </c>
      <c r="D189" s="1">
        <f>IFERROR(__xludf.DUMMYFUNCTION("""COMPUTED_VALUE"""),8.6)</f>
        <v>8.6</v>
      </c>
      <c r="E189" s="1">
        <f>IFERROR(__xludf.DUMMYFUNCTION("""COMPUTED_VALUE"""),8.63)</f>
        <v>8.63</v>
      </c>
      <c r="F189" s="1">
        <f>IFERROR(__xludf.DUMMYFUNCTION("""COMPUTED_VALUE"""),1.5245531E7)</f>
        <v>15245531</v>
      </c>
      <c r="G189" s="2" t="s">
        <v>5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IFERROR(__xludf.DUMMYFUNCTION("""COMPUTED_VALUE"""),8.51)</f>
        <v>8.51</v>
      </c>
      <c r="C190" s="1">
        <f>IFERROR(__xludf.DUMMYFUNCTION("""COMPUTED_VALUE"""),8.65)</f>
        <v>8.65</v>
      </c>
      <c r="D190" s="1">
        <f>IFERROR(__xludf.DUMMYFUNCTION("""COMPUTED_VALUE"""),8.45)</f>
        <v>8.45</v>
      </c>
      <c r="E190" s="1">
        <f>IFERROR(__xludf.DUMMYFUNCTION("""COMPUTED_VALUE"""),8.49)</f>
        <v>8.49</v>
      </c>
      <c r="F190" s="1">
        <f>IFERROR(__xludf.DUMMYFUNCTION("""COMPUTED_VALUE"""),9090399.0)</f>
        <v>9090399</v>
      </c>
      <c r="G190" s="2" t="s">
        <v>5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IFERROR(__xludf.DUMMYFUNCTION("""COMPUTED_VALUE"""),8.52)</f>
        <v>8.52</v>
      </c>
      <c r="C191" s="1">
        <f>IFERROR(__xludf.DUMMYFUNCTION("""COMPUTED_VALUE"""),8.59)</f>
        <v>8.59</v>
      </c>
      <c r="D191" s="1">
        <f>IFERROR(__xludf.DUMMYFUNCTION("""COMPUTED_VALUE"""),8.13)</f>
        <v>8.13</v>
      </c>
      <c r="E191" s="1">
        <f>IFERROR(__xludf.DUMMYFUNCTION("""COMPUTED_VALUE"""),8.13)</f>
        <v>8.13</v>
      </c>
      <c r="F191" s="1">
        <f>IFERROR(__xludf.DUMMYFUNCTION("""COMPUTED_VALUE"""),1.5219822E7)</f>
        <v>15219822</v>
      </c>
      <c r="G191" s="2" t="s">
        <v>5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IFERROR(__xludf.DUMMYFUNCTION("""COMPUTED_VALUE"""),8.0)</f>
        <v>8</v>
      </c>
      <c r="C192" s="1">
        <f>IFERROR(__xludf.DUMMYFUNCTION("""COMPUTED_VALUE"""),8.02)</f>
        <v>8.02</v>
      </c>
      <c r="D192" s="1">
        <f>IFERROR(__xludf.DUMMYFUNCTION("""COMPUTED_VALUE"""),7.48)</f>
        <v>7.48</v>
      </c>
      <c r="E192" s="1">
        <f>IFERROR(__xludf.DUMMYFUNCTION("""COMPUTED_VALUE"""),7.85)</f>
        <v>7.85</v>
      </c>
      <c r="F192" s="1">
        <f>IFERROR(__xludf.DUMMYFUNCTION("""COMPUTED_VALUE"""),2.4709992E7)</f>
        <v>24709992</v>
      </c>
      <c r="G192" s="2" t="s">
        <v>5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IFERROR(__xludf.DUMMYFUNCTION("""COMPUTED_VALUE"""),7.78)</f>
        <v>7.78</v>
      </c>
      <c r="C193" s="1">
        <f>IFERROR(__xludf.DUMMYFUNCTION("""COMPUTED_VALUE"""),7.81)</f>
        <v>7.81</v>
      </c>
      <c r="D193" s="1">
        <f>IFERROR(__xludf.DUMMYFUNCTION("""COMPUTED_VALUE"""),7.46)</f>
        <v>7.46</v>
      </c>
      <c r="E193" s="1">
        <f>IFERROR(__xludf.DUMMYFUNCTION("""COMPUTED_VALUE"""),7.59)</f>
        <v>7.59</v>
      </c>
      <c r="F193" s="1">
        <f>IFERROR(__xludf.DUMMYFUNCTION("""COMPUTED_VALUE"""),1.3505184E7)</f>
        <v>13505184</v>
      </c>
      <c r="G193" s="2" t="s">
        <v>5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IFERROR(__xludf.DUMMYFUNCTION("""COMPUTED_VALUE"""),7.62)</f>
        <v>7.62</v>
      </c>
      <c r="C194" s="1">
        <f>IFERROR(__xludf.DUMMYFUNCTION("""COMPUTED_VALUE"""),7.73)</f>
        <v>7.73</v>
      </c>
      <c r="D194" s="1">
        <f>IFERROR(__xludf.DUMMYFUNCTION("""COMPUTED_VALUE"""),7.52)</f>
        <v>7.52</v>
      </c>
      <c r="E194" s="1">
        <f>IFERROR(__xludf.DUMMYFUNCTION("""COMPUTED_VALUE"""),7.65)</f>
        <v>7.65</v>
      </c>
      <c r="F194" s="1">
        <f>IFERROR(__xludf.DUMMYFUNCTION("""COMPUTED_VALUE"""),1.0709219E7)</f>
        <v>10709219</v>
      </c>
      <c r="G194" s="2" t="s">
        <v>5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IFERROR(__xludf.DUMMYFUNCTION("""COMPUTED_VALUE"""),7.46)</f>
        <v>7.46</v>
      </c>
      <c r="C195" s="1">
        <f>IFERROR(__xludf.DUMMYFUNCTION("""COMPUTED_VALUE"""),7.69)</f>
        <v>7.69</v>
      </c>
      <c r="D195" s="1">
        <f>IFERROR(__xludf.DUMMYFUNCTION("""COMPUTED_VALUE"""),7.25)</f>
        <v>7.25</v>
      </c>
      <c r="E195" s="1">
        <f>IFERROR(__xludf.DUMMYFUNCTION("""COMPUTED_VALUE"""),7.63)</f>
        <v>7.63</v>
      </c>
      <c r="F195" s="1">
        <f>IFERROR(__xludf.DUMMYFUNCTION("""COMPUTED_VALUE"""),1.3941136E7)</f>
        <v>13941136</v>
      </c>
      <c r="G195" s="2" t="s">
        <v>5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IFERROR(__xludf.DUMMYFUNCTION("""COMPUTED_VALUE"""),7.71)</f>
        <v>7.71</v>
      </c>
      <c r="C196" s="1">
        <f>IFERROR(__xludf.DUMMYFUNCTION("""COMPUTED_VALUE"""),8.07)</f>
        <v>8.07</v>
      </c>
      <c r="D196" s="1">
        <f>IFERROR(__xludf.DUMMYFUNCTION("""COMPUTED_VALUE"""),7.68)</f>
        <v>7.68</v>
      </c>
      <c r="E196" s="1">
        <f>IFERROR(__xludf.DUMMYFUNCTION("""COMPUTED_VALUE"""),8.07)</f>
        <v>8.07</v>
      </c>
      <c r="F196" s="1">
        <f>IFERROR(__xludf.DUMMYFUNCTION("""COMPUTED_VALUE"""),1.2496377E7)</f>
        <v>12496377</v>
      </c>
      <c r="G196" s="2" t="s">
        <v>5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IFERROR(__xludf.DUMMYFUNCTION("""COMPUTED_VALUE"""),8.13)</f>
        <v>8.13</v>
      </c>
      <c r="C197" s="1">
        <f>IFERROR(__xludf.DUMMYFUNCTION("""COMPUTED_VALUE"""),8.14)</f>
        <v>8.14</v>
      </c>
      <c r="D197" s="1">
        <f>IFERROR(__xludf.DUMMYFUNCTION("""COMPUTED_VALUE"""),7.9)</f>
        <v>7.9</v>
      </c>
      <c r="E197" s="1">
        <f>IFERROR(__xludf.DUMMYFUNCTION("""COMPUTED_VALUE"""),7.93)</f>
        <v>7.93</v>
      </c>
      <c r="F197" s="1">
        <f>IFERROR(__xludf.DUMMYFUNCTION("""COMPUTED_VALUE"""),1.0868838E7)</f>
        <v>10868838</v>
      </c>
      <c r="G197" s="2" t="s">
        <v>5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IFERROR(__xludf.DUMMYFUNCTION("""COMPUTED_VALUE"""),7.98)</f>
        <v>7.98</v>
      </c>
      <c r="C198" s="1">
        <f>IFERROR(__xludf.DUMMYFUNCTION("""COMPUTED_VALUE"""),8.05)</f>
        <v>8.05</v>
      </c>
      <c r="D198" s="1">
        <f>IFERROR(__xludf.DUMMYFUNCTION("""COMPUTED_VALUE"""),7.85)</f>
        <v>7.85</v>
      </c>
      <c r="E198" s="1">
        <f>IFERROR(__xludf.DUMMYFUNCTION("""COMPUTED_VALUE"""),7.87)</f>
        <v>7.87</v>
      </c>
      <c r="F198" s="1">
        <f>IFERROR(__xludf.DUMMYFUNCTION("""COMPUTED_VALUE"""),8334226.0)</f>
        <v>8334226</v>
      </c>
      <c r="G198" s="2" t="s">
        <v>5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IFERROR(__xludf.DUMMYFUNCTION("""COMPUTED_VALUE"""),7.84)</f>
        <v>7.84</v>
      </c>
      <c r="C199" s="1">
        <f>IFERROR(__xludf.DUMMYFUNCTION("""COMPUTED_VALUE"""),7.99)</f>
        <v>7.99</v>
      </c>
      <c r="D199" s="1">
        <f>IFERROR(__xludf.DUMMYFUNCTION("""COMPUTED_VALUE"""),7.77)</f>
        <v>7.77</v>
      </c>
      <c r="E199" s="1">
        <f>IFERROR(__xludf.DUMMYFUNCTION("""COMPUTED_VALUE"""),7.82)</f>
        <v>7.82</v>
      </c>
      <c r="F199" s="1">
        <f>IFERROR(__xludf.DUMMYFUNCTION("""COMPUTED_VALUE"""),7882187.0)</f>
        <v>7882187</v>
      </c>
      <c r="G199" s="2" t="s">
        <v>5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IFERROR(__xludf.DUMMYFUNCTION("""COMPUTED_VALUE"""),7.77)</f>
        <v>7.77</v>
      </c>
      <c r="C200" s="1">
        <f>IFERROR(__xludf.DUMMYFUNCTION("""COMPUTED_VALUE"""),8.15)</f>
        <v>8.15</v>
      </c>
      <c r="D200" s="1">
        <f>IFERROR(__xludf.DUMMYFUNCTION("""COMPUTED_VALUE"""),7.76)</f>
        <v>7.76</v>
      </c>
      <c r="E200" s="1">
        <f>IFERROR(__xludf.DUMMYFUNCTION("""COMPUTED_VALUE"""),7.96)</f>
        <v>7.96</v>
      </c>
      <c r="F200" s="1">
        <f>IFERROR(__xludf.DUMMYFUNCTION("""COMPUTED_VALUE"""),1.0330624E7)</f>
        <v>10330624</v>
      </c>
      <c r="G200" s="2" t="s">
        <v>5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IFERROR(__xludf.DUMMYFUNCTION("""COMPUTED_VALUE"""),7.9)</f>
        <v>7.9</v>
      </c>
      <c r="C201" s="1">
        <f>IFERROR(__xludf.DUMMYFUNCTION("""COMPUTED_VALUE"""),7.9)</f>
        <v>7.9</v>
      </c>
      <c r="D201" s="1">
        <f>IFERROR(__xludf.DUMMYFUNCTION("""COMPUTED_VALUE"""),7.69)</f>
        <v>7.69</v>
      </c>
      <c r="E201" s="1">
        <f>IFERROR(__xludf.DUMMYFUNCTION("""COMPUTED_VALUE"""),7.78)</f>
        <v>7.78</v>
      </c>
      <c r="F201" s="1">
        <f>IFERROR(__xludf.DUMMYFUNCTION("""COMPUTED_VALUE"""),1.0278114E7)</f>
        <v>10278114</v>
      </c>
      <c r="G201" s="2" t="s">
        <v>5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IFERROR(__xludf.DUMMYFUNCTION("""COMPUTED_VALUE"""),7.76)</f>
        <v>7.76</v>
      </c>
      <c r="C202" s="1">
        <f>IFERROR(__xludf.DUMMYFUNCTION("""COMPUTED_VALUE"""),7.83)</f>
        <v>7.83</v>
      </c>
      <c r="D202" s="1">
        <f>IFERROR(__xludf.DUMMYFUNCTION("""COMPUTED_VALUE"""),7.6)</f>
        <v>7.6</v>
      </c>
      <c r="E202" s="1">
        <f>IFERROR(__xludf.DUMMYFUNCTION("""COMPUTED_VALUE"""),7.79)</f>
        <v>7.79</v>
      </c>
      <c r="F202" s="1">
        <f>IFERROR(__xludf.DUMMYFUNCTION("""COMPUTED_VALUE"""),9289863.0)</f>
        <v>9289863</v>
      </c>
      <c r="G202" s="2" t="s">
        <v>5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IFERROR(__xludf.DUMMYFUNCTION("""COMPUTED_VALUE"""),7.79)</f>
        <v>7.79</v>
      </c>
      <c r="C203" s="1">
        <f>IFERROR(__xludf.DUMMYFUNCTION("""COMPUTED_VALUE"""),8.43)</f>
        <v>8.43</v>
      </c>
      <c r="D203" s="1">
        <f>IFERROR(__xludf.DUMMYFUNCTION("""COMPUTED_VALUE"""),7.74)</f>
        <v>7.74</v>
      </c>
      <c r="E203" s="1">
        <f>IFERROR(__xludf.DUMMYFUNCTION("""COMPUTED_VALUE"""),8.36)</f>
        <v>8.36</v>
      </c>
      <c r="F203" s="1">
        <f>IFERROR(__xludf.DUMMYFUNCTION("""COMPUTED_VALUE"""),1.8140608E7)</f>
        <v>18140608</v>
      </c>
      <c r="G203" s="2" t="s">
        <v>5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IFERROR(__xludf.DUMMYFUNCTION("""COMPUTED_VALUE"""),8.58)</f>
        <v>8.58</v>
      </c>
      <c r="C204" s="1">
        <f>IFERROR(__xludf.DUMMYFUNCTION("""COMPUTED_VALUE"""),8.81)</f>
        <v>8.81</v>
      </c>
      <c r="D204" s="1">
        <f>IFERROR(__xludf.DUMMYFUNCTION("""COMPUTED_VALUE"""),8.48)</f>
        <v>8.48</v>
      </c>
      <c r="E204" s="1">
        <f>IFERROR(__xludf.DUMMYFUNCTION("""COMPUTED_VALUE"""),8.61)</f>
        <v>8.61</v>
      </c>
      <c r="F204" s="1">
        <f>IFERROR(__xludf.DUMMYFUNCTION("""COMPUTED_VALUE"""),2.023482E7)</f>
        <v>20234820</v>
      </c>
      <c r="G204" s="2" t="s">
        <v>5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IFERROR(__xludf.DUMMYFUNCTION("""COMPUTED_VALUE"""),8.64)</f>
        <v>8.64</v>
      </c>
      <c r="C205" s="1">
        <f>IFERROR(__xludf.DUMMYFUNCTION("""COMPUTED_VALUE"""),8.72)</f>
        <v>8.72</v>
      </c>
      <c r="D205" s="1">
        <f>IFERROR(__xludf.DUMMYFUNCTION("""COMPUTED_VALUE"""),8.5)</f>
        <v>8.5</v>
      </c>
      <c r="E205" s="1">
        <f>IFERROR(__xludf.DUMMYFUNCTION("""COMPUTED_VALUE"""),8.63)</f>
        <v>8.63</v>
      </c>
      <c r="F205" s="1">
        <f>IFERROR(__xludf.DUMMYFUNCTION("""COMPUTED_VALUE"""),1.197326E7)</f>
        <v>11973260</v>
      </c>
      <c r="G205" s="2" t="s">
        <v>5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IFERROR(__xludf.DUMMYFUNCTION("""COMPUTED_VALUE"""),8.66)</f>
        <v>8.66</v>
      </c>
      <c r="C206" s="1">
        <f>IFERROR(__xludf.DUMMYFUNCTION("""COMPUTED_VALUE"""),8.98)</f>
        <v>8.98</v>
      </c>
      <c r="D206" s="1">
        <f>IFERROR(__xludf.DUMMYFUNCTION("""COMPUTED_VALUE"""),8.65)</f>
        <v>8.65</v>
      </c>
      <c r="E206" s="1">
        <f>IFERROR(__xludf.DUMMYFUNCTION("""COMPUTED_VALUE"""),8.85)</f>
        <v>8.85</v>
      </c>
      <c r="F206" s="1">
        <f>IFERROR(__xludf.DUMMYFUNCTION("""COMPUTED_VALUE"""),1.3475346E7)</f>
        <v>13475346</v>
      </c>
      <c r="G206" s="2" t="s">
        <v>5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IFERROR(__xludf.DUMMYFUNCTION("""COMPUTED_VALUE"""),8.88)</f>
        <v>8.88</v>
      </c>
      <c r="C207" s="1">
        <f>IFERROR(__xludf.DUMMYFUNCTION("""COMPUTED_VALUE"""),9.01)</f>
        <v>9.01</v>
      </c>
      <c r="D207" s="1">
        <f>IFERROR(__xludf.DUMMYFUNCTION("""COMPUTED_VALUE"""),8.81)</f>
        <v>8.81</v>
      </c>
      <c r="E207" s="1">
        <f>IFERROR(__xludf.DUMMYFUNCTION("""COMPUTED_VALUE"""),8.89)</f>
        <v>8.89</v>
      </c>
      <c r="F207" s="1">
        <f>IFERROR(__xludf.DUMMYFUNCTION("""COMPUTED_VALUE"""),1.1245593E7)</f>
        <v>11245593</v>
      </c>
      <c r="G207" s="2" t="s">
        <v>5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IFERROR(__xludf.DUMMYFUNCTION("""COMPUTED_VALUE"""),8.85)</f>
        <v>8.85</v>
      </c>
      <c r="C208" s="1">
        <f>IFERROR(__xludf.DUMMYFUNCTION("""COMPUTED_VALUE"""),8.96)</f>
        <v>8.96</v>
      </c>
      <c r="D208" s="1">
        <f>IFERROR(__xludf.DUMMYFUNCTION("""COMPUTED_VALUE"""),8.78)</f>
        <v>8.78</v>
      </c>
      <c r="E208" s="1">
        <f>IFERROR(__xludf.DUMMYFUNCTION("""COMPUTED_VALUE"""),8.93)</f>
        <v>8.93</v>
      </c>
      <c r="F208" s="1">
        <f>IFERROR(__xludf.DUMMYFUNCTION("""COMPUTED_VALUE"""),5764132.0)</f>
        <v>5764132</v>
      </c>
      <c r="G208" s="2" t="s">
        <v>5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IFERROR(__xludf.DUMMYFUNCTION("""COMPUTED_VALUE"""),8.85)</f>
        <v>8.85</v>
      </c>
      <c r="C209" s="1">
        <f>IFERROR(__xludf.DUMMYFUNCTION("""COMPUTED_VALUE"""),8.93)</f>
        <v>8.93</v>
      </c>
      <c r="D209" s="1">
        <f>IFERROR(__xludf.DUMMYFUNCTION("""COMPUTED_VALUE"""),8.71)</f>
        <v>8.71</v>
      </c>
      <c r="E209" s="1">
        <f>IFERROR(__xludf.DUMMYFUNCTION("""COMPUTED_VALUE"""),8.9)</f>
        <v>8.9</v>
      </c>
      <c r="F209" s="1">
        <f>IFERROR(__xludf.DUMMYFUNCTION("""COMPUTED_VALUE"""),1.5737461E7)</f>
        <v>15737461</v>
      </c>
      <c r="G209" s="2" t="s">
        <v>5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IFERROR(__xludf.DUMMYFUNCTION("""COMPUTED_VALUE"""),9.0)</f>
        <v>9</v>
      </c>
      <c r="C210" s="1">
        <f>IFERROR(__xludf.DUMMYFUNCTION("""COMPUTED_VALUE"""),9.26)</f>
        <v>9.26</v>
      </c>
      <c r="D210" s="1">
        <f>IFERROR(__xludf.DUMMYFUNCTION("""COMPUTED_VALUE"""),8.93)</f>
        <v>8.93</v>
      </c>
      <c r="E210" s="1">
        <f>IFERROR(__xludf.DUMMYFUNCTION("""COMPUTED_VALUE"""),9.12)</f>
        <v>9.12</v>
      </c>
      <c r="F210" s="1">
        <f>IFERROR(__xludf.DUMMYFUNCTION("""COMPUTED_VALUE"""),1.0989972E7)</f>
        <v>10989972</v>
      </c>
      <c r="G210" s="2" t="s">
        <v>5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IFERROR(__xludf.DUMMYFUNCTION("""COMPUTED_VALUE"""),9.2)</f>
        <v>9.2</v>
      </c>
      <c r="C211" s="1">
        <f>IFERROR(__xludf.DUMMYFUNCTION("""COMPUTED_VALUE"""),9.27)</f>
        <v>9.27</v>
      </c>
      <c r="D211" s="1">
        <f>IFERROR(__xludf.DUMMYFUNCTION("""COMPUTED_VALUE"""),9.11)</f>
        <v>9.11</v>
      </c>
      <c r="E211" s="1">
        <f>IFERROR(__xludf.DUMMYFUNCTION("""COMPUTED_VALUE"""),9.27)</f>
        <v>9.27</v>
      </c>
      <c r="F211" s="1">
        <f>IFERROR(__xludf.DUMMYFUNCTION("""COMPUTED_VALUE"""),1.0904268E7)</f>
        <v>10904268</v>
      </c>
      <c r="G211" s="2" t="s">
        <v>5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IFERROR(__xludf.DUMMYFUNCTION("""COMPUTED_VALUE"""),9.41)</f>
        <v>9.41</v>
      </c>
      <c r="C212" s="1">
        <f>IFERROR(__xludf.DUMMYFUNCTION("""COMPUTED_VALUE"""),9.49)</f>
        <v>9.49</v>
      </c>
      <c r="D212" s="1">
        <f>IFERROR(__xludf.DUMMYFUNCTION("""COMPUTED_VALUE"""),9.07)</f>
        <v>9.07</v>
      </c>
      <c r="E212" s="1">
        <f>IFERROR(__xludf.DUMMYFUNCTION("""COMPUTED_VALUE"""),9.38)</f>
        <v>9.38</v>
      </c>
      <c r="F212" s="1">
        <f>IFERROR(__xludf.DUMMYFUNCTION("""COMPUTED_VALUE"""),1.4405725E7)</f>
        <v>14405725</v>
      </c>
      <c r="G212" s="2" t="s">
        <v>5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IFERROR(__xludf.DUMMYFUNCTION("""COMPUTED_VALUE"""),9.35)</f>
        <v>9.35</v>
      </c>
      <c r="C213" s="1">
        <f>IFERROR(__xludf.DUMMYFUNCTION("""COMPUTED_VALUE"""),9.91)</f>
        <v>9.91</v>
      </c>
      <c r="D213" s="1">
        <f>IFERROR(__xludf.DUMMYFUNCTION("""COMPUTED_VALUE"""),9.35)</f>
        <v>9.35</v>
      </c>
      <c r="E213" s="1">
        <f>IFERROR(__xludf.DUMMYFUNCTION("""COMPUTED_VALUE"""),9.86)</f>
        <v>9.86</v>
      </c>
      <c r="F213" s="1">
        <f>IFERROR(__xludf.DUMMYFUNCTION("""COMPUTED_VALUE"""),2.0602859E7)</f>
        <v>20602859</v>
      </c>
      <c r="G213" s="2" t="s">
        <v>5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IFERROR(__xludf.DUMMYFUNCTION("""COMPUTED_VALUE"""),9.74)</f>
        <v>9.74</v>
      </c>
      <c r="C214" s="1">
        <f>IFERROR(__xludf.DUMMYFUNCTION("""COMPUTED_VALUE"""),9.89)</f>
        <v>9.89</v>
      </c>
      <c r="D214" s="1">
        <f>IFERROR(__xludf.DUMMYFUNCTION("""COMPUTED_VALUE"""),9.7)</f>
        <v>9.7</v>
      </c>
      <c r="E214" s="1">
        <f>IFERROR(__xludf.DUMMYFUNCTION("""COMPUTED_VALUE"""),9.83)</f>
        <v>9.83</v>
      </c>
      <c r="F214" s="1">
        <f>IFERROR(__xludf.DUMMYFUNCTION("""COMPUTED_VALUE"""),9506676.0)</f>
        <v>9506676</v>
      </c>
      <c r="G214" s="2" t="s">
        <v>5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IFERROR(__xludf.DUMMYFUNCTION("""COMPUTED_VALUE"""),9.85)</f>
        <v>9.85</v>
      </c>
      <c r="C215" s="1">
        <f>IFERROR(__xludf.DUMMYFUNCTION("""COMPUTED_VALUE"""),9.89)</f>
        <v>9.89</v>
      </c>
      <c r="D215" s="1">
        <f>IFERROR(__xludf.DUMMYFUNCTION("""COMPUTED_VALUE"""),9.64)</f>
        <v>9.64</v>
      </c>
      <c r="E215" s="1">
        <f>IFERROR(__xludf.DUMMYFUNCTION("""COMPUTED_VALUE"""),9.66)</f>
        <v>9.66</v>
      </c>
      <c r="F215" s="1">
        <f>IFERROR(__xludf.DUMMYFUNCTION("""COMPUTED_VALUE"""),1.0031583E7)</f>
        <v>10031583</v>
      </c>
      <c r="G215" s="2" t="s">
        <v>5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IFERROR(__xludf.DUMMYFUNCTION("""COMPUTED_VALUE"""),9.72)</f>
        <v>9.72</v>
      </c>
      <c r="C216" s="1">
        <f>IFERROR(__xludf.DUMMYFUNCTION("""COMPUTED_VALUE"""),9.86)</f>
        <v>9.86</v>
      </c>
      <c r="D216" s="1">
        <f>IFERROR(__xludf.DUMMYFUNCTION("""COMPUTED_VALUE"""),9.71)</f>
        <v>9.71</v>
      </c>
      <c r="E216" s="1">
        <f>IFERROR(__xludf.DUMMYFUNCTION("""COMPUTED_VALUE"""),9.73)</f>
        <v>9.73</v>
      </c>
      <c r="F216" s="1">
        <f>IFERROR(__xludf.DUMMYFUNCTION("""COMPUTED_VALUE"""),7278279.0)</f>
        <v>7278279</v>
      </c>
      <c r="G216" s="2" t="s">
        <v>5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IFERROR(__xludf.DUMMYFUNCTION("""COMPUTED_VALUE"""),9.78)</f>
        <v>9.78</v>
      </c>
      <c r="C217" s="1">
        <f>IFERROR(__xludf.DUMMYFUNCTION("""COMPUTED_VALUE"""),9.87)</f>
        <v>9.87</v>
      </c>
      <c r="D217" s="1">
        <f>IFERROR(__xludf.DUMMYFUNCTION("""COMPUTED_VALUE"""),9.74)</f>
        <v>9.74</v>
      </c>
      <c r="E217" s="1">
        <f>IFERROR(__xludf.DUMMYFUNCTION("""COMPUTED_VALUE"""),9.79)</f>
        <v>9.79</v>
      </c>
      <c r="F217" s="1">
        <f>IFERROR(__xludf.DUMMYFUNCTION("""COMPUTED_VALUE"""),6777249.0)</f>
        <v>6777249</v>
      </c>
      <c r="G217" s="2" t="s">
        <v>5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IFERROR(__xludf.DUMMYFUNCTION("""COMPUTED_VALUE"""),9.82)</f>
        <v>9.82</v>
      </c>
      <c r="C218" s="1">
        <f>IFERROR(__xludf.DUMMYFUNCTION("""COMPUTED_VALUE"""),9.84)</f>
        <v>9.84</v>
      </c>
      <c r="D218" s="1">
        <f>IFERROR(__xludf.DUMMYFUNCTION("""COMPUTED_VALUE"""),9.59)</f>
        <v>9.59</v>
      </c>
      <c r="E218" s="1">
        <f>IFERROR(__xludf.DUMMYFUNCTION("""COMPUTED_VALUE"""),9.67)</f>
        <v>9.67</v>
      </c>
      <c r="F218" s="1">
        <f>IFERROR(__xludf.DUMMYFUNCTION("""COMPUTED_VALUE"""),6467970.0)</f>
        <v>6467970</v>
      </c>
      <c r="G218" s="2" t="s">
        <v>5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IFERROR(__xludf.DUMMYFUNCTION("""COMPUTED_VALUE"""),9.74)</f>
        <v>9.74</v>
      </c>
      <c r="C219" s="1">
        <f>IFERROR(__xludf.DUMMYFUNCTION("""COMPUTED_VALUE"""),9.85)</f>
        <v>9.85</v>
      </c>
      <c r="D219" s="1">
        <f>IFERROR(__xludf.DUMMYFUNCTION("""COMPUTED_VALUE"""),9.61)</f>
        <v>9.61</v>
      </c>
      <c r="E219" s="1">
        <f>IFERROR(__xludf.DUMMYFUNCTION("""COMPUTED_VALUE"""),9.73)</f>
        <v>9.73</v>
      </c>
      <c r="F219" s="1">
        <f>IFERROR(__xludf.DUMMYFUNCTION("""COMPUTED_VALUE"""),9840712.0)</f>
        <v>9840712</v>
      </c>
      <c r="G219" s="2" t="s">
        <v>5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IFERROR(__xludf.DUMMYFUNCTION("""COMPUTED_VALUE"""),9.66)</f>
        <v>9.66</v>
      </c>
      <c r="C220" s="1">
        <f>IFERROR(__xludf.DUMMYFUNCTION("""COMPUTED_VALUE"""),9.91)</f>
        <v>9.91</v>
      </c>
      <c r="D220" s="1">
        <f>IFERROR(__xludf.DUMMYFUNCTION("""COMPUTED_VALUE"""),9.65)</f>
        <v>9.65</v>
      </c>
      <c r="E220" s="1">
        <f>IFERROR(__xludf.DUMMYFUNCTION("""COMPUTED_VALUE"""),9.77)</f>
        <v>9.77</v>
      </c>
      <c r="F220" s="1">
        <f>IFERROR(__xludf.DUMMYFUNCTION("""COMPUTED_VALUE"""),7553470.0)</f>
        <v>7553470</v>
      </c>
      <c r="G220" s="2" t="s">
        <v>5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IFERROR(__xludf.DUMMYFUNCTION("""COMPUTED_VALUE"""),9.76)</f>
        <v>9.76</v>
      </c>
      <c r="C221" s="1">
        <f>IFERROR(__xludf.DUMMYFUNCTION("""COMPUTED_VALUE"""),9.87)</f>
        <v>9.87</v>
      </c>
      <c r="D221" s="1">
        <f>IFERROR(__xludf.DUMMYFUNCTION("""COMPUTED_VALUE"""),9.73)</f>
        <v>9.73</v>
      </c>
      <c r="E221" s="1">
        <f>IFERROR(__xludf.DUMMYFUNCTION("""COMPUTED_VALUE"""),9.87)</f>
        <v>9.87</v>
      </c>
      <c r="F221" s="1">
        <f>IFERROR(__xludf.DUMMYFUNCTION("""COMPUTED_VALUE"""),6350854.0)</f>
        <v>6350854</v>
      </c>
      <c r="G221" s="2" t="s">
        <v>5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IFERROR(__xludf.DUMMYFUNCTION("""COMPUTED_VALUE"""),9.87)</f>
        <v>9.87</v>
      </c>
      <c r="C222" s="1">
        <f>IFERROR(__xludf.DUMMYFUNCTION("""COMPUTED_VALUE"""),9.95)</f>
        <v>9.95</v>
      </c>
      <c r="D222" s="1">
        <f>IFERROR(__xludf.DUMMYFUNCTION("""COMPUTED_VALUE"""),9.59)</f>
        <v>9.59</v>
      </c>
      <c r="E222" s="1">
        <f>IFERROR(__xludf.DUMMYFUNCTION("""COMPUTED_VALUE"""),9.69)</f>
        <v>9.69</v>
      </c>
      <c r="F222" s="1">
        <f>IFERROR(__xludf.DUMMYFUNCTION("""COMPUTED_VALUE"""),1.0202874E7)</f>
        <v>10202874</v>
      </c>
      <c r="G222" s="2" t="s">
        <v>5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IFERROR(__xludf.DUMMYFUNCTION("""COMPUTED_VALUE"""),9.66)</f>
        <v>9.66</v>
      </c>
      <c r="C223" s="1">
        <f>IFERROR(__xludf.DUMMYFUNCTION("""COMPUTED_VALUE"""),10.03)</f>
        <v>10.03</v>
      </c>
      <c r="D223" s="1">
        <f>IFERROR(__xludf.DUMMYFUNCTION("""COMPUTED_VALUE"""),9.61)</f>
        <v>9.61</v>
      </c>
      <c r="E223" s="1">
        <f>IFERROR(__xludf.DUMMYFUNCTION("""COMPUTED_VALUE"""),9.96)</f>
        <v>9.96</v>
      </c>
      <c r="F223" s="1">
        <f>IFERROR(__xludf.DUMMYFUNCTION("""COMPUTED_VALUE"""),1.2473082E7)</f>
        <v>12473082</v>
      </c>
      <c r="G223" s="2" t="s">
        <v>5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IFERROR(__xludf.DUMMYFUNCTION("""COMPUTED_VALUE"""),10.06)</f>
        <v>10.06</v>
      </c>
      <c r="C224" s="1">
        <f>IFERROR(__xludf.DUMMYFUNCTION("""COMPUTED_VALUE"""),10.32)</f>
        <v>10.32</v>
      </c>
      <c r="D224" s="1">
        <f>IFERROR(__xludf.DUMMYFUNCTION("""COMPUTED_VALUE"""),10.01)</f>
        <v>10.01</v>
      </c>
      <c r="E224" s="1">
        <f>IFERROR(__xludf.DUMMYFUNCTION("""COMPUTED_VALUE"""),10.22)</f>
        <v>10.22</v>
      </c>
      <c r="F224" s="1">
        <f>IFERROR(__xludf.DUMMYFUNCTION("""COMPUTED_VALUE"""),1.4581534E7)</f>
        <v>14581534</v>
      </c>
      <c r="G224" s="2" t="s">
        <v>5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IFERROR(__xludf.DUMMYFUNCTION("""COMPUTED_VALUE"""),10.21)</f>
        <v>10.21</v>
      </c>
      <c r="C225" s="1">
        <f>IFERROR(__xludf.DUMMYFUNCTION("""COMPUTED_VALUE"""),10.35)</f>
        <v>10.35</v>
      </c>
      <c r="D225" s="1">
        <f>IFERROR(__xludf.DUMMYFUNCTION("""COMPUTED_VALUE"""),10.13)</f>
        <v>10.13</v>
      </c>
      <c r="E225" s="1">
        <f>IFERROR(__xludf.DUMMYFUNCTION("""COMPUTED_VALUE"""),10.18)</f>
        <v>10.18</v>
      </c>
      <c r="F225" s="1">
        <f>IFERROR(__xludf.DUMMYFUNCTION("""COMPUTED_VALUE"""),7329376.0)</f>
        <v>7329376</v>
      </c>
      <c r="G225" s="2" t="s">
        <v>5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IFERROR(__xludf.DUMMYFUNCTION("""COMPUTED_VALUE"""),10.16)</f>
        <v>10.16</v>
      </c>
      <c r="C226" s="1">
        <f>IFERROR(__xludf.DUMMYFUNCTION("""COMPUTED_VALUE"""),10.43)</f>
        <v>10.43</v>
      </c>
      <c r="D226" s="1">
        <f>IFERROR(__xludf.DUMMYFUNCTION("""COMPUTED_VALUE"""),10.16)</f>
        <v>10.16</v>
      </c>
      <c r="E226" s="1">
        <f>IFERROR(__xludf.DUMMYFUNCTION("""COMPUTED_VALUE"""),10.32)</f>
        <v>10.32</v>
      </c>
      <c r="F226" s="1">
        <f>IFERROR(__xludf.DUMMYFUNCTION("""COMPUTED_VALUE"""),1.0517381E7)</f>
        <v>10517381</v>
      </c>
      <c r="G226" s="2" t="s">
        <v>5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IFERROR(__xludf.DUMMYFUNCTION("""COMPUTED_VALUE"""),10.26)</f>
        <v>10.26</v>
      </c>
      <c r="C227" s="1">
        <f>IFERROR(__xludf.DUMMYFUNCTION("""COMPUTED_VALUE"""),10.32)</f>
        <v>10.32</v>
      </c>
      <c r="D227" s="1">
        <f>IFERROR(__xludf.DUMMYFUNCTION("""COMPUTED_VALUE"""),10.12)</f>
        <v>10.12</v>
      </c>
      <c r="E227" s="1">
        <f>IFERROR(__xludf.DUMMYFUNCTION("""COMPUTED_VALUE"""),10.13)</f>
        <v>10.13</v>
      </c>
      <c r="F227" s="1">
        <f>IFERROR(__xludf.DUMMYFUNCTION("""COMPUTED_VALUE"""),8055010.0)</f>
        <v>8055010</v>
      </c>
      <c r="G227" s="2" t="s">
        <v>5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IFERROR(__xludf.DUMMYFUNCTION("""COMPUTED_VALUE"""),10.16)</f>
        <v>10.16</v>
      </c>
      <c r="C228" s="1">
        <f>IFERROR(__xludf.DUMMYFUNCTION("""COMPUTED_VALUE"""),10.21)</f>
        <v>10.21</v>
      </c>
      <c r="D228" s="1">
        <f>IFERROR(__xludf.DUMMYFUNCTION("""COMPUTED_VALUE"""),9.95)</f>
        <v>9.95</v>
      </c>
      <c r="E228" s="1">
        <f>IFERROR(__xludf.DUMMYFUNCTION("""COMPUTED_VALUE"""),10.1)</f>
        <v>10.1</v>
      </c>
      <c r="F228" s="1">
        <f>IFERROR(__xludf.DUMMYFUNCTION("""COMPUTED_VALUE"""),5452795.0)</f>
        <v>5452795</v>
      </c>
      <c r="G228" s="2" t="s">
        <v>5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IFERROR(__xludf.DUMMYFUNCTION("""COMPUTED_VALUE"""),10.15)</f>
        <v>10.15</v>
      </c>
      <c r="C229" s="1">
        <f>IFERROR(__xludf.DUMMYFUNCTION("""COMPUTED_VALUE"""),10.21)</f>
        <v>10.21</v>
      </c>
      <c r="D229" s="1">
        <f>IFERROR(__xludf.DUMMYFUNCTION("""COMPUTED_VALUE"""),10.1)</f>
        <v>10.1</v>
      </c>
      <c r="E229" s="1">
        <f>IFERROR(__xludf.DUMMYFUNCTION("""COMPUTED_VALUE"""),10.21)</f>
        <v>10.21</v>
      </c>
      <c r="F229" s="1">
        <f>IFERROR(__xludf.DUMMYFUNCTION("""COMPUTED_VALUE"""),1.3274434E7)</f>
        <v>13274434</v>
      </c>
      <c r="G229" s="2" t="s">
        <v>5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IFERROR(__xludf.DUMMYFUNCTION("""COMPUTED_VALUE"""),10.15)</f>
        <v>10.15</v>
      </c>
      <c r="C230" s="1">
        <f>IFERROR(__xludf.DUMMYFUNCTION("""COMPUTED_VALUE"""),10.28)</f>
        <v>10.28</v>
      </c>
      <c r="D230" s="1">
        <f>IFERROR(__xludf.DUMMYFUNCTION("""COMPUTED_VALUE"""),10.15)</f>
        <v>10.15</v>
      </c>
      <c r="E230" s="1">
        <f>IFERROR(__xludf.DUMMYFUNCTION("""COMPUTED_VALUE"""),10.22)</f>
        <v>10.22</v>
      </c>
      <c r="F230" s="1">
        <f>IFERROR(__xludf.DUMMYFUNCTION("""COMPUTED_VALUE"""),6870303.0)</f>
        <v>6870303</v>
      </c>
      <c r="G230" s="2" t="s">
        <v>5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IFERROR(__xludf.DUMMYFUNCTION("""COMPUTED_VALUE"""),10.19)</f>
        <v>10.19</v>
      </c>
      <c r="C231" s="1">
        <f>IFERROR(__xludf.DUMMYFUNCTION("""COMPUTED_VALUE"""),10.24)</f>
        <v>10.24</v>
      </c>
      <c r="D231" s="1">
        <f>IFERROR(__xludf.DUMMYFUNCTION("""COMPUTED_VALUE"""),10.13)</f>
        <v>10.13</v>
      </c>
      <c r="E231" s="1">
        <f>IFERROR(__xludf.DUMMYFUNCTION("""COMPUTED_VALUE"""),10.17)</f>
        <v>10.17</v>
      </c>
      <c r="F231" s="1">
        <f>IFERROR(__xludf.DUMMYFUNCTION("""COMPUTED_VALUE"""),5604590.0)</f>
        <v>5604590</v>
      </c>
      <c r="G231" s="2" t="s">
        <v>5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IFERROR(__xludf.DUMMYFUNCTION("""COMPUTED_VALUE"""),10.21)</f>
        <v>10.21</v>
      </c>
      <c r="C232" s="1">
        <f>IFERROR(__xludf.DUMMYFUNCTION("""COMPUTED_VALUE"""),10.25)</f>
        <v>10.25</v>
      </c>
      <c r="D232" s="1">
        <f>IFERROR(__xludf.DUMMYFUNCTION("""COMPUTED_VALUE"""),10.17)</f>
        <v>10.17</v>
      </c>
      <c r="E232" s="1">
        <f>IFERROR(__xludf.DUMMYFUNCTION("""COMPUTED_VALUE"""),10.23)</f>
        <v>10.23</v>
      </c>
      <c r="F232" s="1">
        <f>IFERROR(__xludf.DUMMYFUNCTION("""COMPUTED_VALUE"""),6322090.0)</f>
        <v>6322090</v>
      </c>
      <c r="G232" s="2" t="s">
        <v>5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IFERROR(__xludf.DUMMYFUNCTION("""COMPUTED_VALUE"""),10.25)</f>
        <v>10.25</v>
      </c>
      <c r="C233" s="1">
        <f>IFERROR(__xludf.DUMMYFUNCTION("""COMPUTED_VALUE"""),10.42)</f>
        <v>10.42</v>
      </c>
      <c r="D233" s="1">
        <f>IFERROR(__xludf.DUMMYFUNCTION("""COMPUTED_VALUE"""),10.24)</f>
        <v>10.24</v>
      </c>
      <c r="E233" s="1">
        <f>IFERROR(__xludf.DUMMYFUNCTION("""COMPUTED_VALUE"""),10.37)</f>
        <v>10.37</v>
      </c>
      <c r="F233" s="1">
        <f>IFERROR(__xludf.DUMMYFUNCTION("""COMPUTED_VALUE"""),5644328.0)</f>
        <v>5644328</v>
      </c>
      <c r="G233" s="2" t="s">
        <v>5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IFERROR(__xludf.DUMMYFUNCTION("""COMPUTED_VALUE"""),10.5)</f>
        <v>10.5</v>
      </c>
      <c r="C234" s="1">
        <f>IFERROR(__xludf.DUMMYFUNCTION("""COMPUTED_VALUE"""),10.62)</f>
        <v>10.62</v>
      </c>
      <c r="D234" s="1">
        <f>IFERROR(__xludf.DUMMYFUNCTION("""COMPUTED_VALUE"""),10.33)</f>
        <v>10.33</v>
      </c>
      <c r="E234" s="1">
        <f>IFERROR(__xludf.DUMMYFUNCTION("""COMPUTED_VALUE"""),10.39)</f>
        <v>10.39</v>
      </c>
      <c r="F234" s="1">
        <f>IFERROR(__xludf.DUMMYFUNCTION("""COMPUTED_VALUE"""),7963727.0)</f>
        <v>7963727</v>
      </c>
      <c r="G234" s="2" t="s">
        <v>5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IFERROR(__xludf.DUMMYFUNCTION("""COMPUTED_VALUE"""),10.3)</f>
        <v>10.3</v>
      </c>
      <c r="C235" s="1">
        <f>IFERROR(__xludf.DUMMYFUNCTION("""COMPUTED_VALUE"""),10.35)</f>
        <v>10.35</v>
      </c>
      <c r="D235" s="1">
        <f>IFERROR(__xludf.DUMMYFUNCTION("""COMPUTED_VALUE"""),10.21)</f>
        <v>10.21</v>
      </c>
      <c r="E235" s="1">
        <f>IFERROR(__xludf.DUMMYFUNCTION("""COMPUTED_VALUE"""),10.21)</f>
        <v>10.21</v>
      </c>
      <c r="F235" s="1">
        <f>IFERROR(__xludf.DUMMYFUNCTION("""COMPUTED_VALUE"""),5924357.0)</f>
        <v>5924357</v>
      </c>
      <c r="G235" s="2" t="s">
        <v>5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IFERROR(__xludf.DUMMYFUNCTION("""COMPUTED_VALUE"""),10.28)</f>
        <v>10.28</v>
      </c>
      <c r="C236" s="1">
        <f>IFERROR(__xludf.DUMMYFUNCTION("""COMPUTED_VALUE"""),10.29)</f>
        <v>10.29</v>
      </c>
      <c r="D236" s="1">
        <f>IFERROR(__xludf.DUMMYFUNCTION("""COMPUTED_VALUE"""),10.09)</f>
        <v>10.09</v>
      </c>
      <c r="E236" s="1">
        <f>IFERROR(__xludf.DUMMYFUNCTION("""COMPUTED_VALUE"""),10.21)</f>
        <v>10.21</v>
      </c>
      <c r="F236" s="1">
        <f>IFERROR(__xludf.DUMMYFUNCTION("""COMPUTED_VALUE"""),4868105.0)</f>
        <v>4868105</v>
      </c>
      <c r="G236" s="2" t="s">
        <v>5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IFERROR(__xludf.DUMMYFUNCTION("""COMPUTED_VALUE"""),10.25)</f>
        <v>10.25</v>
      </c>
      <c r="C237" s="1">
        <f>IFERROR(__xludf.DUMMYFUNCTION("""COMPUTED_VALUE"""),10.3)</f>
        <v>10.3</v>
      </c>
      <c r="D237" s="1">
        <f>IFERROR(__xludf.DUMMYFUNCTION("""COMPUTED_VALUE"""),10.06)</f>
        <v>10.06</v>
      </c>
      <c r="E237" s="1">
        <f>IFERROR(__xludf.DUMMYFUNCTION("""COMPUTED_VALUE"""),10.12)</f>
        <v>10.12</v>
      </c>
      <c r="F237" s="1">
        <f>IFERROR(__xludf.DUMMYFUNCTION("""COMPUTED_VALUE"""),8038077.0)</f>
        <v>8038077</v>
      </c>
      <c r="G237" s="2" t="s">
        <v>5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IFERROR(__xludf.DUMMYFUNCTION("""COMPUTED_VALUE"""),10.18)</f>
        <v>10.18</v>
      </c>
      <c r="C238" s="1">
        <f>IFERROR(__xludf.DUMMYFUNCTION("""COMPUTED_VALUE"""),10.21)</f>
        <v>10.21</v>
      </c>
      <c r="D238" s="1">
        <f>IFERROR(__xludf.DUMMYFUNCTION("""COMPUTED_VALUE"""),9.9)</f>
        <v>9.9</v>
      </c>
      <c r="E238" s="1">
        <f>IFERROR(__xludf.DUMMYFUNCTION("""COMPUTED_VALUE"""),9.9)</f>
        <v>9.9</v>
      </c>
      <c r="F238" s="1">
        <f>IFERROR(__xludf.DUMMYFUNCTION("""COMPUTED_VALUE"""),9702468.0)</f>
        <v>9702468</v>
      </c>
      <c r="G238" s="2" t="s">
        <v>5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IFERROR(__xludf.DUMMYFUNCTION("""COMPUTED_VALUE"""),9.9)</f>
        <v>9.9</v>
      </c>
      <c r="C239" s="1">
        <f>IFERROR(__xludf.DUMMYFUNCTION("""COMPUTED_VALUE"""),10.05)</f>
        <v>10.05</v>
      </c>
      <c r="D239" s="1">
        <f>IFERROR(__xludf.DUMMYFUNCTION("""COMPUTED_VALUE"""),9.83)</f>
        <v>9.83</v>
      </c>
      <c r="E239" s="1">
        <f>IFERROR(__xludf.DUMMYFUNCTION("""COMPUTED_VALUE"""),10.02)</f>
        <v>10.02</v>
      </c>
      <c r="F239" s="1">
        <f>IFERROR(__xludf.DUMMYFUNCTION("""COMPUTED_VALUE"""),6972588.0)</f>
        <v>6972588</v>
      </c>
      <c r="G239" s="2" t="s">
        <v>5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IFERROR(__xludf.DUMMYFUNCTION("""COMPUTED_VALUE"""),10.18)</f>
        <v>10.18</v>
      </c>
      <c r="C240" s="1">
        <f>IFERROR(__xludf.DUMMYFUNCTION("""COMPUTED_VALUE"""),10.3)</f>
        <v>10.3</v>
      </c>
      <c r="D240" s="1">
        <f>IFERROR(__xludf.DUMMYFUNCTION("""COMPUTED_VALUE"""),10.14)</f>
        <v>10.14</v>
      </c>
      <c r="E240" s="1">
        <f>IFERROR(__xludf.DUMMYFUNCTION("""COMPUTED_VALUE"""),10.15)</f>
        <v>10.15</v>
      </c>
      <c r="F240" s="1">
        <f>IFERROR(__xludf.DUMMYFUNCTION("""COMPUTED_VALUE"""),8574648.0)</f>
        <v>8574648</v>
      </c>
      <c r="G240" s="2" t="s">
        <v>5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IFERROR(__xludf.DUMMYFUNCTION("""COMPUTED_VALUE"""),10.14)</f>
        <v>10.14</v>
      </c>
      <c r="C241" s="1">
        <f>IFERROR(__xludf.DUMMYFUNCTION("""COMPUTED_VALUE"""),10.18)</f>
        <v>10.18</v>
      </c>
      <c r="D241" s="1">
        <f>IFERROR(__xludf.DUMMYFUNCTION("""COMPUTED_VALUE"""),9.99)</f>
        <v>9.99</v>
      </c>
      <c r="E241" s="1">
        <f>IFERROR(__xludf.DUMMYFUNCTION("""COMPUTED_VALUE"""),10.07)</f>
        <v>10.07</v>
      </c>
      <c r="F241" s="1">
        <f>IFERROR(__xludf.DUMMYFUNCTION("""COMPUTED_VALUE"""),7514624.0)</f>
        <v>7514624</v>
      </c>
      <c r="G241" s="2" t="s">
        <v>5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IFERROR(__xludf.DUMMYFUNCTION("""COMPUTED_VALUE"""),10.01)</f>
        <v>10.01</v>
      </c>
      <c r="C242" s="1">
        <f>IFERROR(__xludf.DUMMYFUNCTION("""COMPUTED_VALUE"""),10.08)</f>
        <v>10.08</v>
      </c>
      <c r="D242" s="1">
        <f>IFERROR(__xludf.DUMMYFUNCTION("""COMPUTED_VALUE"""),9.94)</f>
        <v>9.94</v>
      </c>
      <c r="E242" s="1">
        <f>IFERROR(__xludf.DUMMYFUNCTION("""COMPUTED_VALUE"""),9.97)</f>
        <v>9.97</v>
      </c>
      <c r="F242" s="1">
        <f>IFERROR(__xludf.DUMMYFUNCTION("""COMPUTED_VALUE"""),6879955.0)</f>
        <v>6879955</v>
      </c>
      <c r="G242" s="2" t="s">
        <v>5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IFERROR(__xludf.DUMMYFUNCTION("""COMPUTED_VALUE"""),9.96)</f>
        <v>9.96</v>
      </c>
      <c r="C243" s="1">
        <f>IFERROR(__xludf.DUMMYFUNCTION("""COMPUTED_VALUE"""),10.08)</f>
        <v>10.08</v>
      </c>
      <c r="D243" s="1">
        <f>IFERROR(__xludf.DUMMYFUNCTION("""COMPUTED_VALUE"""),9.92)</f>
        <v>9.92</v>
      </c>
      <c r="E243" s="1">
        <f>IFERROR(__xludf.DUMMYFUNCTION("""COMPUTED_VALUE"""),10.02)</f>
        <v>10.02</v>
      </c>
      <c r="F243" s="1">
        <f>IFERROR(__xludf.DUMMYFUNCTION("""COMPUTED_VALUE"""),5573833.0)</f>
        <v>5573833</v>
      </c>
      <c r="G243" s="2" t="s">
        <v>5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IFERROR(__xludf.DUMMYFUNCTION("""COMPUTED_VALUE"""),10.05)</f>
        <v>10.05</v>
      </c>
      <c r="C244" s="1">
        <f>IFERROR(__xludf.DUMMYFUNCTION("""COMPUTED_VALUE"""),10.15)</f>
        <v>10.15</v>
      </c>
      <c r="D244" s="1">
        <f>IFERROR(__xludf.DUMMYFUNCTION("""COMPUTED_VALUE"""),9.93)</f>
        <v>9.93</v>
      </c>
      <c r="E244" s="1">
        <f>IFERROR(__xludf.DUMMYFUNCTION("""COMPUTED_VALUE"""),10.14)</f>
        <v>10.14</v>
      </c>
      <c r="F244" s="1">
        <f>IFERROR(__xludf.DUMMYFUNCTION("""COMPUTED_VALUE"""),6945486.0)</f>
        <v>6945486</v>
      </c>
      <c r="G244" s="2" t="s">
        <v>5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IFERROR(__xludf.DUMMYFUNCTION("""COMPUTED_VALUE"""),10.09)</f>
        <v>10.09</v>
      </c>
      <c r="C245" s="1">
        <f>IFERROR(__xludf.DUMMYFUNCTION("""COMPUTED_VALUE"""),10.14)</f>
        <v>10.14</v>
      </c>
      <c r="D245" s="1">
        <f>IFERROR(__xludf.DUMMYFUNCTION("""COMPUTED_VALUE"""),9.94)</f>
        <v>9.94</v>
      </c>
      <c r="E245" s="1">
        <f>IFERROR(__xludf.DUMMYFUNCTION("""COMPUTED_VALUE"""),10.01)</f>
        <v>10.01</v>
      </c>
      <c r="F245" s="1">
        <f>IFERROR(__xludf.DUMMYFUNCTION("""COMPUTED_VALUE"""),4997210.0)</f>
        <v>4997210</v>
      </c>
      <c r="G245" s="2" t="s">
        <v>5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IFERROR(__xludf.DUMMYFUNCTION("""COMPUTED_VALUE"""),10.08)</f>
        <v>10.08</v>
      </c>
      <c r="C246" s="1">
        <f>IFERROR(__xludf.DUMMYFUNCTION("""COMPUTED_VALUE"""),10.29)</f>
        <v>10.29</v>
      </c>
      <c r="D246" s="1">
        <f>IFERROR(__xludf.DUMMYFUNCTION("""COMPUTED_VALUE"""),10.05)</f>
        <v>10.05</v>
      </c>
      <c r="E246" s="1">
        <f>IFERROR(__xludf.DUMMYFUNCTION("""COMPUTED_VALUE"""),10.25)</f>
        <v>10.25</v>
      </c>
      <c r="F246" s="1">
        <f>IFERROR(__xludf.DUMMYFUNCTION("""COMPUTED_VALUE"""),8755542.0)</f>
        <v>8755542</v>
      </c>
      <c r="G246" s="2" t="s">
        <v>5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IFERROR(__xludf.DUMMYFUNCTION("""COMPUTED_VALUE"""),10.26)</f>
        <v>10.26</v>
      </c>
      <c r="C247" s="1">
        <f>IFERROR(__xludf.DUMMYFUNCTION("""COMPUTED_VALUE"""),10.29)</f>
        <v>10.29</v>
      </c>
      <c r="D247" s="1">
        <f>IFERROR(__xludf.DUMMYFUNCTION("""COMPUTED_VALUE"""),10.08)</f>
        <v>10.08</v>
      </c>
      <c r="E247" s="1">
        <f>IFERROR(__xludf.DUMMYFUNCTION("""COMPUTED_VALUE"""),10.09)</f>
        <v>10.09</v>
      </c>
      <c r="F247" s="1">
        <f>IFERROR(__xludf.DUMMYFUNCTION("""COMPUTED_VALUE"""),6248735.0)</f>
        <v>6248735</v>
      </c>
      <c r="G247" s="2" t="s">
        <v>5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IFERROR(__xludf.DUMMYFUNCTION("""COMPUTED_VALUE"""),10.0)</f>
        <v>10</v>
      </c>
      <c r="C248" s="1">
        <f>IFERROR(__xludf.DUMMYFUNCTION("""COMPUTED_VALUE"""),10.04)</f>
        <v>10.04</v>
      </c>
      <c r="D248" s="1">
        <f>IFERROR(__xludf.DUMMYFUNCTION("""COMPUTED_VALUE"""),9.68)</f>
        <v>9.68</v>
      </c>
      <c r="E248" s="1">
        <f>IFERROR(__xludf.DUMMYFUNCTION("""COMPUTED_VALUE"""),9.71)</f>
        <v>9.71</v>
      </c>
      <c r="F248" s="1">
        <f>IFERROR(__xludf.DUMMYFUNCTION("""COMPUTED_VALUE"""),1.3152769E7)</f>
        <v>13152769</v>
      </c>
      <c r="G248" s="2" t="s">
        <v>5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IFERROR(__xludf.DUMMYFUNCTION("""COMPUTED_VALUE"""),9.7)</f>
        <v>9.7</v>
      </c>
      <c r="C249" s="1">
        <f>IFERROR(__xludf.DUMMYFUNCTION("""COMPUTED_VALUE"""),9.94)</f>
        <v>9.94</v>
      </c>
      <c r="D249" s="1">
        <f>IFERROR(__xludf.DUMMYFUNCTION("""COMPUTED_VALUE"""),9.69)</f>
        <v>9.69</v>
      </c>
      <c r="E249" s="1">
        <f>IFERROR(__xludf.DUMMYFUNCTION("""COMPUTED_VALUE"""),9.9)</f>
        <v>9.9</v>
      </c>
      <c r="F249" s="1">
        <f>IFERROR(__xludf.DUMMYFUNCTION("""COMPUTED_VALUE"""),1.8360826E7)</f>
        <v>18360826</v>
      </c>
      <c r="G249" s="2" t="s">
        <v>5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IFERROR(__xludf.DUMMYFUNCTION("""COMPUTED_VALUE"""),9.9)</f>
        <v>9.9</v>
      </c>
      <c r="C250" s="1">
        <f>IFERROR(__xludf.DUMMYFUNCTION("""COMPUTED_VALUE"""),10.03)</f>
        <v>10.03</v>
      </c>
      <c r="D250" s="1">
        <f>IFERROR(__xludf.DUMMYFUNCTION("""COMPUTED_VALUE"""),9.89)</f>
        <v>9.89</v>
      </c>
      <c r="E250" s="1">
        <f>IFERROR(__xludf.DUMMYFUNCTION("""COMPUTED_VALUE"""),9.94)</f>
        <v>9.94</v>
      </c>
      <c r="F250" s="1">
        <f>IFERROR(__xludf.DUMMYFUNCTION("""COMPUTED_VALUE"""),5155022.0)</f>
        <v>5155022</v>
      </c>
      <c r="G250" s="2" t="s">
        <v>5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IFERROR(__xludf.DUMMYFUNCTION("""COMPUTED_VALUE"""),9.87)</f>
        <v>9.87</v>
      </c>
      <c r="C251" s="1">
        <f>IFERROR(__xludf.DUMMYFUNCTION("""COMPUTED_VALUE"""),10.51)</f>
        <v>10.51</v>
      </c>
      <c r="D251" s="1">
        <f>IFERROR(__xludf.DUMMYFUNCTION("""COMPUTED_VALUE"""),9.86)</f>
        <v>9.86</v>
      </c>
      <c r="E251" s="1">
        <f>IFERROR(__xludf.DUMMYFUNCTION("""COMPUTED_VALUE"""),10.51)</f>
        <v>10.51</v>
      </c>
      <c r="F251" s="1">
        <f>IFERROR(__xludf.DUMMYFUNCTION("""COMPUTED_VALUE"""),1.4956743E7)</f>
        <v>14956743</v>
      </c>
      <c r="G251" s="2" t="s">
        <v>5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IFERROR(__xludf.DUMMYFUNCTION("""COMPUTED_VALUE"""),10.55)</f>
        <v>10.55</v>
      </c>
      <c r="C252" s="1">
        <f>IFERROR(__xludf.DUMMYFUNCTION("""COMPUTED_VALUE"""),10.71)</f>
        <v>10.71</v>
      </c>
      <c r="D252" s="1">
        <f>IFERROR(__xludf.DUMMYFUNCTION("""COMPUTED_VALUE"""),10.33)</f>
        <v>10.33</v>
      </c>
      <c r="E252" s="1">
        <f>IFERROR(__xludf.DUMMYFUNCTION("""COMPUTED_VALUE"""),10.64)</f>
        <v>10.64</v>
      </c>
      <c r="F252" s="1">
        <f>IFERROR(__xludf.DUMMYFUNCTION("""COMPUTED_VALUE"""),8155800.0)</f>
        <v>8155800</v>
      </c>
      <c r="G252" s="2" t="s">
        <v>5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IFERROR(__xludf.DUMMYFUNCTION("""COMPUTED_VALUE"""),10.68)</f>
        <v>10.68</v>
      </c>
      <c r="C253" s="1">
        <f>IFERROR(__xludf.DUMMYFUNCTION("""COMPUTED_VALUE"""),10.79)</f>
        <v>10.79</v>
      </c>
      <c r="D253" s="1">
        <f>IFERROR(__xludf.DUMMYFUNCTION("""COMPUTED_VALUE"""),10.61)</f>
        <v>10.61</v>
      </c>
      <c r="E253" s="1">
        <f>IFERROR(__xludf.DUMMYFUNCTION("""COMPUTED_VALUE"""),10.64)</f>
        <v>10.64</v>
      </c>
      <c r="F253" s="1">
        <f>IFERROR(__xludf.DUMMYFUNCTION("""COMPUTED_VALUE"""),7529879.0)</f>
        <v>7529879</v>
      </c>
      <c r="G253" s="2" t="s">
        <v>5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IFERROR(__xludf.DUMMYFUNCTION("""COMPUTED_VALUE"""),10.67)</f>
        <v>10.67</v>
      </c>
      <c r="C254" s="1">
        <f>IFERROR(__xludf.DUMMYFUNCTION("""COMPUTED_VALUE"""),10.73)</f>
        <v>10.73</v>
      </c>
      <c r="D254" s="1">
        <f>IFERROR(__xludf.DUMMYFUNCTION("""COMPUTED_VALUE"""),10.61)</f>
        <v>10.61</v>
      </c>
      <c r="E254" s="1">
        <f>IFERROR(__xludf.DUMMYFUNCTION("""COMPUTED_VALUE"""),10.71)</f>
        <v>10.71</v>
      </c>
      <c r="F254" s="1">
        <f>IFERROR(__xludf.DUMMYFUNCTION("""COMPUTED_VALUE"""),3388365.0)</f>
        <v>3388365</v>
      </c>
      <c r="G254" s="2" t="s">
        <v>5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IFERROR(__xludf.DUMMYFUNCTION("""COMPUTED_VALUE"""),10.75)</f>
        <v>10.75</v>
      </c>
      <c r="C255" s="1">
        <f>IFERROR(__xludf.DUMMYFUNCTION("""COMPUTED_VALUE"""),10.79)</f>
        <v>10.79</v>
      </c>
      <c r="D255" s="1">
        <f>IFERROR(__xludf.DUMMYFUNCTION("""COMPUTED_VALUE"""),10.67)</f>
        <v>10.67</v>
      </c>
      <c r="E255" s="1">
        <f>IFERROR(__xludf.DUMMYFUNCTION("""COMPUTED_VALUE"""),10.71)</f>
        <v>10.71</v>
      </c>
      <c r="F255" s="1">
        <f>IFERROR(__xludf.DUMMYFUNCTION("""COMPUTED_VALUE"""),3160258.0)</f>
        <v>3160258</v>
      </c>
      <c r="G255" s="2" t="s">
        <v>5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IFERROR(__xludf.DUMMYFUNCTION("""COMPUTED_VALUE"""),10.74)</f>
        <v>10.74</v>
      </c>
      <c r="C256" s="1">
        <f>IFERROR(__xludf.DUMMYFUNCTION("""COMPUTED_VALUE"""),10.74)</f>
        <v>10.74</v>
      </c>
      <c r="D256" s="1">
        <f>IFERROR(__xludf.DUMMYFUNCTION("""COMPUTED_VALUE"""),10.59)</f>
        <v>10.59</v>
      </c>
      <c r="E256" s="1">
        <f>IFERROR(__xludf.DUMMYFUNCTION("""COMPUTED_VALUE"""),10.63)</f>
        <v>10.63</v>
      </c>
      <c r="F256" s="1">
        <f>IFERROR(__xludf.DUMMYFUNCTION("""COMPUTED_VALUE"""),3598372.0)</f>
        <v>3598372</v>
      </c>
      <c r="G256" s="2" t="s">
        <v>5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IFERROR(__xludf.DUMMYFUNCTION("""COMPUTED_VALUE"""),10.59)</f>
        <v>10.59</v>
      </c>
      <c r="C257" s="1">
        <f>IFERROR(__xludf.DUMMYFUNCTION("""COMPUTED_VALUE"""),10.72)</f>
        <v>10.72</v>
      </c>
      <c r="D257" s="1">
        <f>IFERROR(__xludf.DUMMYFUNCTION("""COMPUTED_VALUE"""),10.56)</f>
        <v>10.56</v>
      </c>
      <c r="E257" s="1">
        <f>IFERROR(__xludf.DUMMYFUNCTION("""COMPUTED_VALUE"""),10.7)</f>
        <v>10.7</v>
      </c>
      <c r="F257" s="1">
        <f>IFERROR(__xludf.DUMMYFUNCTION("""COMPUTED_VALUE"""),3979910.0)</f>
        <v>3979910</v>
      </c>
      <c r="G257" s="2" t="s">
        <v>5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IFERROR(__xludf.DUMMYFUNCTION("""COMPUTED_VALUE"""),10.67)</f>
        <v>10.67</v>
      </c>
      <c r="C258" s="1">
        <f>IFERROR(__xludf.DUMMYFUNCTION("""COMPUTED_VALUE"""),10.68)</f>
        <v>10.68</v>
      </c>
      <c r="D258" s="1">
        <f>IFERROR(__xludf.DUMMYFUNCTION("""COMPUTED_VALUE"""),10.59)</f>
        <v>10.59</v>
      </c>
      <c r="E258" s="1">
        <f>IFERROR(__xludf.DUMMYFUNCTION("""COMPUTED_VALUE"""),10.59)</f>
        <v>10.59</v>
      </c>
      <c r="F258" s="1">
        <f>IFERROR(__xludf.DUMMYFUNCTION("""COMPUTED_VALUE"""),3179716.0)</f>
        <v>3179716</v>
      </c>
      <c r="G258" s="2" t="s">
        <v>5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IFERROR(__xludf.DUMMYFUNCTION("""COMPUTED_VALUE"""),10.64)</f>
        <v>10.64</v>
      </c>
      <c r="C259" s="1">
        <f>IFERROR(__xludf.DUMMYFUNCTION("""COMPUTED_VALUE"""),11.0)</f>
        <v>11</v>
      </c>
      <c r="D259" s="1">
        <f>IFERROR(__xludf.DUMMYFUNCTION("""COMPUTED_VALUE"""),10.64)</f>
        <v>10.64</v>
      </c>
      <c r="E259" s="1">
        <f>IFERROR(__xludf.DUMMYFUNCTION("""COMPUTED_VALUE"""),10.94)</f>
        <v>10.94</v>
      </c>
      <c r="F259" s="1">
        <f>IFERROR(__xludf.DUMMYFUNCTION("""COMPUTED_VALUE"""),5904673.0)</f>
        <v>5904673</v>
      </c>
      <c r="G259" s="2" t="s">
        <v>5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IFERROR(__xludf.DUMMYFUNCTION("""COMPUTED_VALUE"""),10.9)</f>
        <v>10.9</v>
      </c>
      <c r="C260" s="1">
        <f>IFERROR(__xludf.DUMMYFUNCTION("""COMPUTED_VALUE"""),11.14)</f>
        <v>11.14</v>
      </c>
      <c r="D260" s="1">
        <f>IFERROR(__xludf.DUMMYFUNCTION("""COMPUTED_VALUE"""),10.87)</f>
        <v>10.87</v>
      </c>
      <c r="E260" s="1">
        <f>IFERROR(__xludf.DUMMYFUNCTION("""COMPUTED_VALUE"""),11.11)</f>
        <v>11.11</v>
      </c>
      <c r="F260" s="1">
        <f>IFERROR(__xludf.DUMMYFUNCTION("""COMPUTED_VALUE"""),8306776.0)</f>
        <v>8306776</v>
      </c>
      <c r="G260" s="2" t="s">
        <v>5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IFERROR(__xludf.DUMMYFUNCTION("""COMPUTED_VALUE"""),11.11)</f>
        <v>11.11</v>
      </c>
      <c r="C261" s="1">
        <f>IFERROR(__xludf.DUMMYFUNCTION("""COMPUTED_VALUE"""),11.74)</f>
        <v>11.74</v>
      </c>
      <c r="D261" s="1">
        <f>IFERROR(__xludf.DUMMYFUNCTION("""COMPUTED_VALUE"""),11.1)</f>
        <v>11.1</v>
      </c>
      <c r="E261" s="1">
        <f>IFERROR(__xludf.DUMMYFUNCTION("""COMPUTED_VALUE"""),11.7)</f>
        <v>11.7</v>
      </c>
      <c r="F261" s="1">
        <f>IFERROR(__xludf.DUMMYFUNCTION("""COMPUTED_VALUE"""),1.4036108E7)</f>
        <v>14036108</v>
      </c>
      <c r="G261" s="2" t="s">
        <v>5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IFERROR(__xludf.DUMMYFUNCTION("""COMPUTED_VALUE"""),11.71)</f>
        <v>11.71</v>
      </c>
      <c r="C262" s="1">
        <f>IFERROR(__xludf.DUMMYFUNCTION("""COMPUTED_VALUE"""),11.71)</f>
        <v>11.71</v>
      </c>
      <c r="D262" s="1">
        <f>IFERROR(__xludf.DUMMYFUNCTION("""COMPUTED_VALUE"""),11.42)</f>
        <v>11.42</v>
      </c>
      <c r="E262" s="1">
        <f>IFERROR(__xludf.DUMMYFUNCTION("""COMPUTED_VALUE"""),11.49)</f>
        <v>11.49</v>
      </c>
      <c r="F262" s="1">
        <f>IFERROR(__xludf.DUMMYFUNCTION("""COMPUTED_VALUE"""),1.0433214E7)</f>
        <v>10433214</v>
      </c>
      <c r="G262" s="2" t="s">
        <v>5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IFERROR(__xludf.DUMMYFUNCTION("""COMPUTED_VALUE"""),11.5)</f>
        <v>11.5</v>
      </c>
      <c r="C263" s="1">
        <f>IFERROR(__xludf.DUMMYFUNCTION("""COMPUTED_VALUE"""),11.62)</f>
        <v>11.62</v>
      </c>
      <c r="D263" s="1">
        <f>IFERROR(__xludf.DUMMYFUNCTION("""COMPUTED_VALUE"""),11.36)</f>
        <v>11.36</v>
      </c>
      <c r="E263" s="1">
        <f>IFERROR(__xludf.DUMMYFUNCTION("""COMPUTED_VALUE"""),11.6)</f>
        <v>11.6</v>
      </c>
      <c r="F263" s="1">
        <f>IFERROR(__xludf.DUMMYFUNCTION("""COMPUTED_VALUE"""),9616404.0)</f>
        <v>9616404</v>
      </c>
      <c r="G263" s="2" t="s">
        <v>5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IFERROR(__xludf.DUMMYFUNCTION("""COMPUTED_VALUE"""),11.6)</f>
        <v>11.6</v>
      </c>
      <c r="C264" s="1">
        <f>IFERROR(__xludf.DUMMYFUNCTION("""COMPUTED_VALUE"""),11.76)</f>
        <v>11.76</v>
      </c>
      <c r="D264" s="1">
        <f>IFERROR(__xludf.DUMMYFUNCTION("""COMPUTED_VALUE"""),11.59)</f>
        <v>11.59</v>
      </c>
      <c r="E264" s="1">
        <f>IFERROR(__xludf.DUMMYFUNCTION("""COMPUTED_VALUE"""),11.71)</f>
        <v>11.71</v>
      </c>
      <c r="F264" s="1">
        <f>IFERROR(__xludf.DUMMYFUNCTION("""COMPUTED_VALUE"""),8536936.0)</f>
        <v>8536936</v>
      </c>
      <c r="G264" s="2" t="s">
        <v>5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IFERROR(__xludf.DUMMYFUNCTION("""COMPUTED_VALUE"""),11.63)</f>
        <v>11.63</v>
      </c>
      <c r="C265" s="1">
        <f>IFERROR(__xludf.DUMMYFUNCTION("""COMPUTED_VALUE"""),11.71)</f>
        <v>11.71</v>
      </c>
      <c r="D265" s="1">
        <f>IFERROR(__xludf.DUMMYFUNCTION("""COMPUTED_VALUE"""),11.54)</f>
        <v>11.54</v>
      </c>
      <c r="E265" s="1">
        <f>IFERROR(__xludf.DUMMYFUNCTION("""COMPUTED_VALUE"""),11.66)</f>
        <v>11.66</v>
      </c>
      <c r="F265" s="1">
        <f>IFERROR(__xludf.DUMMYFUNCTION("""COMPUTED_VALUE"""),6334552.0)</f>
        <v>6334552</v>
      </c>
      <c r="G265" s="2" t="s">
        <v>5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IFERROR(__xludf.DUMMYFUNCTION("""COMPUTED_VALUE"""),11.72)</f>
        <v>11.72</v>
      </c>
      <c r="C266" s="1">
        <f>IFERROR(__xludf.DUMMYFUNCTION("""COMPUTED_VALUE"""),11.81)</f>
        <v>11.81</v>
      </c>
      <c r="D266" s="1">
        <f>IFERROR(__xludf.DUMMYFUNCTION("""COMPUTED_VALUE"""),11.61)</f>
        <v>11.61</v>
      </c>
      <c r="E266" s="1">
        <f>IFERROR(__xludf.DUMMYFUNCTION("""COMPUTED_VALUE"""),11.7)</f>
        <v>11.7</v>
      </c>
      <c r="F266" s="1">
        <f>IFERROR(__xludf.DUMMYFUNCTION("""COMPUTED_VALUE"""),7080438.0)</f>
        <v>7080438</v>
      </c>
      <c r="G266" s="2" t="s">
        <v>5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IFERROR(__xludf.DUMMYFUNCTION("""COMPUTED_VALUE"""),11.76)</f>
        <v>11.76</v>
      </c>
      <c r="C267" s="1">
        <f>IFERROR(__xludf.DUMMYFUNCTION("""COMPUTED_VALUE"""),11.88)</f>
        <v>11.88</v>
      </c>
      <c r="D267" s="1">
        <f>IFERROR(__xludf.DUMMYFUNCTION("""COMPUTED_VALUE"""),11.7)</f>
        <v>11.7</v>
      </c>
      <c r="E267" s="1">
        <f>IFERROR(__xludf.DUMMYFUNCTION("""COMPUTED_VALUE"""),11.76)</f>
        <v>11.76</v>
      </c>
      <c r="F267" s="1">
        <f>IFERROR(__xludf.DUMMYFUNCTION("""COMPUTED_VALUE"""),7619292.0)</f>
        <v>7619292</v>
      </c>
      <c r="G267" s="2" t="s">
        <v>5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IFERROR(__xludf.DUMMYFUNCTION("""COMPUTED_VALUE"""),11.8)</f>
        <v>11.8</v>
      </c>
      <c r="C268" s="1">
        <f>IFERROR(__xludf.DUMMYFUNCTION("""COMPUTED_VALUE"""),11.83)</f>
        <v>11.83</v>
      </c>
      <c r="D268" s="1">
        <f>IFERROR(__xludf.DUMMYFUNCTION("""COMPUTED_VALUE"""),11.51)</f>
        <v>11.51</v>
      </c>
      <c r="E268" s="1">
        <f>IFERROR(__xludf.DUMMYFUNCTION("""COMPUTED_VALUE"""),11.69)</f>
        <v>11.69</v>
      </c>
      <c r="F268" s="1">
        <f>IFERROR(__xludf.DUMMYFUNCTION("""COMPUTED_VALUE"""),9428713.0)</f>
        <v>9428713</v>
      </c>
      <c r="G268" s="2" t="s">
        <v>5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IFERROR(__xludf.DUMMYFUNCTION("""COMPUTED_VALUE"""),11.77)</f>
        <v>11.77</v>
      </c>
      <c r="C269" s="1">
        <f>IFERROR(__xludf.DUMMYFUNCTION("""COMPUTED_VALUE"""),11.91)</f>
        <v>11.91</v>
      </c>
      <c r="D269" s="1">
        <f>IFERROR(__xludf.DUMMYFUNCTION("""COMPUTED_VALUE"""),11.75)</f>
        <v>11.75</v>
      </c>
      <c r="E269" s="1">
        <f>IFERROR(__xludf.DUMMYFUNCTION("""COMPUTED_VALUE"""),11.8)</f>
        <v>11.8</v>
      </c>
      <c r="F269" s="1">
        <f>IFERROR(__xludf.DUMMYFUNCTION("""COMPUTED_VALUE"""),6139378.0)</f>
        <v>6139378</v>
      </c>
      <c r="G269" s="2" t="s">
        <v>5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IFERROR(__xludf.DUMMYFUNCTION("""COMPUTED_VALUE"""),11.8)</f>
        <v>11.8</v>
      </c>
      <c r="C270" s="1">
        <f>IFERROR(__xludf.DUMMYFUNCTION("""COMPUTED_VALUE"""),12.06)</f>
        <v>12.06</v>
      </c>
      <c r="D270" s="1">
        <f>IFERROR(__xludf.DUMMYFUNCTION("""COMPUTED_VALUE"""),11.78)</f>
        <v>11.78</v>
      </c>
      <c r="E270" s="1">
        <f>IFERROR(__xludf.DUMMYFUNCTION("""COMPUTED_VALUE"""),11.94)</f>
        <v>11.94</v>
      </c>
      <c r="F270" s="1">
        <f>IFERROR(__xludf.DUMMYFUNCTION("""COMPUTED_VALUE"""),9266647.0)</f>
        <v>9266647</v>
      </c>
      <c r="G270" s="2" t="s">
        <v>5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IFERROR(__xludf.DUMMYFUNCTION("""COMPUTED_VALUE"""),11.9)</f>
        <v>11.9</v>
      </c>
      <c r="C271" s="1">
        <f>IFERROR(__xludf.DUMMYFUNCTION("""COMPUTED_VALUE"""),12.02)</f>
        <v>12.02</v>
      </c>
      <c r="D271" s="1">
        <f>IFERROR(__xludf.DUMMYFUNCTION("""COMPUTED_VALUE"""),11.88)</f>
        <v>11.88</v>
      </c>
      <c r="E271" s="1">
        <f>IFERROR(__xludf.DUMMYFUNCTION("""COMPUTED_VALUE"""),12.0)</f>
        <v>12</v>
      </c>
      <c r="F271" s="1">
        <f>IFERROR(__xludf.DUMMYFUNCTION("""COMPUTED_VALUE"""),8855482.0)</f>
        <v>8855482</v>
      </c>
      <c r="G271" s="2" t="s">
        <v>5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IFERROR(__xludf.DUMMYFUNCTION("""COMPUTED_VALUE"""),11.83)</f>
        <v>11.83</v>
      </c>
      <c r="C272" s="1">
        <f>IFERROR(__xludf.DUMMYFUNCTION("""COMPUTED_VALUE"""),11.99)</f>
        <v>11.99</v>
      </c>
      <c r="D272" s="1">
        <f>IFERROR(__xludf.DUMMYFUNCTION("""COMPUTED_VALUE"""),11.63)</f>
        <v>11.63</v>
      </c>
      <c r="E272" s="1">
        <f>IFERROR(__xludf.DUMMYFUNCTION("""COMPUTED_VALUE"""),11.75)</f>
        <v>11.75</v>
      </c>
      <c r="F272" s="1">
        <f>IFERROR(__xludf.DUMMYFUNCTION("""COMPUTED_VALUE"""),9530764.0)</f>
        <v>9530764</v>
      </c>
      <c r="G272" s="2" t="s">
        <v>5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IFERROR(__xludf.DUMMYFUNCTION("""COMPUTED_VALUE"""),11.84)</f>
        <v>11.84</v>
      </c>
      <c r="C273" s="1">
        <f>IFERROR(__xludf.DUMMYFUNCTION("""COMPUTED_VALUE"""),12.09)</f>
        <v>12.09</v>
      </c>
      <c r="D273" s="1">
        <f>IFERROR(__xludf.DUMMYFUNCTION("""COMPUTED_VALUE"""),11.83)</f>
        <v>11.83</v>
      </c>
      <c r="E273" s="1">
        <f>IFERROR(__xludf.DUMMYFUNCTION("""COMPUTED_VALUE"""),11.98)</f>
        <v>11.98</v>
      </c>
      <c r="F273" s="1">
        <f>IFERROR(__xludf.DUMMYFUNCTION("""COMPUTED_VALUE"""),8561500.0)</f>
        <v>8561500</v>
      </c>
      <c r="G273" s="2" t="s">
        <v>5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IFERROR(__xludf.DUMMYFUNCTION("""COMPUTED_VALUE"""),12.02)</f>
        <v>12.02</v>
      </c>
      <c r="C274" s="1">
        <f>IFERROR(__xludf.DUMMYFUNCTION("""COMPUTED_VALUE"""),12.06)</f>
        <v>12.06</v>
      </c>
      <c r="D274" s="1">
        <f>IFERROR(__xludf.DUMMYFUNCTION("""COMPUTED_VALUE"""),11.9)</f>
        <v>11.9</v>
      </c>
      <c r="E274" s="1">
        <f>IFERROR(__xludf.DUMMYFUNCTION("""COMPUTED_VALUE"""),11.92)</f>
        <v>11.92</v>
      </c>
      <c r="F274" s="1">
        <f>IFERROR(__xludf.DUMMYFUNCTION("""COMPUTED_VALUE"""),5341974.0)</f>
        <v>5341974</v>
      </c>
      <c r="G274" s="2" t="s">
        <v>5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IFERROR(__xludf.DUMMYFUNCTION("""COMPUTED_VALUE"""),11.95)</f>
        <v>11.95</v>
      </c>
      <c r="C275" s="1">
        <f>IFERROR(__xludf.DUMMYFUNCTION("""COMPUTED_VALUE"""),12.02)</f>
        <v>12.02</v>
      </c>
      <c r="D275" s="1">
        <f>IFERROR(__xludf.DUMMYFUNCTION("""COMPUTED_VALUE"""),11.84)</f>
        <v>11.84</v>
      </c>
      <c r="E275" s="1">
        <f>IFERROR(__xludf.DUMMYFUNCTION("""COMPUTED_VALUE"""),11.98)</f>
        <v>11.98</v>
      </c>
      <c r="F275" s="1">
        <f>IFERROR(__xludf.DUMMYFUNCTION("""COMPUTED_VALUE"""),5781917.0)</f>
        <v>5781917</v>
      </c>
      <c r="G275" s="2" t="s">
        <v>5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IFERROR(__xludf.DUMMYFUNCTION("""COMPUTED_VALUE"""),11.83)</f>
        <v>11.83</v>
      </c>
      <c r="C276" s="1">
        <f>IFERROR(__xludf.DUMMYFUNCTION("""COMPUTED_VALUE"""),11.91)</f>
        <v>11.91</v>
      </c>
      <c r="D276" s="1">
        <f>IFERROR(__xludf.DUMMYFUNCTION("""COMPUTED_VALUE"""),11.51)</f>
        <v>11.51</v>
      </c>
      <c r="E276" s="1">
        <f>IFERROR(__xludf.DUMMYFUNCTION("""COMPUTED_VALUE"""),11.91)</f>
        <v>11.91</v>
      </c>
      <c r="F276" s="1">
        <f>IFERROR(__xludf.DUMMYFUNCTION("""COMPUTED_VALUE"""),1.1874918E7)</f>
        <v>11874918</v>
      </c>
      <c r="G276" s="2" t="s">
        <v>5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IFERROR(__xludf.DUMMYFUNCTION("""COMPUTED_VALUE"""),11.98)</f>
        <v>11.98</v>
      </c>
      <c r="C277" s="1">
        <f>IFERROR(__xludf.DUMMYFUNCTION("""COMPUTED_VALUE"""),12.14)</f>
        <v>12.14</v>
      </c>
      <c r="D277" s="1">
        <f>IFERROR(__xludf.DUMMYFUNCTION("""COMPUTED_VALUE"""),11.92)</f>
        <v>11.92</v>
      </c>
      <c r="E277" s="1">
        <f>IFERROR(__xludf.DUMMYFUNCTION("""COMPUTED_VALUE"""),12.13)</f>
        <v>12.13</v>
      </c>
      <c r="F277" s="1">
        <f>IFERROR(__xludf.DUMMYFUNCTION("""COMPUTED_VALUE"""),9457563.0)</f>
        <v>9457563</v>
      </c>
      <c r="G277" s="2" t="s">
        <v>5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IFERROR(__xludf.DUMMYFUNCTION("""COMPUTED_VALUE"""),12.18)</f>
        <v>12.18</v>
      </c>
      <c r="C278" s="1">
        <f>IFERROR(__xludf.DUMMYFUNCTION("""COMPUTED_VALUE"""),12.36)</f>
        <v>12.36</v>
      </c>
      <c r="D278" s="1">
        <f>IFERROR(__xludf.DUMMYFUNCTION("""COMPUTED_VALUE"""),12.15)</f>
        <v>12.15</v>
      </c>
      <c r="E278" s="1">
        <f>IFERROR(__xludf.DUMMYFUNCTION("""COMPUTED_VALUE"""),12.34)</f>
        <v>12.34</v>
      </c>
      <c r="F278" s="1">
        <f>IFERROR(__xludf.DUMMYFUNCTION("""COMPUTED_VALUE"""),8385645.0)</f>
        <v>8385645</v>
      </c>
      <c r="G278" s="2" t="s">
        <v>5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IFERROR(__xludf.DUMMYFUNCTION("""COMPUTED_VALUE"""),12.31)</f>
        <v>12.31</v>
      </c>
      <c r="C279" s="1">
        <f>IFERROR(__xludf.DUMMYFUNCTION("""COMPUTED_VALUE"""),12.36)</f>
        <v>12.36</v>
      </c>
      <c r="D279" s="1">
        <f>IFERROR(__xludf.DUMMYFUNCTION("""COMPUTED_VALUE"""),12.18)</f>
        <v>12.18</v>
      </c>
      <c r="E279" s="1">
        <f>IFERROR(__xludf.DUMMYFUNCTION("""COMPUTED_VALUE"""),12.28)</f>
        <v>12.28</v>
      </c>
      <c r="F279" s="1">
        <f>IFERROR(__xludf.DUMMYFUNCTION("""COMPUTED_VALUE"""),6856758.0)</f>
        <v>6856758</v>
      </c>
      <c r="G279" s="2" t="s">
        <v>5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IFERROR(__xludf.DUMMYFUNCTION("""COMPUTED_VALUE"""),12.34)</f>
        <v>12.34</v>
      </c>
      <c r="C280" s="1">
        <f>IFERROR(__xludf.DUMMYFUNCTION("""COMPUTED_VALUE"""),12.34)</f>
        <v>12.34</v>
      </c>
      <c r="D280" s="1">
        <f>IFERROR(__xludf.DUMMYFUNCTION("""COMPUTED_VALUE"""),12.09)</f>
        <v>12.09</v>
      </c>
      <c r="E280" s="1">
        <f>IFERROR(__xludf.DUMMYFUNCTION("""COMPUTED_VALUE"""),12.21)</f>
        <v>12.21</v>
      </c>
      <c r="F280" s="1">
        <f>IFERROR(__xludf.DUMMYFUNCTION("""COMPUTED_VALUE"""),7382450.0)</f>
        <v>7382450</v>
      </c>
      <c r="G280" s="2" t="s">
        <v>5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IFERROR(__xludf.DUMMYFUNCTION("""COMPUTED_VALUE"""),12.23)</f>
        <v>12.23</v>
      </c>
      <c r="C281" s="1">
        <f>IFERROR(__xludf.DUMMYFUNCTION("""COMPUTED_VALUE"""),12.35)</f>
        <v>12.35</v>
      </c>
      <c r="D281" s="1">
        <f>IFERROR(__xludf.DUMMYFUNCTION("""COMPUTED_VALUE"""),12.12)</f>
        <v>12.12</v>
      </c>
      <c r="E281" s="1">
        <f>IFERROR(__xludf.DUMMYFUNCTION("""COMPUTED_VALUE"""),12.25)</f>
        <v>12.25</v>
      </c>
      <c r="F281" s="1">
        <f>IFERROR(__xludf.DUMMYFUNCTION("""COMPUTED_VALUE"""),8527714.0)</f>
        <v>8527714</v>
      </c>
      <c r="G281" s="2" t="s">
        <v>5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IFERROR(__xludf.DUMMYFUNCTION("""COMPUTED_VALUE"""),12.29)</f>
        <v>12.29</v>
      </c>
      <c r="C282" s="1">
        <f>IFERROR(__xludf.DUMMYFUNCTION("""COMPUTED_VALUE"""),12.31)</f>
        <v>12.31</v>
      </c>
      <c r="D282" s="1">
        <f>IFERROR(__xludf.DUMMYFUNCTION("""COMPUTED_VALUE"""),11.39)</f>
        <v>11.39</v>
      </c>
      <c r="E282" s="1">
        <f>IFERROR(__xludf.DUMMYFUNCTION("""COMPUTED_VALUE"""),11.46)</f>
        <v>11.46</v>
      </c>
      <c r="F282" s="1">
        <f>IFERROR(__xludf.DUMMYFUNCTION("""COMPUTED_VALUE"""),4.7541873E7)</f>
        <v>47541873</v>
      </c>
      <c r="G282" s="2" t="s">
        <v>5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IFERROR(__xludf.DUMMYFUNCTION("""COMPUTED_VALUE"""),11.52)</f>
        <v>11.52</v>
      </c>
      <c r="C283" s="1">
        <f>IFERROR(__xludf.DUMMYFUNCTION("""COMPUTED_VALUE"""),11.59)</f>
        <v>11.59</v>
      </c>
      <c r="D283" s="1">
        <f>IFERROR(__xludf.DUMMYFUNCTION("""COMPUTED_VALUE"""),11.31)</f>
        <v>11.31</v>
      </c>
      <c r="E283" s="1">
        <f>IFERROR(__xludf.DUMMYFUNCTION("""COMPUTED_VALUE"""),11.53)</f>
        <v>11.53</v>
      </c>
      <c r="F283" s="1">
        <f>IFERROR(__xludf.DUMMYFUNCTION("""COMPUTED_VALUE"""),1.5935309E7)</f>
        <v>15935309</v>
      </c>
      <c r="G283" s="2" t="s">
        <v>5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IFERROR(__xludf.DUMMYFUNCTION("""COMPUTED_VALUE"""),11.42)</f>
        <v>11.42</v>
      </c>
      <c r="C284" s="1">
        <f>IFERROR(__xludf.DUMMYFUNCTION("""COMPUTED_VALUE"""),11.45)</f>
        <v>11.45</v>
      </c>
      <c r="D284" s="1">
        <f>IFERROR(__xludf.DUMMYFUNCTION("""COMPUTED_VALUE"""),11.18)</f>
        <v>11.18</v>
      </c>
      <c r="E284" s="1">
        <f>IFERROR(__xludf.DUMMYFUNCTION("""COMPUTED_VALUE"""),11.36)</f>
        <v>11.36</v>
      </c>
      <c r="F284" s="1">
        <f>IFERROR(__xludf.DUMMYFUNCTION("""COMPUTED_VALUE"""),9137764.0)</f>
        <v>9137764</v>
      </c>
      <c r="G284" s="2" t="s">
        <v>5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IFERROR(__xludf.DUMMYFUNCTION("""COMPUTED_VALUE"""),11.41)</f>
        <v>11.41</v>
      </c>
      <c r="C285" s="1">
        <f>IFERROR(__xludf.DUMMYFUNCTION("""COMPUTED_VALUE"""),11.53)</f>
        <v>11.53</v>
      </c>
      <c r="D285" s="1">
        <f>IFERROR(__xludf.DUMMYFUNCTION("""COMPUTED_VALUE"""),11.3)</f>
        <v>11.3</v>
      </c>
      <c r="E285" s="1">
        <f>IFERROR(__xludf.DUMMYFUNCTION("""COMPUTED_VALUE"""),11.53)</f>
        <v>11.53</v>
      </c>
      <c r="F285" s="1">
        <f>IFERROR(__xludf.DUMMYFUNCTION("""COMPUTED_VALUE"""),6676906.0)</f>
        <v>6676906</v>
      </c>
      <c r="G285" s="2" t="s">
        <v>5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IFERROR(__xludf.DUMMYFUNCTION("""COMPUTED_VALUE"""),11.68)</f>
        <v>11.68</v>
      </c>
      <c r="C286" s="1">
        <f>IFERROR(__xludf.DUMMYFUNCTION("""COMPUTED_VALUE"""),11.72)</f>
        <v>11.72</v>
      </c>
      <c r="D286" s="1">
        <f>IFERROR(__xludf.DUMMYFUNCTION("""COMPUTED_VALUE"""),11.6)</f>
        <v>11.6</v>
      </c>
      <c r="E286" s="1">
        <f>IFERROR(__xludf.DUMMYFUNCTION("""COMPUTED_VALUE"""),11.67)</f>
        <v>11.67</v>
      </c>
      <c r="F286" s="1">
        <f>IFERROR(__xludf.DUMMYFUNCTION("""COMPUTED_VALUE"""),9447917.0)</f>
        <v>9447917</v>
      </c>
      <c r="G286" s="2" t="s">
        <v>5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IFERROR(__xludf.DUMMYFUNCTION("""COMPUTED_VALUE"""),11.72)</f>
        <v>11.72</v>
      </c>
      <c r="C287" s="1">
        <f>IFERROR(__xludf.DUMMYFUNCTION("""COMPUTED_VALUE"""),11.82)</f>
        <v>11.82</v>
      </c>
      <c r="D287" s="1">
        <f>IFERROR(__xludf.DUMMYFUNCTION("""COMPUTED_VALUE"""),11.67)</f>
        <v>11.67</v>
      </c>
      <c r="E287" s="1">
        <f>IFERROR(__xludf.DUMMYFUNCTION("""COMPUTED_VALUE"""),11.7)</f>
        <v>11.7</v>
      </c>
      <c r="F287" s="1">
        <f>IFERROR(__xludf.DUMMYFUNCTION("""COMPUTED_VALUE"""),6674936.0)</f>
        <v>6674936</v>
      </c>
      <c r="G287" s="2" t="s">
        <v>5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IFERROR(__xludf.DUMMYFUNCTION("""COMPUTED_VALUE"""),11.56)</f>
        <v>11.56</v>
      </c>
      <c r="C288" s="1">
        <f>IFERROR(__xludf.DUMMYFUNCTION("""COMPUTED_VALUE"""),11.59)</f>
        <v>11.59</v>
      </c>
      <c r="D288" s="1">
        <f>IFERROR(__xludf.DUMMYFUNCTION("""COMPUTED_VALUE"""),11.27)</f>
        <v>11.27</v>
      </c>
      <c r="E288" s="1">
        <f>IFERROR(__xludf.DUMMYFUNCTION("""COMPUTED_VALUE"""),11.34)</f>
        <v>11.34</v>
      </c>
      <c r="F288" s="1">
        <f>IFERROR(__xludf.DUMMYFUNCTION("""COMPUTED_VALUE"""),1.1291653E7)</f>
        <v>11291653</v>
      </c>
      <c r="G288" s="2" t="s">
        <v>5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IFERROR(__xludf.DUMMYFUNCTION("""COMPUTED_VALUE"""),11.3)</f>
        <v>11.3</v>
      </c>
      <c r="C289" s="1">
        <f>IFERROR(__xludf.DUMMYFUNCTION("""COMPUTED_VALUE"""),11.42)</f>
        <v>11.42</v>
      </c>
      <c r="D289" s="1">
        <f>IFERROR(__xludf.DUMMYFUNCTION("""COMPUTED_VALUE"""),11.29)</f>
        <v>11.29</v>
      </c>
      <c r="E289" s="1">
        <f>IFERROR(__xludf.DUMMYFUNCTION("""COMPUTED_VALUE"""),11.37)</f>
        <v>11.37</v>
      </c>
      <c r="F289" s="1">
        <f>IFERROR(__xludf.DUMMYFUNCTION("""COMPUTED_VALUE"""),5556598.0)</f>
        <v>5556598</v>
      </c>
      <c r="G289" s="2" t="s">
        <v>5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IFERROR(__xludf.DUMMYFUNCTION("""COMPUTED_VALUE"""),11.47)</f>
        <v>11.47</v>
      </c>
      <c r="C290" s="1">
        <f>IFERROR(__xludf.DUMMYFUNCTION("""COMPUTED_VALUE"""),11.61)</f>
        <v>11.61</v>
      </c>
      <c r="D290" s="1">
        <f>IFERROR(__xludf.DUMMYFUNCTION("""COMPUTED_VALUE"""),11.3)</f>
        <v>11.3</v>
      </c>
      <c r="E290" s="1">
        <f>IFERROR(__xludf.DUMMYFUNCTION("""COMPUTED_VALUE"""),11.55)</f>
        <v>11.55</v>
      </c>
      <c r="F290" s="1">
        <f>IFERROR(__xludf.DUMMYFUNCTION("""COMPUTED_VALUE"""),9340518.0)</f>
        <v>9340518</v>
      </c>
      <c r="G290" s="2" t="s">
        <v>5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IFERROR(__xludf.DUMMYFUNCTION("""COMPUTED_VALUE"""),11.45)</f>
        <v>11.45</v>
      </c>
      <c r="C291" s="1">
        <f>IFERROR(__xludf.DUMMYFUNCTION("""COMPUTED_VALUE"""),11.57)</f>
        <v>11.57</v>
      </c>
      <c r="D291" s="1">
        <f>IFERROR(__xludf.DUMMYFUNCTION("""COMPUTED_VALUE"""),11.39)</f>
        <v>11.39</v>
      </c>
      <c r="E291" s="1">
        <f>IFERROR(__xludf.DUMMYFUNCTION("""COMPUTED_VALUE"""),11.41)</f>
        <v>11.41</v>
      </c>
      <c r="F291" s="1">
        <f>IFERROR(__xludf.DUMMYFUNCTION("""COMPUTED_VALUE"""),7289623.0)</f>
        <v>7289623</v>
      </c>
      <c r="G291" s="2" t="s">
        <v>5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IFERROR(__xludf.DUMMYFUNCTION("""COMPUTED_VALUE"""),11.55)</f>
        <v>11.55</v>
      </c>
      <c r="C292" s="1">
        <f>IFERROR(__xludf.DUMMYFUNCTION("""COMPUTED_VALUE"""),11.86)</f>
        <v>11.86</v>
      </c>
      <c r="D292" s="1">
        <f>IFERROR(__xludf.DUMMYFUNCTION("""COMPUTED_VALUE"""),11.55)</f>
        <v>11.55</v>
      </c>
      <c r="E292" s="1">
        <f>IFERROR(__xludf.DUMMYFUNCTION("""COMPUTED_VALUE"""),11.86)</f>
        <v>11.86</v>
      </c>
      <c r="F292" s="1">
        <f>IFERROR(__xludf.DUMMYFUNCTION("""COMPUTED_VALUE"""),1.9965197E7)</f>
        <v>19965197</v>
      </c>
      <c r="G292" s="2" t="s">
        <v>5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IFERROR(__xludf.DUMMYFUNCTION("""COMPUTED_VALUE"""),11.78)</f>
        <v>11.78</v>
      </c>
      <c r="C293" s="1">
        <f>IFERROR(__xludf.DUMMYFUNCTION("""COMPUTED_VALUE"""),12.06)</f>
        <v>12.06</v>
      </c>
      <c r="D293" s="1">
        <f>IFERROR(__xludf.DUMMYFUNCTION("""COMPUTED_VALUE"""),11.77)</f>
        <v>11.77</v>
      </c>
      <c r="E293" s="1">
        <f>IFERROR(__xludf.DUMMYFUNCTION("""COMPUTED_VALUE"""),11.88)</f>
        <v>11.88</v>
      </c>
      <c r="F293" s="1">
        <f>IFERROR(__xludf.DUMMYFUNCTION("""COMPUTED_VALUE"""),1.2121921E7)</f>
        <v>12121921</v>
      </c>
      <c r="G293" s="2" t="s">
        <v>5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IFERROR(__xludf.DUMMYFUNCTION("""COMPUTED_VALUE"""),11.92)</f>
        <v>11.92</v>
      </c>
      <c r="C294" s="1">
        <f>IFERROR(__xludf.DUMMYFUNCTION("""COMPUTED_VALUE"""),11.92)</f>
        <v>11.92</v>
      </c>
      <c r="D294" s="1">
        <f>IFERROR(__xludf.DUMMYFUNCTION("""COMPUTED_VALUE"""),11.58)</f>
        <v>11.58</v>
      </c>
      <c r="E294" s="1">
        <f>IFERROR(__xludf.DUMMYFUNCTION("""COMPUTED_VALUE"""),11.63)</f>
        <v>11.63</v>
      </c>
      <c r="F294" s="1">
        <f>IFERROR(__xludf.DUMMYFUNCTION("""COMPUTED_VALUE"""),6743150.0)</f>
        <v>6743150</v>
      </c>
      <c r="G294" s="2" t="s">
        <v>5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IFERROR(__xludf.DUMMYFUNCTION("""COMPUTED_VALUE"""),11.65)</f>
        <v>11.65</v>
      </c>
      <c r="C295" s="1">
        <f>IFERROR(__xludf.DUMMYFUNCTION("""COMPUTED_VALUE"""),11.68)</f>
        <v>11.68</v>
      </c>
      <c r="D295" s="1">
        <f>IFERROR(__xludf.DUMMYFUNCTION("""COMPUTED_VALUE"""),11.45)</f>
        <v>11.45</v>
      </c>
      <c r="E295" s="1">
        <f>IFERROR(__xludf.DUMMYFUNCTION("""COMPUTED_VALUE"""),11.6)</f>
        <v>11.6</v>
      </c>
      <c r="F295" s="1">
        <f>IFERROR(__xludf.DUMMYFUNCTION("""COMPUTED_VALUE"""),5266856.0)</f>
        <v>5266856</v>
      </c>
      <c r="G295" s="2" t="s">
        <v>5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IFERROR(__xludf.DUMMYFUNCTION("""COMPUTED_VALUE"""),11.56)</f>
        <v>11.56</v>
      </c>
      <c r="C296" s="1">
        <f>IFERROR(__xludf.DUMMYFUNCTION("""COMPUTED_VALUE"""),11.57)</f>
        <v>11.57</v>
      </c>
      <c r="D296" s="1">
        <f>IFERROR(__xludf.DUMMYFUNCTION("""COMPUTED_VALUE"""),11.27)</f>
        <v>11.27</v>
      </c>
      <c r="E296" s="1">
        <f>IFERROR(__xludf.DUMMYFUNCTION("""COMPUTED_VALUE"""),11.42)</f>
        <v>11.42</v>
      </c>
      <c r="F296" s="1">
        <f>IFERROR(__xludf.DUMMYFUNCTION("""COMPUTED_VALUE"""),7780115.0)</f>
        <v>7780115</v>
      </c>
      <c r="G296" s="2" t="s">
        <v>5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IFERROR(__xludf.DUMMYFUNCTION("""COMPUTED_VALUE"""),11.5)</f>
        <v>11.5</v>
      </c>
      <c r="C297" s="1">
        <f>IFERROR(__xludf.DUMMYFUNCTION("""COMPUTED_VALUE"""),11.53)</f>
        <v>11.53</v>
      </c>
      <c r="D297" s="1">
        <f>IFERROR(__xludf.DUMMYFUNCTION("""COMPUTED_VALUE"""),11.39)</f>
        <v>11.39</v>
      </c>
      <c r="E297" s="1">
        <f>IFERROR(__xludf.DUMMYFUNCTION("""COMPUTED_VALUE"""),11.47)</f>
        <v>11.47</v>
      </c>
      <c r="F297" s="1">
        <f>IFERROR(__xludf.DUMMYFUNCTION("""COMPUTED_VALUE"""),5192731.0)</f>
        <v>5192731</v>
      </c>
      <c r="G297" s="2" t="s">
        <v>5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IFERROR(__xludf.DUMMYFUNCTION("""COMPUTED_VALUE"""),11.49)</f>
        <v>11.49</v>
      </c>
      <c r="C298" s="1">
        <f>IFERROR(__xludf.DUMMYFUNCTION("""COMPUTED_VALUE"""),11.52)</f>
        <v>11.52</v>
      </c>
      <c r="D298" s="1">
        <f>IFERROR(__xludf.DUMMYFUNCTION("""COMPUTED_VALUE"""),11.29)</f>
        <v>11.29</v>
      </c>
      <c r="E298" s="1">
        <f>IFERROR(__xludf.DUMMYFUNCTION("""COMPUTED_VALUE"""),11.29)</f>
        <v>11.29</v>
      </c>
      <c r="F298" s="1">
        <f>IFERROR(__xludf.DUMMYFUNCTION("""COMPUTED_VALUE"""),9848800.0)</f>
        <v>9848800</v>
      </c>
      <c r="G298" s="2" t="s">
        <v>5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IFERROR(__xludf.DUMMYFUNCTION("""COMPUTED_VALUE"""),11.39)</f>
        <v>11.39</v>
      </c>
      <c r="C299" s="1">
        <f>IFERROR(__xludf.DUMMYFUNCTION("""COMPUTED_VALUE"""),11.66)</f>
        <v>11.66</v>
      </c>
      <c r="D299" s="1">
        <f>IFERROR(__xludf.DUMMYFUNCTION("""COMPUTED_VALUE"""),11.39)</f>
        <v>11.39</v>
      </c>
      <c r="E299" s="1">
        <f>IFERROR(__xludf.DUMMYFUNCTION("""COMPUTED_VALUE"""),11.55)</f>
        <v>11.55</v>
      </c>
      <c r="F299" s="1">
        <f>IFERROR(__xludf.DUMMYFUNCTION("""COMPUTED_VALUE"""),5650243.0)</f>
        <v>5650243</v>
      </c>
      <c r="G299" s="2" t="s">
        <v>5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IFERROR(__xludf.DUMMYFUNCTION("""COMPUTED_VALUE"""),11.51)</f>
        <v>11.51</v>
      </c>
      <c r="C300" s="1">
        <f>IFERROR(__xludf.DUMMYFUNCTION("""COMPUTED_VALUE"""),11.88)</f>
        <v>11.88</v>
      </c>
      <c r="D300" s="1">
        <f>IFERROR(__xludf.DUMMYFUNCTION("""COMPUTED_VALUE"""),11.46)</f>
        <v>11.46</v>
      </c>
      <c r="E300" s="1">
        <f>IFERROR(__xludf.DUMMYFUNCTION("""COMPUTED_VALUE"""),11.8)</f>
        <v>11.8</v>
      </c>
      <c r="F300" s="1">
        <f>IFERROR(__xludf.DUMMYFUNCTION("""COMPUTED_VALUE"""),9980680.0)</f>
        <v>9980680</v>
      </c>
      <c r="G300" s="2" t="s">
        <v>5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IFERROR(__xludf.DUMMYFUNCTION("""COMPUTED_VALUE"""),11.84)</f>
        <v>11.84</v>
      </c>
      <c r="C301" s="1">
        <f>IFERROR(__xludf.DUMMYFUNCTION("""COMPUTED_VALUE"""),11.86)</f>
        <v>11.86</v>
      </c>
      <c r="D301" s="1">
        <f>IFERROR(__xludf.DUMMYFUNCTION("""COMPUTED_VALUE"""),11.54)</f>
        <v>11.54</v>
      </c>
      <c r="E301" s="1">
        <f>IFERROR(__xludf.DUMMYFUNCTION("""COMPUTED_VALUE"""),11.59)</f>
        <v>11.59</v>
      </c>
      <c r="F301" s="1">
        <f>IFERROR(__xludf.DUMMYFUNCTION("""COMPUTED_VALUE"""),8590829.0)</f>
        <v>8590829</v>
      </c>
      <c r="G301" s="2" t="s">
        <v>5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IFERROR(__xludf.DUMMYFUNCTION("""COMPUTED_VALUE"""),11.55)</f>
        <v>11.55</v>
      </c>
      <c r="C302" s="1">
        <f>IFERROR(__xludf.DUMMYFUNCTION("""COMPUTED_VALUE"""),11.58)</f>
        <v>11.58</v>
      </c>
      <c r="D302" s="1">
        <f>IFERROR(__xludf.DUMMYFUNCTION("""COMPUTED_VALUE"""),11.37)</f>
        <v>11.37</v>
      </c>
      <c r="E302" s="1">
        <f>IFERROR(__xludf.DUMMYFUNCTION("""COMPUTED_VALUE"""),11.45)</f>
        <v>11.45</v>
      </c>
      <c r="F302" s="1">
        <f>IFERROR(__xludf.DUMMYFUNCTION("""COMPUTED_VALUE"""),7502204.0)</f>
        <v>7502204</v>
      </c>
      <c r="G302" s="2" t="s">
        <v>5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IFERROR(__xludf.DUMMYFUNCTION("""COMPUTED_VALUE"""),11.48)</f>
        <v>11.48</v>
      </c>
      <c r="C303" s="1">
        <f>IFERROR(__xludf.DUMMYFUNCTION("""COMPUTED_VALUE"""),11.69)</f>
        <v>11.69</v>
      </c>
      <c r="D303" s="1">
        <f>IFERROR(__xludf.DUMMYFUNCTION("""COMPUTED_VALUE"""),11.45)</f>
        <v>11.45</v>
      </c>
      <c r="E303" s="1">
        <f>IFERROR(__xludf.DUMMYFUNCTION("""COMPUTED_VALUE"""),11.67)</f>
        <v>11.67</v>
      </c>
      <c r="F303" s="1">
        <f>IFERROR(__xludf.DUMMYFUNCTION("""COMPUTED_VALUE"""),6419297.0)</f>
        <v>6419297</v>
      </c>
      <c r="G303" s="2" t="s">
        <v>5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IFERROR(__xludf.DUMMYFUNCTION("""COMPUTED_VALUE"""),11.72)</f>
        <v>11.72</v>
      </c>
      <c r="C304" s="1">
        <f>IFERROR(__xludf.DUMMYFUNCTION("""COMPUTED_VALUE"""),11.79)</f>
        <v>11.79</v>
      </c>
      <c r="D304" s="1">
        <f>IFERROR(__xludf.DUMMYFUNCTION("""COMPUTED_VALUE"""),11.63)</f>
        <v>11.63</v>
      </c>
      <c r="E304" s="1">
        <f>IFERROR(__xludf.DUMMYFUNCTION("""COMPUTED_VALUE"""),11.77)</f>
        <v>11.77</v>
      </c>
      <c r="F304" s="1">
        <f>IFERROR(__xludf.DUMMYFUNCTION("""COMPUTED_VALUE"""),6916607.0)</f>
        <v>6916607</v>
      </c>
      <c r="G304" s="2" t="s">
        <v>5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IFERROR(__xludf.DUMMYFUNCTION("""COMPUTED_VALUE"""),11.79)</f>
        <v>11.79</v>
      </c>
      <c r="C305" s="1">
        <f>IFERROR(__xludf.DUMMYFUNCTION("""COMPUTED_VALUE"""),11.79)</f>
        <v>11.79</v>
      </c>
      <c r="D305" s="1">
        <f>IFERROR(__xludf.DUMMYFUNCTION("""COMPUTED_VALUE"""),11.56)</f>
        <v>11.56</v>
      </c>
      <c r="E305" s="1">
        <f>IFERROR(__xludf.DUMMYFUNCTION("""COMPUTED_VALUE"""),11.59)</f>
        <v>11.59</v>
      </c>
      <c r="F305" s="1">
        <f>IFERROR(__xludf.DUMMYFUNCTION("""COMPUTED_VALUE"""),7318085.0)</f>
        <v>7318085</v>
      </c>
      <c r="G305" s="2" t="s">
        <v>5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IFERROR(__xludf.DUMMYFUNCTION("""COMPUTED_VALUE"""),11.51)</f>
        <v>11.51</v>
      </c>
      <c r="C306" s="1">
        <f>IFERROR(__xludf.DUMMYFUNCTION("""COMPUTED_VALUE"""),11.71)</f>
        <v>11.71</v>
      </c>
      <c r="D306" s="1">
        <f>IFERROR(__xludf.DUMMYFUNCTION("""COMPUTED_VALUE"""),11.46)</f>
        <v>11.46</v>
      </c>
      <c r="E306" s="1">
        <f>IFERROR(__xludf.DUMMYFUNCTION("""COMPUTED_VALUE"""),11.64)</f>
        <v>11.64</v>
      </c>
      <c r="F306" s="1">
        <f>IFERROR(__xludf.DUMMYFUNCTION("""COMPUTED_VALUE"""),6998563.0)</f>
        <v>6998563</v>
      </c>
      <c r="G306" s="2" t="s">
        <v>5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IFERROR(__xludf.DUMMYFUNCTION("""COMPUTED_VALUE"""),11.63)</f>
        <v>11.63</v>
      </c>
      <c r="C307" s="1">
        <f>IFERROR(__xludf.DUMMYFUNCTION("""COMPUTED_VALUE"""),11.66)</f>
        <v>11.66</v>
      </c>
      <c r="D307" s="1">
        <f>IFERROR(__xludf.DUMMYFUNCTION("""COMPUTED_VALUE"""),11.47)</f>
        <v>11.47</v>
      </c>
      <c r="E307" s="1">
        <f>IFERROR(__xludf.DUMMYFUNCTION("""COMPUTED_VALUE"""),11.51)</f>
        <v>11.51</v>
      </c>
      <c r="F307" s="1">
        <f>IFERROR(__xludf.DUMMYFUNCTION("""COMPUTED_VALUE"""),4831998.0)</f>
        <v>4831998</v>
      </c>
      <c r="G307" s="2" t="s">
        <v>5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IFERROR(__xludf.DUMMYFUNCTION("""COMPUTED_VALUE"""),10.93)</f>
        <v>10.93</v>
      </c>
      <c r="C308" s="1">
        <f>IFERROR(__xludf.DUMMYFUNCTION("""COMPUTED_VALUE"""),10.94)</f>
        <v>10.94</v>
      </c>
      <c r="D308" s="1">
        <f>IFERROR(__xludf.DUMMYFUNCTION("""COMPUTED_VALUE"""),10.38)</f>
        <v>10.38</v>
      </c>
      <c r="E308" s="1">
        <f>IFERROR(__xludf.DUMMYFUNCTION("""COMPUTED_VALUE"""),10.67)</f>
        <v>10.67</v>
      </c>
      <c r="F308" s="1">
        <f>IFERROR(__xludf.DUMMYFUNCTION("""COMPUTED_VALUE"""),3.5032851E7)</f>
        <v>35032851</v>
      </c>
      <c r="G308" s="2" t="s">
        <v>5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IFERROR(__xludf.DUMMYFUNCTION("""COMPUTED_VALUE"""),10.7)</f>
        <v>10.7</v>
      </c>
      <c r="C309" s="1">
        <f>IFERROR(__xludf.DUMMYFUNCTION("""COMPUTED_VALUE"""),10.78)</f>
        <v>10.78</v>
      </c>
      <c r="D309" s="1">
        <f>IFERROR(__xludf.DUMMYFUNCTION("""COMPUTED_VALUE"""),9.83)</f>
        <v>9.83</v>
      </c>
      <c r="E309" s="1">
        <f>IFERROR(__xludf.DUMMYFUNCTION("""COMPUTED_VALUE"""),10.15)</f>
        <v>10.15</v>
      </c>
      <c r="F309" s="1">
        <f>IFERROR(__xludf.DUMMYFUNCTION("""COMPUTED_VALUE"""),3.4947205E7)</f>
        <v>34947205</v>
      </c>
      <c r="G309" s="2" t="s">
        <v>5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IFERROR(__xludf.DUMMYFUNCTION("""COMPUTED_VALUE"""),10.08)</f>
        <v>10.08</v>
      </c>
      <c r="C310" s="1">
        <f>IFERROR(__xludf.DUMMYFUNCTION("""COMPUTED_VALUE"""),10.66)</f>
        <v>10.66</v>
      </c>
      <c r="D310" s="1">
        <f>IFERROR(__xludf.DUMMYFUNCTION("""COMPUTED_VALUE"""),10.02)</f>
        <v>10.02</v>
      </c>
      <c r="E310" s="1">
        <f>IFERROR(__xludf.DUMMYFUNCTION("""COMPUTED_VALUE"""),10.58)</f>
        <v>10.58</v>
      </c>
      <c r="F310" s="1">
        <f>IFERROR(__xludf.DUMMYFUNCTION("""COMPUTED_VALUE"""),1.852904E7)</f>
        <v>18529040</v>
      </c>
      <c r="G310" s="2" t="s">
        <v>5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IFERROR(__xludf.DUMMYFUNCTION("""COMPUTED_VALUE"""),10.49)</f>
        <v>10.49</v>
      </c>
      <c r="C311" s="1">
        <f>IFERROR(__xludf.DUMMYFUNCTION("""COMPUTED_VALUE"""),10.63)</f>
        <v>10.63</v>
      </c>
      <c r="D311" s="1">
        <f>IFERROR(__xludf.DUMMYFUNCTION("""COMPUTED_VALUE"""),9.58)</f>
        <v>9.58</v>
      </c>
      <c r="E311" s="1">
        <f>IFERROR(__xludf.DUMMYFUNCTION("""COMPUTED_VALUE"""),9.6)</f>
        <v>9.6</v>
      </c>
      <c r="F311" s="1">
        <f>IFERROR(__xludf.DUMMYFUNCTION("""COMPUTED_VALUE"""),3.193464E7)</f>
        <v>31934640</v>
      </c>
      <c r="G311" s="2" t="s">
        <v>5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IFERROR(__xludf.DUMMYFUNCTION("""COMPUTED_VALUE"""),10.09)</f>
        <v>10.09</v>
      </c>
      <c r="C312" s="1">
        <f>IFERROR(__xludf.DUMMYFUNCTION("""COMPUTED_VALUE"""),10.18)</f>
        <v>10.18</v>
      </c>
      <c r="D312" s="1">
        <f>IFERROR(__xludf.DUMMYFUNCTION("""COMPUTED_VALUE"""),9.26)</f>
        <v>9.26</v>
      </c>
      <c r="E312" s="1">
        <f>IFERROR(__xludf.DUMMYFUNCTION("""COMPUTED_VALUE"""),9.48)</f>
        <v>9.48</v>
      </c>
      <c r="F312" s="1">
        <f>IFERROR(__xludf.DUMMYFUNCTION("""COMPUTED_VALUE"""),3.0759616E7)</f>
        <v>30759616</v>
      </c>
      <c r="G312" s="2" t="s">
        <v>5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IFERROR(__xludf.DUMMYFUNCTION("""COMPUTED_VALUE"""),9.55)</f>
        <v>9.55</v>
      </c>
      <c r="C313" s="1">
        <f>IFERROR(__xludf.DUMMYFUNCTION("""COMPUTED_VALUE"""),9.83)</f>
        <v>9.83</v>
      </c>
      <c r="D313" s="1">
        <f>IFERROR(__xludf.DUMMYFUNCTION("""COMPUTED_VALUE"""),9.14)</f>
        <v>9.14</v>
      </c>
      <c r="E313" s="1">
        <f>IFERROR(__xludf.DUMMYFUNCTION("""COMPUTED_VALUE"""),9.33)</f>
        <v>9.33</v>
      </c>
      <c r="F313" s="1">
        <f>IFERROR(__xludf.DUMMYFUNCTION("""COMPUTED_VALUE"""),3.0500661E7)</f>
        <v>30500661</v>
      </c>
      <c r="G313" s="2" t="s">
        <v>5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IFERROR(__xludf.DUMMYFUNCTION("""COMPUTED_VALUE"""),8.8)</f>
        <v>8.8</v>
      </c>
      <c r="C314" s="1">
        <f>IFERROR(__xludf.DUMMYFUNCTION("""COMPUTED_VALUE"""),9.45)</f>
        <v>9.45</v>
      </c>
      <c r="D314" s="1">
        <f>IFERROR(__xludf.DUMMYFUNCTION("""COMPUTED_VALUE"""),8.31)</f>
        <v>8.31</v>
      </c>
      <c r="E314" s="1">
        <f>IFERROR(__xludf.DUMMYFUNCTION("""COMPUTED_VALUE"""),9.29)</f>
        <v>9.29</v>
      </c>
      <c r="F314" s="1">
        <f>IFERROR(__xludf.DUMMYFUNCTION("""COMPUTED_VALUE"""),4.1683233E7)</f>
        <v>41683233</v>
      </c>
      <c r="G314" s="2" t="s">
        <v>5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IFERROR(__xludf.DUMMYFUNCTION("""COMPUTED_VALUE"""),9.55)</f>
        <v>9.55</v>
      </c>
      <c r="C315" s="1">
        <f>IFERROR(__xludf.DUMMYFUNCTION("""COMPUTED_VALUE"""),9.88)</f>
        <v>9.88</v>
      </c>
      <c r="D315" s="1">
        <f>IFERROR(__xludf.DUMMYFUNCTION("""COMPUTED_VALUE"""),9.5)</f>
        <v>9.5</v>
      </c>
      <c r="E315" s="1">
        <f>IFERROR(__xludf.DUMMYFUNCTION("""COMPUTED_VALUE"""),9.85)</f>
        <v>9.85</v>
      </c>
      <c r="F315" s="1">
        <f>IFERROR(__xludf.DUMMYFUNCTION("""COMPUTED_VALUE"""),2.2579889E7)</f>
        <v>22579889</v>
      </c>
      <c r="G315" s="2" t="s">
        <v>5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IFERROR(__xludf.DUMMYFUNCTION("""COMPUTED_VALUE"""),9.8)</f>
        <v>9.8</v>
      </c>
      <c r="C316" s="1">
        <f>IFERROR(__xludf.DUMMYFUNCTION("""COMPUTED_VALUE"""),9.99)</f>
        <v>9.99</v>
      </c>
      <c r="D316" s="1">
        <f>IFERROR(__xludf.DUMMYFUNCTION("""COMPUTED_VALUE"""),9.64)</f>
        <v>9.64</v>
      </c>
      <c r="E316" s="1">
        <f>IFERROR(__xludf.DUMMYFUNCTION("""COMPUTED_VALUE"""),9.64)</f>
        <v>9.64</v>
      </c>
      <c r="F316" s="1">
        <f>IFERROR(__xludf.DUMMYFUNCTION("""COMPUTED_VALUE"""),1.6660558E7)</f>
        <v>16660558</v>
      </c>
      <c r="G316" s="2" t="s">
        <v>5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IFERROR(__xludf.DUMMYFUNCTION("""COMPUTED_VALUE"""),9.58)</f>
        <v>9.58</v>
      </c>
      <c r="C317" s="1">
        <f>IFERROR(__xludf.DUMMYFUNCTION("""COMPUTED_VALUE"""),9.66)</f>
        <v>9.66</v>
      </c>
      <c r="D317" s="1">
        <f>IFERROR(__xludf.DUMMYFUNCTION("""COMPUTED_VALUE"""),9.3)</f>
        <v>9.3</v>
      </c>
      <c r="E317" s="1">
        <f>IFERROR(__xludf.DUMMYFUNCTION("""COMPUTED_VALUE"""),9.34)</f>
        <v>9.34</v>
      </c>
      <c r="F317" s="1">
        <f>IFERROR(__xludf.DUMMYFUNCTION("""COMPUTED_VALUE"""),1.6945466E7)</f>
        <v>16945466</v>
      </c>
      <c r="G317" s="2" t="s">
        <v>5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IFERROR(__xludf.DUMMYFUNCTION("""COMPUTED_VALUE"""),9.07)</f>
        <v>9.07</v>
      </c>
      <c r="C318" s="1">
        <f>IFERROR(__xludf.DUMMYFUNCTION("""COMPUTED_VALUE"""),9.07)</f>
        <v>9.07</v>
      </c>
      <c r="D318" s="1">
        <f>IFERROR(__xludf.DUMMYFUNCTION("""COMPUTED_VALUE"""),7.95)</f>
        <v>7.95</v>
      </c>
      <c r="E318" s="1">
        <f>IFERROR(__xludf.DUMMYFUNCTION("""COMPUTED_VALUE"""),8.54)</f>
        <v>8.54</v>
      </c>
      <c r="F318" s="1">
        <f>IFERROR(__xludf.DUMMYFUNCTION("""COMPUTED_VALUE"""),8.8041869E7)</f>
        <v>88041869</v>
      </c>
      <c r="G318" s="2" t="s">
        <v>5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IFERROR(__xludf.DUMMYFUNCTION("""COMPUTED_VALUE"""),8.92)</f>
        <v>8.92</v>
      </c>
      <c r="C319" s="1">
        <f>IFERROR(__xludf.DUMMYFUNCTION("""COMPUTED_VALUE"""),9.15)</f>
        <v>9.15</v>
      </c>
      <c r="D319" s="1">
        <f>IFERROR(__xludf.DUMMYFUNCTION("""COMPUTED_VALUE"""),8.62)</f>
        <v>8.62</v>
      </c>
      <c r="E319" s="1">
        <f>IFERROR(__xludf.DUMMYFUNCTION("""COMPUTED_VALUE"""),9.07)</f>
        <v>9.07</v>
      </c>
      <c r="F319" s="1">
        <f>IFERROR(__xludf.DUMMYFUNCTION("""COMPUTED_VALUE"""),3.28723E7)</f>
        <v>32872300</v>
      </c>
      <c r="G319" s="2" t="s">
        <v>5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IFERROR(__xludf.DUMMYFUNCTION("""COMPUTED_VALUE"""),9.14)</f>
        <v>9.14</v>
      </c>
      <c r="C320" s="1">
        <f>IFERROR(__xludf.DUMMYFUNCTION("""COMPUTED_VALUE"""),9.27)</f>
        <v>9.27</v>
      </c>
      <c r="D320" s="1">
        <f>IFERROR(__xludf.DUMMYFUNCTION("""COMPUTED_VALUE"""),8.77)</f>
        <v>8.77</v>
      </c>
      <c r="E320" s="1">
        <f>IFERROR(__xludf.DUMMYFUNCTION("""COMPUTED_VALUE"""),8.92)</f>
        <v>8.92</v>
      </c>
      <c r="F320" s="1">
        <f>IFERROR(__xludf.DUMMYFUNCTION("""COMPUTED_VALUE"""),1.8940446E7)</f>
        <v>18940446</v>
      </c>
      <c r="G320" s="2" t="s">
        <v>5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IFERROR(__xludf.DUMMYFUNCTION("""COMPUTED_VALUE"""),9.02)</f>
        <v>9.02</v>
      </c>
      <c r="C321" s="1">
        <f>IFERROR(__xludf.DUMMYFUNCTION("""COMPUTED_VALUE"""),9.2)</f>
        <v>9.2</v>
      </c>
      <c r="D321" s="1">
        <f>IFERROR(__xludf.DUMMYFUNCTION("""COMPUTED_VALUE"""),8.96)</f>
        <v>8.96</v>
      </c>
      <c r="E321" s="1">
        <f>IFERROR(__xludf.DUMMYFUNCTION("""COMPUTED_VALUE"""),9.14)</f>
        <v>9.14</v>
      </c>
      <c r="F321" s="1">
        <f>IFERROR(__xludf.DUMMYFUNCTION("""COMPUTED_VALUE"""),1.2545666E7)</f>
        <v>12545666</v>
      </c>
      <c r="G321" s="2" t="s">
        <v>5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IFERROR(__xludf.DUMMYFUNCTION("""COMPUTED_VALUE"""),9.22)</f>
        <v>9.22</v>
      </c>
      <c r="C322" s="1">
        <f>IFERROR(__xludf.DUMMYFUNCTION("""COMPUTED_VALUE"""),9.41)</f>
        <v>9.41</v>
      </c>
      <c r="D322" s="1">
        <f>IFERROR(__xludf.DUMMYFUNCTION("""COMPUTED_VALUE"""),9.16)</f>
        <v>9.16</v>
      </c>
      <c r="E322" s="1">
        <f>IFERROR(__xludf.DUMMYFUNCTION("""COMPUTED_VALUE"""),9.29)</f>
        <v>9.29</v>
      </c>
      <c r="F322" s="1">
        <f>IFERROR(__xludf.DUMMYFUNCTION("""COMPUTED_VALUE"""),1.4015671E7)</f>
        <v>14015671</v>
      </c>
      <c r="G322" s="2" t="s">
        <v>5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IFERROR(__xludf.DUMMYFUNCTION("""COMPUTED_VALUE"""),9.28)</f>
        <v>9.28</v>
      </c>
      <c r="C323" s="1">
        <f>IFERROR(__xludf.DUMMYFUNCTION("""COMPUTED_VALUE"""),9.4)</f>
        <v>9.4</v>
      </c>
      <c r="D323" s="1">
        <f>IFERROR(__xludf.DUMMYFUNCTION("""COMPUTED_VALUE"""),9.14)</f>
        <v>9.14</v>
      </c>
      <c r="E323" s="1">
        <f>IFERROR(__xludf.DUMMYFUNCTION("""COMPUTED_VALUE"""),9.36)</f>
        <v>9.36</v>
      </c>
      <c r="F323" s="1">
        <f>IFERROR(__xludf.DUMMYFUNCTION("""COMPUTED_VALUE"""),1.4747991E7)</f>
        <v>14747991</v>
      </c>
      <c r="G323" s="2" t="s">
        <v>5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IFERROR(__xludf.DUMMYFUNCTION("""COMPUTED_VALUE"""),9.4)</f>
        <v>9.4</v>
      </c>
      <c r="C324" s="1">
        <f>IFERROR(__xludf.DUMMYFUNCTION("""COMPUTED_VALUE"""),9.7)</f>
        <v>9.7</v>
      </c>
      <c r="D324" s="1">
        <f>IFERROR(__xludf.DUMMYFUNCTION("""COMPUTED_VALUE"""),9.35)</f>
        <v>9.35</v>
      </c>
      <c r="E324" s="1">
        <f>IFERROR(__xludf.DUMMYFUNCTION("""COMPUTED_VALUE"""),9.47)</f>
        <v>9.47</v>
      </c>
      <c r="F324" s="1">
        <f>IFERROR(__xludf.DUMMYFUNCTION("""COMPUTED_VALUE"""),1.2953773E7)</f>
        <v>12953773</v>
      </c>
      <c r="G324" s="2" t="s">
        <v>5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IFERROR(__xludf.DUMMYFUNCTION("""COMPUTED_VALUE"""),9.51)</f>
        <v>9.51</v>
      </c>
      <c r="C325" s="1">
        <f>IFERROR(__xludf.DUMMYFUNCTION("""COMPUTED_VALUE"""),9.6)</f>
        <v>9.6</v>
      </c>
      <c r="D325" s="1">
        <f>IFERROR(__xludf.DUMMYFUNCTION("""COMPUTED_VALUE"""),9.32)</f>
        <v>9.32</v>
      </c>
      <c r="E325" s="1">
        <f>IFERROR(__xludf.DUMMYFUNCTION("""COMPUTED_VALUE"""),9.33)</f>
        <v>9.33</v>
      </c>
      <c r="F325" s="1">
        <f>IFERROR(__xludf.DUMMYFUNCTION("""COMPUTED_VALUE"""),1.0248517E7)</f>
        <v>10248517</v>
      </c>
      <c r="G325" s="2" t="s">
        <v>5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IFERROR(__xludf.DUMMYFUNCTION("""COMPUTED_VALUE"""),9.35)</f>
        <v>9.35</v>
      </c>
      <c r="C326" s="1">
        <f>IFERROR(__xludf.DUMMYFUNCTION("""COMPUTED_VALUE"""),9.5)</f>
        <v>9.5</v>
      </c>
      <c r="D326" s="1">
        <f>IFERROR(__xludf.DUMMYFUNCTION("""COMPUTED_VALUE"""),9.22)</f>
        <v>9.22</v>
      </c>
      <c r="E326" s="1">
        <f>IFERROR(__xludf.DUMMYFUNCTION("""COMPUTED_VALUE"""),9.3)</f>
        <v>9.3</v>
      </c>
      <c r="F326" s="1">
        <f>IFERROR(__xludf.DUMMYFUNCTION("""COMPUTED_VALUE"""),9507118.0)</f>
        <v>9507118</v>
      </c>
      <c r="G326" s="2" t="s">
        <v>5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IFERROR(__xludf.DUMMYFUNCTION("""COMPUTED_VALUE"""),9.32)</f>
        <v>9.32</v>
      </c>
      <c r="C327" s="1">
        <f>IFERROR(__xludf.DUMMYFUNCTION("""COMPUTED_VALUE"""),9.47)</f>
        <v>9.47</v>
      </c>
      <c r="D327" s="1">
        <f>IFERROR(__xludf.DUMMYFUNCTION("""COMPUTED_VALUE"""),9.32)</f>
        <v>9.32</v>
      </c>
      <c r="E327" s="1">
        <f>IFERROR(__xludf.DUMMYFUNCTION("""COMPUTED_VALUE"""),9.46)</f>
        <v>9.46</v>
      </c>
      <c r="F327" s="1">
        <f>IFERROR(__xludf.DUMMYFUNCTION("""COMPUTED_VALUE"""),8251227.0)</f>
        <v>8251227</v>
      </c>
      <c r="G327" s="2" t="s">
        <v>5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IFERROR(__xludf.DUMMYFUNCTION("""COMPUTED_VALUE"""),9.53)</f>
        <v>9.53</v>
      </c>
      <c r="C328" s="1">
        <f>IFERROR(__xludf.DUMMYFUNCTION("""COMPUTED_VALUE"""),9.64)</f>
        <v>9.64</v>
      </c>
      <c r="D328" s="1">
        <f>IFERROR(__xludf.DUMMYFUNCTION("""COMPUTED_VALUE"""),9.48)</f>
        <v>9.48</v>
      </c>
      <c r="E328" s="1">
        <f>IFERROR(__xludf.DUMMYFUNCTION("""COMPUTED_VALUE"""),9.57)</f>
        <v>9.57</v>
      </c>
      <c r="F328" s="1">
        <f>IFERROR(__xludf.DUMMYFUNCTION("""COMPUTED_VALUE"""),7622293.0)</f>
        <v>7622293</v>
      </c>
      <c r="G328" s="2" t="s">
        <v>5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IFERROR(__xludf.DUMMYFUNCTION("""COMPUTED_VALUE"""),9.62)</f>
        <v>9.62</v>
      </c>
      <c r="C329" s="1">
        <f>IFERROR(__xludf.DUMMYFUNCTION("""COMPUTED_VALUE"""),9.73)</f>
        <v>9.73</v>
      </c>
      <c r="D329" s="1">
        <f>IFERROR(__xludf.DUMMYFUNCTION("""COMPUTED_VALUE"""),9.57)</f>
        <v>9.57</v>
      </c>
      <c r="E329" s="1">
        <f>IFERROR(__xludf.DUMMYFUNCTION("""COMPUTED_VALUE"""),9.6)</f>
        <v>9.6</v>
      </c>
      <c r="F329" s="1">
        <f>IFERROR(__xludf.DUMMYFUNCTION("""COMPUTED_VALUE"""),7399326.0)</f>
        <v>7399326</v>
      </c>
      <c r="G329" s="2" t="s">
        <v>5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IFERROR(__xludf.DUMMYFUNCTION("""COMPUTED_VALUE"""),9.55)</f>
        <v>9.55</v>
      </c>
      <c r="C330" s="1">
        <f>IFERROR(__xludf.DUMMYFUNCTION("""COMPUTED_VALUE"""),9.61)</f>
        <v>9.61</v>
      </c>
      <c r="D330" s="1">
        <f>IFERROR(__xludf.DUMMYFUNCTION("""COMPUTED_VALUE"""),9.48)</f>
        <v>9.48</v>
      </c>
      <c r="E330" s="1">
        <f>IFERROR(__xludf.DUMMYFUNCTION("""COMPUTED_VALUE"""),9.52)</f>
        <v>9.52</v>
      </c>
      <c r="F330" s="1">
        <f>IFERROR(__xludf.DUMMYFUNCTION("""COMPUTED_VALUE"""),6201815.0)</f>
        <v>6201815</v>
      </c>
      <c r="G330" s="2" t="s">
        <v>5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IFERROR(__xludf.DUMMYFUNCTION("""COMPUTED_VALUE"""),9.58)</f>
        <v>9.58</v>
      </c>
      <c r="C331" s="1">
        <f>IFERROR(__xludf.DUMMYFUNCTION("""COMPUTED_VALUE"""),9.98)</f>
        <v>9.98</v>
      </c>
      <c r="D331" s="1">
        <f>IFERROR(__xludf.DUMMYFUNCTION("""COMPUTED_VALUE"""),9.51)</f>
        <v>9.51</v>
      </c>
      <c r="E331" s="1">
        <f>IFERROR(__xludf.DUMMYFUNCTION("""COMPUTED_VALUE"""),9.95)</f>
        <v>9.95</v>
      </c>
      <c r="F331" s="1">
        <f>IFERROR(__xludf.DUMMYFUNCTION("""COMPUTED_VALUE"""),1.7128905E7)</f>
        <v>17128905</v>
      </c>
      <c r="G331" s="2" t="s">
        <v>5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IFERROR(__xludf.DUMMYFUNCTION("""COMPUTED_VALUE"""),10.0)</f>
        <v>10</v>
      </c>
      <c r="C332" s="1">
        <f>IFERROR(__xludf.DUMMYFUNCTION("""COMPUTED_VALUE"""),10.01)</f>
        <v>10.01</v>
      </c>
      <c r="D332" s="1">
        <f>IFERROR(__xludf.DUMMYFUNCTION("""COMPUTED_VALUE"""),9.68)</f>
        <v>9.68</v>
      </c>
      <c r="E332" s="1">
        <f>IFERROR(__xludf.DUMMYFUNCTION("""COMPUTED_VALUE"""),9.73)</f>
        <v>9.73</v>
      </c>
      <c r="F332" s="1">
        <f>IFERROR(__xludf.DUMMYFUNCTION("""COMPUTED_VALUE"""),1.1374007E7)</f>
        <v>11374007</v>
      </c>
      <c r="G332" s="2" t="s">
        <v>5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IFERROR(__xludf.DUMMYFUNCTION("""COMPUTED_VALUE"""),9.88)</f>
        <v>9.88</v>
      </c>
      <c r="C333" s="1">
        <f>IFERROR(__xludf.DUMMYFUNCTION("""COMPUTED_VALUE"""),10.03)</f>
        <v>10.03</v>
      </c>
      <c r="D333" s="1">
        <f>IFERROR(__xludf.DUMMYFUNCTION("""COMPUTED_VALUE"""),9.85)</f>
        <v>9.85</v>
      </c>
      <c r="E333" s="1">
        <f>IFERROR(__xludf.DUMMYFUNCTION("""COMPUTED_VALUE"""),9.91)</f>
        <v>9.91</v>
      </c>
      <c r="F333" s="1">
        <f>IFERROR(__xludf.DUMMYFUNCTION("""COMPUTED_VALUE"""),1.1195754E7)</f>
        <v>11195754</v>
      </c>
      <c r="G333" s="2" t="s">
        <v>5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IFERROR(__xludf.DUMMYFUNCTION("""COMPUTED_VALUE"""),9.87)</f>
        <v>9.87</v>
      </c>
      <c r="C334" s="1">
        <f>IFERROR(__xludf.DUMMYFUNCTION("""COMPUTED_VALUE"""),10.02)</f>
        <v>10.02</v>
      </c>
      <c r="D334" s="1">
        <f>IFERROR(__xludf.DUMMYFUNCTION("""COMPUTED_VALUE"""),9.81)</f>
        <v>9.81</v>
      </c>
      <c r="E334" s="1">
        <f>IFERROR(__xludf.DUMMYFUNCTION("""COMPUTED_VALUE"""),10.01)</f>
        <v>10.01</v>
      </c>
      <c r="F334" s="1">
        <f>IFERROR(__xludf.DUMMYFUNCTION("""COMPUTED_VALUE"""),7578472.0)</f>
        <v>7578472</v>
      </c>
      <c r="G334" s="2" t="s">
        <v>5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IFERROR(__xludf.DUMMYFUNCTION("""COMPUTED_VALUE"""),10.05)</f>
        <v>10.05</v>
      </c>
      <c r="C335" s="1">
        <f>IFERROR(__xludf.DUMMYFUNCTION("""COMPUTED_VALUE"""),10.22)</f>
        <v>10.22</v>
      </c>
      <c r="D335" s="1">
        <f>IFERROR(__xludf.DUMMYFUNCTION("""COMPUTED_VALUE"""),9.87)</f>
        <v>9.87</v>
      </c>
      <c r="E335" s="1">
        <f>IFERROR(__xludf.DUMMYFUNCTION("""COMPUTED_VALUE"""),9.91)</f>
        <v>9.91</v>
      </c>
      <c r="F335" s="1">
        <f>IFERROR(__xludf.DUMMYFUNCTION("""COMPUTED_VALUE"""),1.1807406E7)</f>
        <v>11807406</v>
      </c>
      <c r="G335" s="2" t="s">
        <v>5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IFERROR(__xludf.DUMMYFUNCTION("""COMPUTED_VALUE"""),9.85)</f>
        <v>9.85</v>
      </c>
      <c r="C336" s="1">
        <f>IFERROR(__xludf.DUMMYFUNCTION("""COMPUTED_VALUE"""),9.94)</f>
        <v>9.94</v>
      </c>
      <c r="D336" s="1">
        <f>IFERROR(__xludf.DUMMYFUNCTION("""COMPUTED_VALUE"""),9.8)</f>
        <v>9.8</v>
      </c>
      <c r="E336" s="1">
        <f>IFERROR(__xludf.DUMMYFUNCTION("""COMPUTED_VALUE"""),9.9)</f>
        <v>9.9</v>
      </c>
      <c r="F336" s="1">
        <f>IFERROR(__xludf.DUMMYFUNCTION("""COMPUTED_VALUE"""),8880319.0)</f>
        <v>8880319</v>
      </c>
      <c r="G336" s="2" t="s">
        <v>5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IFERROR(__xludf.DUMMYFUNCTION("""COMPUTED_VALUE"""),9.85)</f>
        <v>9.85</v>
      </c>
      <c r="C337" s="1">
        <f>IFERROR(__xludf.DUMMYFUNCTION("""COMPUTED_VALUE"""),10.0)</f>
        <v>10</v>
      </c>
      <c r="D337" s="1">
        <f>IFERROR(__xludf.DUMMYFUNCTION("""COMPUTED_VALUE"""),9.82)</f>
        <v>9.82</v>
      </c>
      <c r="E337" s="1">
        <f>IFERROR(__xludf.DUMMYFUNCTION("""COMPUTED_VALUE"""),9.9)</f>
        <v>9.9</v>
      </c>
      <c r="F337" s="1">
        <f>IFERROR(__xludf.DUMMYFUNCTION("""COMPUTED_VALUE"""),7666257.0)</f>
        <v>7666257</v>
      </c>
      <c r="G337" s="2" t="s">
        <v>5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IFERROR(__xludf.DUMMYFUNCTION("""COMPUTED_VALUE"""),9.79)</f>
        <v>9.79</v>
      </c>
      <c r="C338" s="1">
        <f>IFERROR(__xludf.DUMMYFUNCTION("""COMPUTED_VALUE"""),9.83)</f>
        <v>9.83</v>
      </c>
      <c r="D338" s="1">
        <f>IFERROR(__xludf.DUMMYFUNCTION("""COMPUTED_VALUE"""),9.5)</f>
        <v>9.5</v>
      </c>
      <c r="E338" s="1">
        <f>IFERROR(__xludf.DUMMYFUNCTION("""COMPUTED_VALUE"""),9.52)</f>
        <v>9.52</v>
      </c>
      <c r="F338" s="1">
        <f>IFERROR(__xludf.DUMMYFUNCTION("""COMPUTED_VALUE"""),1.2953974E7)</f>
        <v>12953974</v>
      </c>
      <c r="G338" s="2" t="s">
        <v>5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IFERROR(__xludf.DUMMYFUNCTION("""COMPUTED_VALUE"""),9.49)</f>
        <v>9.49</v>
      </c>
      <c r="C339" s="1">
        <f>IFERROR(__xludf.DUMMYFUNCTION("""COMPUTED_VALUE"""),9.6)</f>
        <v>9.6</v>
      </c>
      <c r="D339" s="1">
        <f>IFERROR(__xludf.DUMMYFUNCTION("""COMPUTED_VALUE"""),9.22)</f>
        <v>9.22</v>
      </c>
      <c r="E339" s="1">
        <f>IFERROR(__xludf.DUMMYFUNCTION("""COMPUTED_VALUE"""),9.56)</f>
        <v>9.56</v>
      </c>
      <c r="F339" s="1">
        <f>IFERROR(__xludf.DUMMYFUNCTION("""COMPUTED_VALUE"""),1.1967483E7)</f>
        <v>11967483</v>
      </c>
      <c r="G339" s="2" t="s">
        <v>5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IFERROR(__xludf.DUMMYFUNCTION("""COMPUTED_VALUE"""),9.7)</f>
        <v>9.7</v>
      </c>
      <c r="C340" s="1">
        <f>IFERROR(__xludf.DUMMYFUNCTION("""COMPUTED_VALUE"""),9.9)</f>
        <v>9.9</v>
      </c>
      <c r="D340" s="1">
        <f>IFERROR(__xludf.DUMMYFUNCTION("""COMPUTED_VALUE"""),9.23)</f>
        <v>9.23</v>
      </c>
      <c r="E340" s="1">
        <f>IFERROR(__xludf.DUMMYFUNCTION("""COMPUTED_VALUE"""),9.79)</f>
        <v>9.79</v>
      </c>
      <c r="F340" s="1">
        <f>IFERROR(__xludf.DUMMYFUNCTION("""COMPUTED_VALUE"""),1.634263E7)</f>
        <v>16342630</v>
      </c>
      <c r="G340" s="2" t="s">
        <v>5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IFERROR(__xludf.DUMMYFUNCTION("""COMPUTED_VALUE"""),9.94)</f>
        <v>9.94</v>
      </c>
      <c r="C341" s="1">
        <f>IFERROR(__xludf.DUMMYFUNCTION("""COMPUTED_VALUE"""),9.99)</f>
        <v>9.99</v>
      </c>
      <c r="D341" s="1">
        <f>IFERROR(__xludf.DUMMYFUNCTION("""COMPUTED_VALUE"""),9.68)</f>
        <v>9.68</v>
      </c>
      <c r="E341" s="1">
        <f>IFERROR(__xludf.DUMMYFUNCTION("""COMPUTED_VALUE"""),9.94)</f>
        <v>9.94</v>
      </c>
      <c r="F341" s="1">
        <f>IFERROR(__xludf.DUMMYFUNCTION("""COMPUTED_VALUE"""),1.4256188E7)</f>
        <v>14256188</v>
      </c>
      <c r="G341" s="2" t="s">
        <v>5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IFERROR(__xludf.DUMMYFUNCTION("""COMPUTED_VALUE"""),9.97)</f>
        <v>9.97</v>
      </c>
      <c r="C342" s="1">
        <f>IFERROR(__xludf.DUMMYFUNCTION("""COMPUTED_VALUE"""),10.06)</f>
        <v>10.06</v>
      </c>
      <c r="D342" s="1">
        <f>IFERROR(__xludf.DUMMYFUNCTION("""COMPUTED_VALUE"""),9.61)</f>
        <v>9.61</v>
      </c>
      <c r="E342" s="1">
        <f>IFERROR(__xludf.DUMMYFUNCTION("""COMPUTED_VALUE"""),9.63)</f>
        <v>9.63</v>
      </c>
      <c r="F342" s="1">
        <f>IFERROR(__xludf.DUMMYFUNCTION("""COMPUTED_VALUE"""),1.1158395E7)</f>
        <v>11158395</v>
      </c>
      <c r="G342" s="2" t="s">
        <v>5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IFERROR(__xludf.DUMMYFUNCTION("""COMPUTED_VALUE"""),9.73)</f>
        <v>9.73</v>
      </c>
      <c r="C343" s="1">
        <f>IFERROR(__xludf.DUMMYFUNCTION("""COMPUTED_VALUE"""),9.73)</f>
        <v>9.73</v>
      </c>
      <c r="D343" s="1">
        <f>IFERROR(__xludf.DUMMYFUNCTION("""COMPUTED_VALUE"""),9.52)</f>
        <v>9.52</v>
      </c>
      <c r="E343" s="1">
        <f>IFERROR(__xludf.DUMMYFUNCTION("""COMPUTED_VALUE"""),9.57)</f>
        <v>9.57</v>
      </c>
      <c r="F343" s="1">
        <f>IFERROR(__xludf.DUMMYFUNCTION("""COMPUTED_VALUE"""),7464559.0)</f>
        <v>7464559</v>
      </c>
      <c r="G343" s="2" t="s">
        <v>5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IFERROR(__xludf.DUMMYFUNCTION("""COMPUTED_VALUE"""),9.6)</f>
        <v>9.6</v>
      </c>
      <c r="C344" s="1">
        <f>IFERROR(__xludf.DUMMYFUNCTION("""COMPUTED_VALUE"""),9.64)</f>
        <v>9.64</v>
      </c>
      <c r="D344" s="1">
        <f>IFERROR(__xludf.DUMMYFUNCTION("""COMPUTED_VALUE"""),9.13)</f>
        <v>9.13</v>
      </c>
      <c r="E344" s="1">
        <f>IFERROR(__xludf.DUMMYFUNCTION("""COMPUTED_VALUE"""),9.25)</f>
        <v>9.25</v>
      </c>
      <c r="F344" s="1">
        <f>IFERROR(__xludf.DUMMYFUNCTION("""COMPUTED_VALUE"""),1.2751097E7)</f>
        <v>12751097</v>
      </c>
      <c r="G344" s="2" t="s">
        <v>5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IFERROR(__xludf.DUMMYFUNCTION("""COMPUTED_VALUE"""),9.36)</f>
        <v>9.36</v>
      </c>
      <c r="C345" s="1">
        <f>IFERROR(__xludf.DUMMYFUNCTION("""COMPUTED_VALUE"""),9.69)</f>
        <v>9.69</v>
      </c>
      <c r="D345" s="1">
        <f>IFERROR(__xludf.DUMMYFUNCTION("""COMPUTED_VALUE"""),9.36)</f>
        <v>9.36</v>
      </c>
      <c r="E345" s="1">
        <f>IFERROR(__xludf.DUMMYFUNCTION("""COMPUTED_VALUE"""),9.66)</f>
        <v>9.66</v>
      </c>
      <c r="F345" s="1">
        <f>IFERROR(__xludf.DUMMYFUNCTION("""COMPUTED_VALUE"""),9575491.0)</f>
        <v>9575491</v>
      </c>
      <c r="G345" s="2" t="s">
        <v>5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IFERROR(__xludf.DUMMYFUNCTION("""COMPUTED_VALUE"""),9.64)</f>
        <v>9.64</v>
      </c>
      <c r="C346" s="1">
        <f>IFERROR(__xludf.DUMMYFUNCTION("""COMPUTED_VALUE"""),9.71)</f>
        <v>9.71</v>
      </c>
      <c r="D346" s="1">
        <f>IFERROR(__xludf.DUMMYFUNCTION("""COMPUTED_VALUE"""),9.61)</f>
        <v>9.61</v>
      </c>
      <c r="E346" s="1">
        <f>IFERROR(__xludf.DUMMYFUNCTION("""COMPUTED_VALUE"""),9.67)</f>
        <v>9.67</v>
      </c>
      <c r="F346" s="1">
        <f>IFERROR(__xludf.DUMMYFUNCTION("""COMPUTED_VALUE"""),5631996.0)</f>
        <v>5631996</v>
      </c>
      <c r="G346" s="2" t="s">
        <v>5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IFERROR(__xludf.DUMMYFUNCTION("""COMPUTED_VALUE"""),9.68)</f>
        <v>9.68</v>
      </c>
      <c r="C347" s="1">
        <f>IFERROR(__xludf.DUMMYFUNCTION("""COMPUTED_VALUE"""),9.72)</f>
        <v>9.72</v>
      </c>
      <c r="D347" s="1">
        <f>IFERROR(__xludf.DUMMYFUNCTION("""COMPUTED_VALUE"""),9.56)</f>
        <v>9.56</v>
      </c>
      <c r="E347" s="1">
        <f>IFERROR(__xludf.DUMMYFUNCTION("""COMPUTED_VALUE"""),9.67)</f>
        <v>9.67</v>
      </c>
      <c r="F347" s="1">
        <f>IFERROR(__xludf.DUMMYFUNCTION("""COMPUTED_VALUE"""),5512156.0)</f>
        <v>5512156</v>
      </c>
      <c r="G347" s="2" t="s">
        <v>5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IFERROR(__xludf.DUMMYFUNCTION("""COMPUTED_VALUE"""),9.7)</f>
        <v>9.7</v>
      </c>
      <c r="C348" s="1">
        <f>IFERROR(__xludf.DUMMYFUNCTION("""COMPUTED_VALUE"""),9.87)</f>
        <v>9.87</v>
      </c>
      <c r="D348" s="1">
        <f>IFERROR(__xludf.DUMMYFUNCTION("""COMPUTED_VALUE"""),9.68)</f>
        <v>9.68</v>
      </c>
      <c r="E348" s="1">
        <f>IFERROR(__xludf.DUMMYFUNCTION("""COMPUTED_VALUE"""),9.72)</f>
        <v>9.72</v>
      </c>
      <c r="F348" s="1">
        <f>IFERROR(__xludf.DUMMYFUNCTION("""COMPUTED_VALUE"""),8024064.0)</f>
        <v>8024064</v>
      </c>
      <c r="G348" s="2" t="s">
        <v>5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IFERROR(__xludf.DUMMYFUNCTION("""COMPUTED_VALUE"""),9.72)</f>
        <v>9.72</v>
      </c>
      <c r="C349" s="1">
        <f>IFERROR(__xludf.DUMMYFUNCTION("""COMPUTED_VALUE"""),9.79)</f>
        <v>9.79</v>
      </c>
      <c r="D349" s="1">
        <f>IFERROR(__xludf.DUMMYFUNCTION("""COMPUTED_VALUE"""),9.53)</f>
        <v>9.53</v>
      </c>
      <c r="E349" s="1">
        <f>IFERROR(__xludf.DUMMYFUNCTION("""COMPUTED_VALUE"""),9.59)</f>
        <v>9.59</v>
      </c>
      <c r="F349" s="1">
        <f>IFERROR(__xludf.DUMMYFUNCTION("""COMPUTED_VALUE"""),8099805.0)</f>
        <v>8099805</v>
      </c>
      <c r="G349" s="2" t="s">
        <v>5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IFERROR(__xludf.DUMMYFUNCTION("""COMPUTED_VALUE"""),9.66)</f>
        <v>9.66</v>
      </c>
      <c r="C350" s="1">
        <f>IFERROR(__xludf.DUMMYFUNCTION("""COMPUTED_VALUE"""),9.7)</f>
        <v>9.7</v>
      </c>
      <c r="D350" s="1">
        <f>IFERROR(__xludf.DUMMYFUNCTION("""COMPUTED_VALUE"""),9.57)</f>
        <v>9.57</v>
      </c>
      <c r="E350" s="1">
        <f>IFERROR(__xludf.DUMMYFUNCTION("""COMPUTED_VALUE"""),9.62)</f>
        <v>9.62</v>
      </c>
      <c r="F350" s="1">
        <f>IFERROR(__xludf.DUMMYFUNCTION("""COMPUTED_VALUE"""),7201661.0)</f>
        <v>7201661</v>
      </c>
      <c r="G350" s="2" t="s">
        <v>5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IFERROR(__xludf.DUMMYFUNCTION("""COMPUTED_VALUE"""),9.71)</f>
        <v>9.71</v>
      </c>
      <c r="C351" s="1">
        <f>IFERROR(__xludf.DUMMYFUNCTION("""COMPUTED_VALUE"""),9.75)</f>
        <v>9.75</v>
      </c>
      <c r="D351" s="1">
        <f>IFERROR(__xludf.DUMMYFUNCTION("""COMPUTED_VALUE"""),9.63)</f>
        <v>9.63</v>
      </c>
      <c r="E351" s="1">
        <f>IFERROR(__xludf.DUMMYFUNCTION("""COMPUTED_VALUE"""),9.72)</f>
        <v>9.72</v>
      </c>
      <c r="F351" s="1">
        <f>IFERROR(__xludf.DUMMYFUNCTION("""COMPUTED_VALUE"""),5390217.0)</f>
        <v>5390217</v>
      </c>
      <c r="G351" s="2" t="s">
        <v>5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IFERROR(__xludf.DUMMYFUNCTION("""COMPUTED_VALUE"""),9.67)</f>
        <v>9.67</v>
      </c>
      <c r="C352" s="1">
        <f>IFERROR(__xludf.DUMMYFUNCTION("""COMPUTED_VALUE"""),9.8)</f>
        <v>9.8</v>
      </c>
      <c r="D352" s="1">
        <f>IFERROR(__xludf.DUMMYFUNCTION("""COMPUTED_VALUE"""),9.58)</f>
        <v>9.58</v>
      </c>
      <c r="E352" s="1">
        <f>IFERROR(__xludf.DUMMYFUNCTION("""COMPUTED_VALUE"""),9.61)</f>
        <v>9.61</v>
      </c>
      <c r="F352" s="1">
        <f>IFERROR(__xludf.DUMMYFUNCTION("""COMPUTED_VALUE"""),8163970.0)</f>
        <v>8163970</v>
      </c>
      <c r="G352" s="2" t="s">
        <v>5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IFERROR(__xludf.DUMMYFUNCTION("""COMPUTED_VALUE"""),9.52)</f>
        <v>9.52</v>
      </c>
      <c r="C353" s="1">
        <f>IFERROR(__xludf.DUMMYFUNCTION("""COMPUTED_VALUE"""),9.69)</f>
        <v>9.69</v>
      </c>
      <c r="D353" s="1">
        <f>IFERROR(__xludf.DUMMYFUNCTION("""COMPUTED_VALUE"""),9.4)</f>
        <v>9.4</v>
      </c>
      <c r="E353" s="1">
        <f>IFERROR(__xludf.DUMMYFUNCTION("""COMPUTED_VALUE"""),9.69)</f>
        <v>9.69</v>
      </c>
      <c r="F353" s="1">
        <f>IFERROR(__xludf.DUMMYFUNCTION("""COMPUTED_VALUE"""),1.077918E7)</f>
        <v>10779180</v>
      </c>
      <c r="G353" s="2" t="s">
        <v>5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IFERROR(__xludf.DUMMYFUNCTION("""COMPUTED_VALUE"""),9.62)</f>
        <v>9.62</v>
      </c>
      <c r="C354" s="1">
        <f>IFERROR(__xludf.DUMMYFUNCTION("""COMPUTED_VALUE"""),9.85)</f>
        <v>9.85</v>
      </c>
      <c r="D354" s="1">
        <f>IFERROR(__xludf.DUMMYFUNCTION("""COMPUTED_VALUE"""),9.55)</f>
        <v>9.55</v>
      </c>
      <c r="E354" s="1">
        <f>IFERROR(__xludf.DUMMYFUNCTION("""COMPUTED_VALUE"""),9.76)</f>
        <v>9.76</v>
      </c>
      <c r="F354" s="1">
        <f>IFERROR(__xludf.DUMMYFUNCTION("""COMPUTED_VALUE"""),1.1097278E7)</f>
        <v>11097278</v>
      </c>
      <c r="G354" s="2" t="s">
        <v>5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IFERROR(__xludf.DUMMYFUNCTION("""COMPUTED_VALUE"""),9.77)</f>
        <v>9.77</v>
      </c>
      <c r="C355" s="1">
        <f>IFERROR(__xludf.DUMMYFUNCTION("""COMPUTED_VALUE"""),9.89)</f>
        <v>9.89</v>
      </c>
      <c r="D355" s="1">
        <f>IFERROR(__xludf.DUMMYFUNCTION("""COMPUTED_VALUE"""),9.74)</f>
        <v>9.74</v>
      </c>
      <c r="E355" s="1">
        <f>IFERROR(__xludf.DUMMYFUNCTION("""COMPUTED_VALUE"""),9.78)</f>
        <v>9.78</v>
      </c>
      <c r="F355" s="1">
        <f>IFERROR(__xludf.DUMMYFUNCTION("""COMPUTED_VALUE"""),1.083198E7)</f>
        <v>10831980</v>
      </c>
      <c r="G355" s="2" t="s">
        <v>5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IFERROR(__xludf.DUMMYFUNCTION("""COMPUTED_VALUE"""),9.73)</f>
        <v>9.73</v>
      </c>
      <c r="C356" s="1">
        <f>IFERROR(__xludf.DUMMYFUNCTION("""COMPUTED_VALUE"""),9.92)</f>
        <v>9.92</v>
      </c>
      <c r="D356" s="1">
        <f>IFERROR(__xludf.DUMMYFUNCTION("""COMPUTED_VALUE"""),9.72)</f>
        <v>9.72</v>
      </c>
      <c r="E356" s="1">
        <f>IFERROR(__xludf.DUMMYFUNCTION("""COMPUTED_VALUE"""),9.87)</f>
        <v>9.87</v>
      </c>
      <c r="F356" s="1">
        <f>IFERROR(__xludf.DUMMYFUNCTION("""COMPUTED_VALUE"""),7362728.0)</f>
        <v>7362728</v>
      </c>
      <c r="G356" s="2" t="s">
        <v>5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IFERROR(__xludf.DUMMYFUNCTION("""COMPUTED_VALUE"""),9.85)</f>
        <v>9.85</v>
      </c>
      <c r="C357" s="1">
        <f>IFERROR(__xludf.DUMMYFUNCTION("""COMPUTED_VALUE"""),9.97)</f>
        <v>9.97</v>
      </c>
      <c r="D357" s="1">
        <f>IFERROR(__xludf.DUMMYFUNCTION("""COMPUTED_VALUE"""),9.77)</f>
        <v>9.77</v>
      </c>
      <c r="E357" s="1">
        <f>IFERROR(__xludf.DUMMYFUNCTION("""COMPUTED_VALUE"""),9.96)</f>
        <v>9.96</v>
      </c>
      <c r="F357" s="1">
        <f>IFERROR(__xludf.DUMMYFUNCTION("""COMPUTED_VALUE"""),7421548.0)</f>
        <v>7421548</v>
      </c>
      <c r="G357" s="2" t="s">
        <v>5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IFERROR(__xludf.DUMMYFUNCTION("""COMPUTED_VALUE"""),9.86)</f>
        <v>9.86</v>
      </c>
      <c r="C358" s="1">
        <f>IFERROR(__xludf.DUMMYFUNCTION("""COMPUTED_VALUE"""),9.88)</f>
        <v>9.88</v>
      </c>
      <c r="D358" s="1">
        <f>IFERROR(__xludf.DUMMYFUNCTION("""COMPUTED_VALUE"""),9.68)</f>
        <v>9.68</v>
      </c>
      <c r="E358" s="1">
        <f>IFERROR(__xludf.DUMMYFUNCTION("""COMPUTED_VALUE"""),9.74)</f>
        <v>9.74</v>
      </c>
      <c r="F358" s="1">
        <f>IFERROR(__xludf.DUMMYFUNCTION("""COMPUTED_VALUE"""),7566506.0)</f>
        <v>7566506</v>
      </c>
      <c r="G358" s="2" t="s">
        <v>5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IFERROR(__xludf.DUMMYFUNCTION("""COMPUTED_VALUE"""),9.74)</f>
        <v>9.74</v>
      </c>
      <c r="C359" s="1">
        <f>IFERROR(__xludf.DUMMYFUNCTION("""COMPUTED_VALUE"""),9.78)</f>
        <v>9.78</v>
      </c>
      <c r="D359" s="1">
        <f>IFERROR(__xludf.DUMMYFUNCTION("""COMPUTED_VALUE"""),9.48)</f>
        <v>9.48</v>
      </c>
      <c r="E359" s="1">
        <f>IFERROR(__xludf.DUMMYFUNCTION("""COMPUTED_VALUE"""),9.7)</f>
        <v>9.7</v>
      </c>
      <c r="F359" s="1">
        <f>IFERROR(__xludf.DUMMYFUNCTION("""COMPUTED_VALUE"""),7421989.0)</f>
        <v>7421989</v>
      </c>
      <c r="G359" s="2" t="s">
        <v>5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IFERROR(__xludf.DUMMYFUNCTION("""COMPUTED_VALUE"""),9.74)</f>
        <v>9.74</v>
      </c>
      <c r="C360" s="1">
        <f>IFERROR(__xludf.DUMMYFUNCTION("""COMPUTED_VALUE"""),9.8)</f>
        <v>9.8</v>
      </c>
      <c r="D360" s="1">
        <f>IFERROR(__xludf.DUMMYFUNCTION("""COMPUTED_VALUE"""),9.52)</f>
        <v>9.52</v>
      </c>
      <c r="E360" s="1">
        <f>IFERROR(__xludf.DUMMYFUNCTION("""COMPUTED_VALUE"""),9.74)</f>
        <v>9.74</v>
      </c>
      <c r="F360" s="1">
        <f>IFERROR(__xludf.DUMMYFUNCTION("""COMPUTED_VALUE"""),6402968.0)</f>
        <v>6402968</v>
      </c>
      <c r="G360" s="2" t="s">
        <v>5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IFERROR(__xludf.DUMMYFUNCTION("""COMPUTED_VALUE"""),9.86)</f>
        <v>9.86</v>
      </c>
      <c r="C361" s="1">
        <f>IFERROR(__xludf.DUMMYFUNCTION("""COMPUTED_VALUE"""),9.86)</f>
        <v>9.86</v>
      </c>
      <c r="D361" s="1">
        <f>IFERROR(__xludf.DUMMYFUNCTION("""COMPUTED_VALUE"""),9.63)</f>
        <v>9.63</v>
      </c>
      <c r="E361" s="1">
        <f>IFERROR(__xludf.DUMMYFUNCTION("""COMPUTED_VALUE"""),9.69)</f>
        <v>9.69</v>
      </c>
      <c r="F361" s="1">
        <f>IFERROR(__xludf.DUMMYFUNCTION("""COMPUTED_VALUE"""),3362420.0)</f>
        <v>3362420</v>
      </c>
      <c r="G361" s="2" t="s">
        <v>5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IFERROR(__xludf.DUMMYFUNCTION("""COMPUTED_VALUE"""),9.64)</f>
        <v>9.64</v>
      </c>
      <c r="C362" s="1">
        <f>IFERROR(__xludf.DUMMYFUNCTION("""COMPUTED_VALUE"""),9.79)</f>
        <v>9.79</v>
      </c>
      <c r="D362" s="1">
        <f>IFERROR(__xludf.DUMMYFUNCTION("""COMPUTED_VALUE"""),9.59)</f>
        <v>9.59</v>
      </c>
      <c r="E362" s="1">
        <f>IFERROR(__xludf.DUMMYFUNCTION("""COMPUTED_VALUE"""),9.65)</f>
        <v>9.65</v>
      </c>
      <c r="F362" s="1">
        <f>IFERROR(__xludf.DUMMYFUNCTION("""COMPUTED_VALUE"""),8098978.0)</f>
        <v>8098978</v>
      </c>
      <c r="G362" s="2" t="s">
        <v>5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IFERROR(__xludf.DUMMYFUNCTION("""COMPUTED_VALUE"""),9.61)</f>
        <v>9.61</v>
      </c>
      <c r="C363" s="1">
        <f>IFERROR(__xludf.DUMMYFUNCTION("""COMPUTED_VALUE"""),9.7)</f>
        <v>9.7</v>
      </c>
      <c r="D363" s="1">
        <f>IFERROR(__xludf.DUMMYFUNCTION("""COMPUTED_VALUE"""),9.44)</f>
        <v>9.44</v>
      </c>
      <c r="E363" s="1">
        <f>IFERROR(__xludf.DUMMYFUNCTION("""COMPUTED_VALUE"""),9.48)</f>
        <v>9.48</v>
      </c>
      <c r="F363" s="1">
        <f>IFERROR(__xludf.DUMMYFUNCTION("""COMPUTED_VALUE"""),1.885057E7)</f>
        <v>18850570</v>
      </c>
      <c r="G363" s="2" t="s">
        <v>5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IFERROR(__xludf.DUMMYFUNCTION("""COMPUTED_VALUE"""),9.55)</f>
        <v>9.55</v>
      </c>
      <c r="C364" s="1">
        <f>IFERROR(__xludf.DUMMYFUNCTION("""COMPUTED_VALUE"""),9.62)</f>
        <v>9.62</v>
      </c>
      <c r="D364" s="1">
        <f>IFERROR(__xludf.DUMMYFUNCTION("""COMPUTED_VALUE"""),9.5)</f>
        <v>9.5</v>
      </c>
      <c r="E364" s="1">
        <f>IFERROR(__xludf.DUMMYFUNCTION("""COMPUTED_VALUE"""),9.58)</f>
        <v>9.58</v>
      </c>
      <c r="F364" s="1">
        <f>IFERROR(__xludf.DUMMYFUNCTION("""COMPUTED_VALUE"""),5646730.0)</f>
        <v>5646730</v>
      </c>
      <c r="G364" s="2" t="s">
        <v>5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IFERROR(__xludf.DUMMYFUNCTION("""COMPUTED_VALUE"""),9.62)</f>
        <v>9.62</v>
      </c>
      <c r="C365" s="1">
        <f>IFERROR(__xludf.DUMMYFUNCTION("""COMPUTED_VALUE"""),9.89)</f>
        <v>9.89</v>
      </c>
      <c r="D365" s="1">
        <f>IFERROR(__xludf.DUMMYFUNCTION("""COMPUTED_VALUE"""),9.62)</f>
        <v>9.62</v>
      </c>
      <c r="E365" s="1">
        <f>IFERROR(__xludf.DUMMYFUNCTION("""COMPUTED_VALUE"""),9.86)</f>
        <v>9.86</v>
      </c>
      <c r="F365" s="1">
        <f>IFERROR(__xludf.DUMMYFUNCTION("""COMPUTED_VALUE"""),9026298.0)</f>
        <v>9026298</v>
      </c>
      <c r="G365" s="2" t="s">
        <v>5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IFERROR(__xludf.DUMMYFUNCTION("""COMPUTED_VALUE"""),9.9)</f>
        <v>9.9</v>
      </c>
      <c r="C366" s="1">
        <f>IFERROR(__xludf.DUMMYFUNCTION("""COMPUTED_VALUE"""),9.93)</f>
        <v>9.93</v>
      </c>
      <c r="D366" s="1">
        <f>IFERROR(__xludf.DUMMYFUNCTION("""COMPUTED_VALUE"""),9.61)</f>
        <v>9.61</v>
      </c>
      <c r="E366" s="1">
        <f>IFERROR(__xludf.DUMMYFUNCTION("""COMPUTED_VALUE"""),9.7)</f>
        <v>9.7</v>
      </c>
      <c r="F366" s="1">
        <f>IFERROR(__xludf.DUMMYFUNCTION("""COMPUTED_VALUE"""),7065659.0)</f>
        <v>7065659</v>
      </c>
      <c r="G366" s="2" t="s">
        <v>5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IFERROR(__xludf.DUMMYFUNCTION("""COMPUTED_VALUE"""),9.64)</f>
        <v>9.64</v>
      </c>
      <c r="C367" s="1">
        <f>IFERROR(__xludf.DUMMYFUNCTION("""COMPUTED_VALUE"""),9.81)</f>
        <v>9.81</v>
      </c>
      <c r="D367" s="1">
        <f>IFERROR(__xludf.DUMMYFUNCTION("""COMPUTED_VALUE"""),9.61)</f>
        <v>9.61</v>
      </c>
      <c r="E367" s="1">
        <f>IFERROR(__xludf.DUMMYFUNCTION("""COMPUTED_VALUE"""),9.78)</f>
        <v>9.78</v>
      </c>
      <c r="F367" s="1">
        <f>IFERROR(__xludf.DUMMYFUNCTION("""COMPUTED_VALUE"""),5845654.0)</f>
        <v>5845654</v>
      </c>
      <c r="G367" s="2" t="s">
        <v>5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IFERROR(__xludf.DUMMYFUNCTION("""COMPUTED_VALUE"""),9.83)</f>
        <v>9.83</v>
      </c>
      <c r="C368" s="1">
        <f>IFERROR(__xludf.DUMMYFUNCTION("""COMPUTED_VALUE"""),9.85)</f>
        <v>9.85</v>
      </c>
      <c r="D368" s="1">
        <f>IFERROR(__xludf.DUMMYFUNCTION("""COMPUTED_VALUE"""),9.69)</f>
        <v>9.69</v>
      </c>
      <c r="E368" s="1">
        <f>IFERROR(__xludf.DUMMYFUNCTION("""COMPUTED_VALUE"""),9.81)</f>
        <v>9.81</v>
      </c>
      <c r="F368" s="1">
        <f>IFERROR(__xludf.DUMMYFUNCTION("""COMPUTED_VALUE"""),5913551.0)</f>
        <v>5913551</v>
      </c>
      <c r="G368" s="2" t="s">
        <v>5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IFERROR(__xludf.DUMMYFUNCTION("""COMPUTED_VALUE"""),9.88)</f>
        <v>9.88</v>
      </c>
      <c r="C369" s="1">
        <f>IFERROR(__xludf.DUMMYFUNCTION("""COMPUTED_VALUE"""),9.99)</f>
        <v>9.99</v>
      </c>
      <c r="D369" s="1">
        <f>IFERROR(__xludf.DUMMYFUNCTION("""COMPUTED_VALUE"""),9.82)</f>
        <v>9.82</v>
      </c>
      <c r="E369" s="1">
        <f>IFERROR(__xludf.DUMMYFUNCTION("""COMPUTED_VALUE"""),9.86)</f>
        <v>9.86</v>
      </c>
      <c r="F369" s="1">
        <f>IFERROR(__xludf.DUMMYFUNCTION("""COMPUTED_VALUE"""),7803990.0)</f>
        <v>7803990</v>
      </c>
      <c r="G369" s="2" t="s">
        <v>5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IFERROR(__xludf.DUMMYFUNCTION("""COMPUTED_VALUE"""),9.87)</f>
        <v>9.87</v>
      </c>
      <c r="C370" s="1">
        <f>IFERROR(__xludf.DUMMYFUNCTION("""COMPUTED_VALUE"""),9.94)</f>
        <v>9.94</v>
      </c>
      <c r="D370" s="1">
        <f>IFERROR(__xludf.DUMMYFUNCTION("""COMPUTED_VALUE"""),9.79)</f>
        <v>9.79</v>
      </c>
      <c r="E370" s="1">
        <f>IFERROR(__xludf.DUMMYFUNCTION("""COMPUTED_VALUE"""),9.84)</f>
        <v>9.84</v>
      </c>
      <c r="F370" s="1">
        <f>IFERROR(__xludf.DUMMYFUNCTION("""COMPUTED_VALUE"""),6840401.0)</f>
        <v>6840401</v>
      </c>
      <c r="G370" s="2" t="s">
        <v>5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IFERROR(__xludf.DUMMYFUNCTION("""COMPUTED_VALUE"""),9.86)</f>
        <v>9.86</v>
      </c>
      <c r="C371" s="1">
        <f>IFERROR(__xludf.DUMMYFUNCTION("""COMPUTED_VALUE"""),9.98)</f>
        <v>9.98</v>
      </c>
      <c r="D371" s="1">
        <f>IFERROR(__xludf.DUMMYFUNCTION("""COMPUTED_VALUE"""),9.81)</f>
        <v>9.81</v>
      </c>
      <c r="E371" s="1">
        <f>IFERROR(__xludf.DUMMYFUNCTION("""COMPUTED_VALUE"""),9.86)</f>
        <v>9.86</v>
      </c>
      <c r="F371" s="1">
        <f>IFERROR(__xludf.DUMMYFUNCTION("""COMPUTED_VALUE"""),7069759.0)</f>
        <v>7069759</v>
      </c>
      <c r="G371" s="2" t="s">
        <v>5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IFERROR(__xludf.DUMMYFUNCTION("""COMPUTED_VALUE"""),9.87)</f>
        <v>9.87</v>
      </c>
      <c r="C372" s="1">
        <f>IFERROR(__xludf.DUMMYFUNCTION("""COMPUTED_VALUE"""),9.9)</f>
        <v>9.9</v>
      </c>
      <c r="D372" s="1">
        <f>IFERROR(__xludf.DUMMYFUNCTION("""COMPUTED_VALUE"""),9.76)</f>
        <v>9.76</v>
      </c>
      <c r="E372" s="1">
        <f>IFERROR(__xludf.DUMMYFUNCTION("""COMPUTED_VALUE"""),9.86)</f>
        <v>9.86</v>
      </c>
      <c r="F372" s="1">
        <f>IFERROR(__xludf.DUMMYFUNCTION("""COMPUTED_VALUE"""),8198336.0)</f>
        <v>8198336</v>
      </c>
      <c r="G372" s="2" t="s">
        <v>5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IFERROR(__xludf.DUMMYFUNCTION("""COMPUTED_VALUE"""),9.9)</f>
        <v>9.9</v>
      </c>
      <c r="C373" s="1">
        <f>IFERROR(__xludf.DUMMYFUNCTION("""COMPUTED_VALUE"""),10.06)</f>
        <v>10.06</v>
      </c>
      <c r="D373" s="1">
        <f>IFERROR(__xludf.DUMMYFUNCTION("""COMPUTED_VALUE"""),9.86)</f>
        <v>9.86</v>
      </c>
      <c r="E373" s="1">
        <f>IFERROR(__xludf.DUMMYFUNCTION("""COMPUTED_VALUE"""),9.93)</f>
        <v>9.93</v>
      </c>
      <c r="F373" s="1">
        <f>IFERROR(__xludf.DUMMYFUNCTION("""COMPUTED_VALUE"""),1.1448955E7)</f>
        <v>11448955</v>
      </c>
      <c r="G373" s="2" t="s">
        <v>5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IFERROR(__xludf.DUMMYFUNCTION("""COMPUTED_VALUE"""),9.87)</f>
        <v>9.87</v>
      </c>
      <c r="C374" s="1">
        <f>IFERROR(__xludf.DUMMYFUNCTION("""COMPUTED_VALUE"""),9.9)</f>
        <v>9.9</v>
      </c>
      <c r="D374" s="1">
        <f>IFERROR(__xludf.DUMMYFUNCTION("""COMPUTED_VALUE"""),9.62)</f>
        <v>9.62</v>
      </c>
      <c r="E374" s="1">
        <f>IFERROR(__xludf.DUMMYFUNCTION("""COMPUTED_VALUE"""),9.64)</f>
        <v>9.64</v>
      </c>
      <c r="F374" s="1">
        <f>IFERROR(__xludf.DUMMYFUNCTION("""COMPUTED_VALUE"""),1.8416643E7)</f>
        <v>18416643</v>
      </c>
      <c r="G374" s="2" t="s">
        <v>5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IFERROR(__xludf.DUMMYFUNCTION("""COMPUTED_VALUE"""),9.63)</f>
        <v>9.63</v>
      </c>
      <c r="C375" s="1">
        <f>IFERROR(__xludf.DUMMYFUNCTION("""COMPUTED_VALUE"""),9.63)</f>
        <v>9.63</v>
      </c>
      <c r="D375" s="1">
        <f>IFERROR(__xludf.DUMMYFUNCTION("""COMPUTED_VALUE"""),9.3)</f>
        <v>9.3</v>
      </c>
      <c r="E375" s="1">
        <f>IFERROR(__xludf.DUMMYFUNCTION("""COMPUTED_VALUE"""),9.51)</f>
        <v>9.51</v>
      </c>
      <c r="F375" s="1">
        <f>IFERROR(__xludf.DUMMYFUNCTION("""COMPUTED_VALUE"""),3.3381496E7)</f>
        <v>33381496</v>
      </c>
      <c r="G375" s="2" t="s">
        <v>5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IFERROR(__xludf.DUMMYFUNCTION("""COMPUTED_VALUE"""),9.47)</f>
        <v>9.47</v>
      </c>
      <c r="C376" s="1">
        <f>IFERROR(__xludf.DUMMYFUNCTION("""COMPUTED_VALUE"""),9.57)</f>
        <v>9.57</v>
      </c>
      <c r="D376" s="1">
        <f>IFERROR(__xludf.DUMMYFUNCTION("""COMPUTED_VALUE"""),9.36)</f>
        <v>9.36</v>
      </c>
      <c r="E376" s="1">
        <f>IFERROR(__xludf.DUMMYFUNCTION("""COMPUTED_VALUE"""),9.4)</f>
        <v>9.4</v>
      </c>
      <c r="F376" s="1">
        <f>IFERROR(__xludf.DUMMYFUNCTION("""COMPUTED_VALUE"""),9103061.0)</f>
        <v>9103061</v>
      </c>
      <c r="G376" s="2" t="s">
        <v>5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IFERROR(__xludf.DUMMYFUNCTION("""COMPUTED_VALUE"""),9.35)</f>
        <v>9.35</v>
      </c>
      <c r="C377" s="1">
        <f>IFERROR(__xludf.DUMMYFUNCTION("""COMPUTED_VALUE"""),9.44)</f>
        <v>9.44</v>
      </c>
      <c r="D377" s="1">
        <f>IFERROR(__xludf.DUMMYFUNCTION("""COMPUTED_VALUE"""),9.31)</f>
        <v>9.31</v>
      </c>
      <c r="E377" s="1">
        <f>IFERROR(__xludf.DUMMYFUNCTION("""COMPUTED_VALUE"""),9.33)</f>
        <v>9.33</v>
      </c>
      <c r="F377" s="1">
        <f>IFERROR(__xludf.DUMMYFUNCTION("""COMPUTED_VALUE"""),6644224.0)</f>
        <v>6644224</v>
      </c>
      <c r="G377" s="2" t="s">
        <v>5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IFERROR(__xludf.DUMMYFUNCTION("""COMPUTED_VALUE"""),9.31)</f>
        <v>9.31</v>
      </c>
      <c r="C378" s="1">
        <f>IFERROR(__xludf.DUMMYFUNCTION("""COMPUTED_VALUE"""),9.51)</f>
        <v>9.51</v>
      </c>
      <c r="D378" s="1">
        <f>IFERROR(__xludf.DUMMYFUNCTION("""COMPUTED_VALUE"""),9.25)</f>
        <v>9.25</v>
      </c>
      <c r="E378" s="1">
        <f>IFERROR(__xludf.DUMMYFUNCTION("""COMPUTED_VALUE"""),9.44)</f>
        <v>9.44</v>
      </c>
      <c r="F378" s="1">
        <f>IFERROR(__xludf.DUMMYFUNCTION("""COMPUTED_VALUE"""),9553765.0)</f>
        <v>9553765</v>
      </c>
      <c r="G378" s="2" t="s">
        <v>5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IFERROR(__xludf.DUMMYFUNCTION("""COMPUTED_VALUE"""),9.35)</f>
        <v>9.35</v>
      </c>
      <c r="C379" s="1">
        <f>IFERROR(__xludf.DUMMYFUNCTION("""COMPUTED_VALUE"""),9.35)</f>
        <v>9.35</v>
      </c>
      <c r="D379" s="1">
        <f>IFERROR(__xludf.DUMMYFUNCTION("""COMPUTED_VALUE"""),9.17)</f>
        <v>9.17</v>
      </c>
      <c r="E379" s="1">
        <f>IFERROR(__xludf.DUMMYFUNCTION("""COMPUTED_VALUE"""),9.3)</f>
        <v>9.3</v>
      </c>
      <c r="F379" s="1">
        <f>IFERROR(__xludf.DUMMYFUNCTION("""COMPUTED_VALUE"""),8236890.0)</f>
        <v>8236890</v>
      </c>
      <c r="G379" s="2" t="s">
        <v>5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IFERROR(__xludf.DUMMYFUNCTION("""COMPUTED_VALUE"""),9.25)</f>
        <v>9.25</v>
      </c>
      <c r="C380" s="1">
        <f>IFERROR(__xludf.DUMMYFUNCTION("""COMPUTED_VALUE"""),9.28)</f>
        <v>9.28</v>
      </c>
      <c r="D380" s="1">
        <f>IFERROR(__xludf.DUMMYFUNCTION("""COMPUTED_VALUE"""),9.12)</f>
        <v>9.12</v>
      </c>
      <c r="E380" s="1">
        <f>IFERROR(__xludf.DUMMYFUNCTION("""COMPUTED_VALUE"""),9.16)</f>
        <v>9.16</v>
      </c>
      <c r="F380" s="1">
        <f>IFERROR(__xludf.DUMMYFUNCTION("""COMPUTED_VALUE"""),8832020.0)</f>
        <v>8832020</v>
      </c>
      <c r="G380" s="2" t="s">
        <v>5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IFERROR(__xludf.DUMMYFUNCTION("""COMPUTED_VALUE"""),9.17)</f>
        <v>9.17</v>
      </c>
      <c r="C381" s="1">
        <f>IFERROR(__xludf.DUMMYFUNCTION("""COMPUTED_VALUE"""),9.22)</f>
        <v>9.22</v>
      </c>
      <c r="D381" s="1">
        <f>IFERROR(__xludf.DUMMYFUNCTION("""COMPUTED_VALUE"""),8.9)</f>
        <v>8.9</v>
      </c>
      <c r="E381" s="1">
        <f>IFERROR(__xludf.DUMMYFUNCTION("""COMPUTED_VALUE"""),9.18)</f>
        <v>9.18</v>
      </c>
      <c r="F381" s="1">
        <f>IFERROR(__xludf.DUMMYFUNCTION("""COMPUTED_VALUE"""),1.0225013E7)</f>
        <v>10225013</v>
      </c>
      <c r="G381" s="2" t="s">
        <v>5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IFERROR(__xludf.DUMMYFUNCTION("""COMPUTED_VALUE"""),9.25)</f>
        <v>9.25</v>
      </c>
      <c r="C382" s="1">
        <f>IFERROR(__xludf.DUMMYFUNCTION("""COMPUTED_VALUE"""),9.35)</f>
        <v>9.35</v>
      </c>
      <c r="D382" s="1">
        <f>IFERROR(__xludf.DUMMYFUNCTION("""COMPUTED_VALUE"""),9.14)</f>
        <v>9.14</v>
      </c>
      <c r="E382" s="1">
        <f>IFERROR(__xludf.DUMMYFUNCTION("""COMPUTED_VALUE"""),9.34)</f>
        <v>9.34</v>
      </c>
      <c r="F382" s="1">
        <f>IFERROR(__xludf.DUMMYFUNCTION("""COMPUTED_VALUE"""),7925071.0)</f>
        <v>7925071</v>
      </c>
      <c r="G382" s="2" t="s">
        <v>5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IFERROR(__xludf.DUMMYFUNCTION("""COMPUTED_VALUE"""),9.35)</f>
        <v>9.35</v>
      </c>
      <c r="C383" s="1">
        <f>IFERROR(__xludf.DUMMYFUNCTION("""COMPUTED_VALUE"""),9.4)</f>
        <v>9.4</v>
      </c>
      <c r="D383" s="1">
        <f>IFERROR(__xludf.DUMMYFUNCTION("""COMPUTED_VALUE"""),9.25)</f>
        <v>9.25</v>
      </c>
      <c r="E383" s="1">
        <f>IFERROR(__xludf.DUMMYFUNCTION("""COMPUTED_VALUE"""),9.38)</f>
        <v>9.38</v>
      </c>
      <c r="F383" s="1">
        <f>IFERROR(__xludf.DUMMYFUNCTION("""COMPUTED_VALUE"""),6994538.0)</f>
        <v>6994538</v>
      </c>
      <c r="G383" s="2" t="s">
        <v>5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IFERROR(__xludf.DUMMYFUNCTION("""COMPUTED_VALUE"""),9.43)</f>
        <v>9.43</v>
      </c>
      <c r="C384" s="1">
        <f>IFERROR(__xludf.DUMMYFUNCTION("""COMPUTED_VALUE"""),9.55)</f>
        <v>9.55</v>
      </c>
      <c r="D384" s="1">
        <f>IFERROR(__xludf.DUMMYFUNCTION("""COMPUTED_VALUE"""),9.38)</f>
        <v>9.38</v>
      </c>
      <c r="E384" s="1">
        <f>IFERROR(__xludf.DUMMYFUNCTION("""COMPUTED_VALUE"""),9.52)</f>
        <v>9.52</v>
      </c>
      <c r="F384" s="1">
        <f>IFERROR(__xludf.DUMMYFUNCTION("""COMPUTED_VALUE"""),6746246.0)</f>
        <v>6746246</v>
      </c>
      <c r="G384" s="2" t="s">
        <v>5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IFERROR(__xludf.DUMMYFUNCTION("""COMPUTED_VALUE"""),9.59)</f>
        <v>9.59</v>
      </c>
      <c r="C385" s="1">
        <f>IFERROR(__xludf.DUMMYFUNCTION("""COMPUTED_VALUE"""),9.69)</f>
        <v>9.69</v>
      </c>
      <c r="D385" s="1">
        <f>IFERROR(__xludf.DUMMYFUNCTION("""COMPUTED_VALUE"""),9.54)</f>
        <v>9.54</v>
      </c>
      <c r="E385" s="1">
        <f>IFERROR(__xludf.DUMMYFUNCTION("""COMPUTED_VALUE"""),9.62)</f>
        <v>9.62</v>
      </c>
      <c r="F385" s="1">
        <f>IFERROR(__xludf.DUMMYFUNCTION("""COMPUTED_VALUE"""),9063276.0)</f>
        <v>9063276</v>
      </c>
      <c r="G385" s="2" t="s">
        <v>5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IFERROR(__xludf.DUMMYFUNCTION("""COMPUTED_VALUE"""),9.66)</f>
        <v>9.66</v>
      </c>
      <c r="C386" s="1">
        <f>IFERROR(__xludf.DUMMYFUNCTION("""COMPUTED_VALUE"""),9.77)</f>
        <v>9.77</v>
      </c>
      <c r="D386" s="1">
        <f>IFERROR(__xludf.DUMMYFUNCTION("""COMPUTED_VALUE"""),9.64)</f>
        <v>9.64</v>
      </c>
      <c r="E386" s="1">
        <f>IFERROR(__xludf.DUMMYFUNCTION("""COMPUTED_VALUE"""),9.73)</f>
        <v>9.73</v>
      </c>
      <c r="F386" s="1">
        <f>IFERROR(__xludf.DUMMYFUNCTION("""COMPUTED_VALUE"""),6557700.0)</f>
        <v>6557700</v>
      </c>
      <c r="G386" s="2" t="s">
        <v>5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IFERROR(__xludf.DUMMYFUNCTION("""COMPUTED_VALUE"""),9.75)</f>
        <v>9.75</v>
      </c>
      <c r="C387" s="1">
        <f>IFERROR(__xludf.DUMMYFUNCTION("""COMPUTED_VALUE"""),9.79)</f>
        <v>9.79</v>
      </c>
      <c r="D387" s="1">
        <f>IFERROR(__xludf.DUMMYFUNCTION("""COMPUTED_VALUE"""),9.62)</f>
        <v>9.62</v>
      </c>
      <c r="E387" s="1">
        <f>IFERROR(__xludf.DUMMYFUNCTION("""COMPUTED_VALUE"""),9.63)</f>
        <v>9.63</v>
      </c>
      <c r="F387" s="1">
        <f>IFERROR(__xludf.DUMMYFUNCTION("""COMPUTED_VALUE"""),5465354.0)</f>
        <v>5465354</v>
      </c>
      <c r="G387" s="2" t="s">
        <v>5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IFERROR(__xludf.DUMMYFUNCTION("""COMPUTED_VALUE"""),9.54)</f>
        <v>9.54</v>
      </c>
      <c r="C388" s="1">
        <f>IFERROR(__xludf.DUMMYFUNCTION("""COMPUTED_VALUE"""),9.59)</f>
        <v>9.59</v>
      </c>
      <c r="D388" s="1">
        <f>IFERROR(__xludf.DUMMYFUNCTION("""COMPUTED_VALUE"""),9.46)</f>
        <v>9.46</v>
      </c>
      <c r="E388" s="1">
        <f>IFERROR(__xludf.DUMMYFUNCTION("""COMPUTED_VALUE"""),9.49)</f>
        <v>9.49</v>
      </c>
      <c r="F388" s="1">
        <f>IFERROR(__xludf.DUMMYFUNCTION("""COMPUTED_VALUE"""),7959524.0)</f>
        <v>7959524</v>
      </c>
      <c r="G388" s="2" t="s">
        <v>5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IFERROR(__xludf.DUMMYFUNCTION("""COMPUTED_VALUE"""),9.32)</f>
        <v>9.32</v>
      </c>
      <c r="C389" s="1">
        <f>IFERROR(__xludf.DUMMYFUNCTION("""COMPUTED_VALUE"""),9.37)</f>
        <v>9.37</v>
      </c>
      <c r="D389" s="1">
        <f>IFERROR(__xludf.DUMMYFUNCTION("""COMPUTED_VALUE"""),9.05)</f>
        <v>9.05</v>
      </c>
      <c r="E389" s="1">
        <f>IFERROR(__xludf.DUMMYFUNCTION("""COMPUTED_VALUE"""),9.08)</f>
        <v>9.08</v>
      </c>
      <c r="F389" s="1">
        <f>IFERROR(__xludf.DUMMYFUNCTION("""COMPUTED_VALUE"""),1.2961112E7)</f>
        <v>12961112</v>
      </c>
      <c r="G389" s="2" t="s">
        <v>5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IFERROR(__xludf.DUMMYFUNCTION("""COMPUTED_VALUE"""),9.1)</f>
        <v>9.1</v>
      </c>
      <c r="C390" s="1">
        <f>IFERROR(__xludf.DUMMYFUNCTION("""COMPUTED_VALUE"""),9.31)</f>
        <v>9.31</v>
      </c>
      <c r="D390" s="1">
        <f>IFERROR(__xludf.DUMMYFUNCTION("""COMPUTED_VALUE"""),9.08)</f>
        <v>9.08</v>
      </c>
      <c r="E390" s="1">
        <f>IFERROR(__xludf.DUMMYFUNCTION("""COMPUTED_VALUE"""),9.28)</f>
        <v>9.28</v>
      </c>
      <c r="F390" s="1">
        <f>IFERROR(__xludf.DUMMYFUNCTION("""COMPUTED_VALUE"""),7164009.0)</f>
        <v>7164009</v>
      </c>
      <c r="G390" s="2" t="s">
        <v>5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IFERROR(__xludf.DUMMYFUNCTION("""COMPUTED_VALUE"""),9.25)</f>
        <v>9.25</v>
      </c>
      <c r="C391" s="1">
        <f>IFERROR(__xludf.DUMMYFUNCTION("""COMPUTED_VALUE"""),9.47)</f>
        <v>9.47</v>
      </c>
      <c r="D391" s="1">
        <f>IFERROR(__xludf.DUMMYFUNCTION("""COMPUTED_VALUE"""),9.23)</f>
        <v>9.23</v>
      </c>
      <c r="E391" s="1">
        <f>IFERROR(__xludf.DUMMYFUNCTION("""COMPUTED_VALUE"""),9.43)</f>
        <v>9.43</v>
      </c>
      <c r="F391" s="1">
        <f>IFERROR(__xludf.DUMMYFUNCTION("""COMPUTED_VALUE"""),7730865.0)</f>
        <v>7730865</v>
      </c>
      <c r="G391" s="2" t="s">
        <v>5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IFERROR(__xludf.DUMMYFUNCTION("""COMPUTED_VALUE"""),9.42)</f>
        <v>9.42</v>
      </c>
      <c r="C392" s="1">
        <f>IFERROR(__xludf.DUMMYFUNCTION("""COMPUTED_VALUE"""),9.49)</f>
        <v>9.49</v>
      </c>
      <c r="D392" s="1">
        <f>IFERROR(__xludf.DUMMYFUNCTION("""COMPUTED_VALUE"""),9.3)</f>
        <v>9.3</v>
      </c>
      <c r="E392" s="1">
        <f>IFERROR(__xludf.DUMMYFUNCTION("""COMPUTED_VALUE"""),9.48)</f>
        <v>9.48</v>
      </c>
      <c r="F392" s="1">
        <f>IFERROR(__xludf.DUMMYFUNCTION("""COMPUTED_VALUE"""),8579677.0)</f>
        <v>8579677</v>
      </c>
      <c r="G392" s="2" t="s">
        <v>5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IFERROR(__xludf.DUMMYFUNCTION("""COMPUTED_VALUE"""),9.41)</f>
        <v>9.41</v>
      </c>
      <c r="C393" s="1">
        <f>IFERROR(__xludf.DUMMYFUNCTION("""COMPUTED_VALUE"""),9.46)</f>
        <v>9.46</v>
      </c>
      <c r="D393" s="1">
        <f>IFERROR(__xludf.DUMMYFUNCTION("""COMPUTED_VALUE"""),9.26)</f>
        <v>9.26</v>
      </c>
      <c r="E393" s="1">
        <f>IFERROR(__xludf.DUMMYFUNCTION("""COMPUTED_VALUE"""),9.44)</f>
        <v>9.44</v>
      </c>
      <c r="F393" s="1">
        <f>IFERROR(__xludf.DUMMYFUNCTION("""COMPUTED_VALUE"""),1.1757569E7)</f>
        <v>11757569</v>
      </c>
      <c r="G393" s="2" t="s">
        <v>5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IFERROR(__xludf.DUMMYFUNCTION("""COMPUTED_VALUE"""),9.43)</f>
        <v>9.43</v>
      </c>
      <c r="C394" s="1">
        <f>IFERROR(__xludf.DUMMYFUNCTION("""COMPUTED_VALUE"""),9.65)</f>
        <v>9.65</v>
      </c>
      <c r="D394" s="1">
        <f>IFERROR(__xludf.DUMMYFUNCTION("""COMPUTED_VALUE"""),9.39)</f>
        <v>9.39</v>
      </c>
      <c r="E394" s="1">
        <f>IFERROR(__xludf.DUMMYFUNCTION("""COMPUTED_VALUE"""),9.59)</f>
        <v>9.59</v>
      </c>
      <c r="F394" s="1">
        <f>IFERROR(__xludf.DUMMYFUNCTION("""COMPUTED_VALUE"""),1.1582603E7)</f>
        <v>11582603</v>
      </c>
      <c r="G394" s="2" t="s">
        <v>5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IFERROR(__xludf.DUMMYFUNCTION("""COMPUTED_VALUE"""),9.57)</f>
        <v>9.57</v>
      </c>
      <c r="C395" s="1">
        <f>IFERROR(__xludf.DUMMYFUNCTION("""COMPUTED_VALUE"""),9.88)</f>
        <v>9.88</v>
      </c>
      <c r="D395" s="1">
        <f>IFERROR(__xludf.DUMMYFUNCTION("""COMPUTED_VALUE"""),9.55)</f>
        <v>9.55</v>
      </c>
      <c r="E395" s="1">
        <f>IFERROR(__xludf.DUMMYFUNCTION("""COMPUTED_VALUE"""),9.61)</f>
        <v>9.61</v>
      </c>
      <c r="F395" s="1">
        <f>IFERROR(__xludf.DUMMYFUNCTION("""COMPUTED_VALUE"""),1.626511E7)</f>
        <v>16265110</v>
      </c>
      <c r="G395" s="2" t="s">
        <v>5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IFERROR(__xludf.DUMMYFUNCTION("""COMPUTED_VALUE"""),9.57)</f>
        <v>9.57</v>
      </c>
      <c r="C396" s="1">
        <f>IFERROR(__xludf.DUMMYFUNCTION("""COMPUTED_VALUE"""),9.85)</f>
        <v>9.85</v>
      </c>
      <c r="D396" s="1">
        <f>IFERROR(__xludf.DUMMYFUNCTION("""COMPUTED_VALUE"""),9.55)</f>
        <v>9.55</v>
      </c>
      <c r="E396" s="1">
        <f>IFERROR(__xludf.DUMMYFUNCTION("""COMPUTED_VALUE"""),9.84)</f>
        <v>9.84</v>
      </c>
      <c r="F396" s="1">
        <f>IFERROR(__xludf.DUMMYFUNCTION("""COMPUTED_VALUE"""),1.1874562E7)</f>
        <v>11874562</v>
      </c>
      <c r="G396" s="2" t="s">
        <v>5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IFERROR(__xludf.DUMMYFUNCTION("""COMPUTED_VALUE"""),9.83)</f>
        <v>9.83</v>
      </c>
      <c r="C397" s="1">
        <f>IFERROR(__xludf.DUMMYFUNCTION("""COMPUTED_VALUE"""),9.91)</f>
        <v>9.91</v>
      </c>
      <c r="D397" s="1">
        <f>IFERROR(__xludf.DUMMYFUNCTION("""COMPUTED_VALUE"""),9.69)</f>
        <v>9.69</v>
      </c>
      <c r="E397" s="1">
        <f>IFERROR(__xludf.DUMMYFUNCTION("""COMPUTED_VALUE"""),9.9)</f>
        <v>9.9</v>
      </c>
      <c r="F397" s="1">
        <f>IFERROR(__xludf.DUMMYFUNCTION("""COMPUTED_VALUE"""),1.0269051E7)</f>
        <v>10269051</v>
      </c>
      <c r="G397" s="2" t="s">
        <v>5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IFERROR(__xludf.DUMMYFUNCTION("""COMPUTED_VALUE"""),9.95)</f>
        <v>9.95</v>
      </c>
      <c r="C398" s="1">
        <f>IFERROR(__xludf.DUMMYFUNCTION("""COMPUTED_VALUE"""),10.06)</f>
        <v>10.06</v>
      </c>
      <c r="D398" s="1">
        <f>IFERROR(__xludf.DUMMYFUNCTION("""COMPUTED_VALUE"""),9.92)</f>
        <v>9.92</v>
      </c>
      <c r="E398" s="1">
        <f>IFERROR(__xludf.DUMMYFUNCTION("""COMPUTED_VALUE"""),10.05)</f>
        <v>10.05</v>
      </c>
      <c r="F398" s="1">
        <f>IFERROR(__xludf.DUMMYFUNCTION("""COMPUTED_VALUE"""),1.1920024E7)</f>
        <v>11920024</v>
      </c>
      <c r="G398" s="2" t="s">
        <v>5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IFERROR(__xludf.DUMMYFUNCTION("""COMPUTED_VALUE"""),10.04)</f>
        <v>10.04</v>
      </c>
      <c r="C399" s="1">
        <f>IFERROR(__xludf.DUMMYFUNCTION("""COMPUTED_VALUE"""),10.21)</f>
        <v>10.21</v>
      </c>
      <c r="D399" s="1">
        <f>IFERROR(__xludf.DUMMYFUNCTION("""COMPUTED_VALUE"""),10.04)</f>
        <v>10.04</v>
      </c>
      <c r="E399" s="1">
        <f>IFERROR(__xludf.DUMMYFUNCTION("""COMPUTED_VALUE"""),10.12)</f>
        <v>10.12</v>
      </c>
      <c r="F399" s="1">
        <f>IFERROR(__xludf.DUMMYFUNCTION("""COMPUTED_VALUE"""),1.2501262E7)</f>
        <v>12501262</v>
      </c>
      <c r="G399" s="2" t="s">
        <v>5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IFERROR(__xludf.DUMMYFUNCTION("""COMPUTED_VALUE"""),10.16)</f>
        <v>10.16</v>
      </c>
      <c r="C400" s="1">
        <f>IFERROR(__xludf.DUMMYFUNCTION("""COMPUTED_VALUE"""),10.26)</f>
        <v>10.26</v>
      </c>
      <c r="D400" s="1">
        <f>IFERROR(__xludf.DUMMYFUNCTION("""COMPUTED_VALUE"""),10.13)</f>
        <v>10.13</v>
      </c>
      <c r="E400" s="1">
        <f>IFERROR(__xludf.DUMMYFUNCTION("""COMPUTED_VALUE"""),10.2)</f>
        <v>10.2</v>
      </c>
      <c r="F400" s="1">
        <f>IFERROR(__xludf.DUMMYFUNCTION("""COMPUTED_VALUE"""),1.071046E7)</f>
        <v>10710460</v>
      </c>
      <c r="G400" s="2" t="s">
        <v>5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IFERROR(__xludf.DUMMYFUNCTION("""COMPUTED_VALUE"""),10.16)</f>
        <v>10.16</v>
      </c>
      <c r="C401" s="1">
        <f>IFERROR(__xludf.DUMMYFUNCTION("""COMPUTED_VALUE"""),10.31)</f>
        <v>10.31</v>
      </c>
      <c r="D401" s="1">
        <f>IFERROR(__xludf.DUMMYFUNCTION("""COMPUTED_VALUE"""),10.13)</f>
        <v>10.13</v>
      </c>
      <c r="E401" s="1">
        <f>IFERROR(__xludf.DUMMYFUNCTION("""COMPUTED_VALUE"""),10.27)</f>
        <v>10.27</v>
      </c>
      <c r="F401" s="1">
        <f>IFERROR(__xludf.DUMMYFUNCTION("""COMPUTED_VALUE"""),7149614.0)</f>
        <v>7149614</v>
      </c>
      <c r="G401" s="2" t="s">
        <v>5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IFERROR(__xludf.DUMMYFUNCTION("""COMPUTED_VALUE"""),10.33)</f>
        <v>10.33</v>
      </c>
      <c r="C402" s="1">
        <f>IFERROR(__xludf.DUMMYFUNCTION("""COMPUTED_VALUE"""),10.45)</f>
        <v>10.45</v>
      </c>
      <c r="D402" s="1">
        <f>IFERROR(__xludf.DUMMYFUNCTION("""COMPUTED_VALUE"""),10.28)</f>
        <v>10.28</v>
      </c>
      <c r="E402" s="1">
        <f>IFERROR(__xludf.DUMMYFUNCTION("""COMPUTED_VALUE"""),10.41)</f>
        <v>10.41</v>
      </c>
      <c r="F402" s="1">
        <f>IFERROR(__xludf.DUMMYFUNCTION("""COMPUTED_VALUE"""),1.2754616E7)</f>
        <v>12754616</v>
      </c>
      <c r="G402" s="2" t="s">
        <v>5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IFERROR(__xludf.DUMMYFUNCTION("""COMPUTED_VALUE"""),10.3)</f>
        <v>10.3</v>
      </c>
      <c r="C403" s="1">
        <f>IFERROR(__xludf.DUMMYFUNCTION("""COMPUTED_VALUE"""),10.71)</f>
        <v>10.71</v>
      </c>
      <c r="D403" s="1">
        <f>IFERROR(__xludf.DUMMYFUNCTION("""COMPUTED_VALUE"""),10.18)</f>
        <v>10.18</v>
      </c>
      <c r="E403" s="1">
        <f>IFERROR(__xludf.DUMMYFUNCTION("""COMPUTED_VALUE"""),10.55)</f>
        <v>10.55</v>
      </c>
      <c r="F403" s="1">
        <f>IFERROR(__xludf.DUMMYFUNCTION("""COMPUTED_VALUE"""),1.9706518E7)</f>
        <v>19706518</v>
      </c>
      <c r="G403" s="2" t="s">
        <v>5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IFERROR(__xludf.DUMMYFUNCTION("""COMPUTED_VALUE"""),10.65)</f>
        <v>10.65</v>
      </c>
      <c r="C404" s="1">
        <f>IFERROR(__xludf.DUMMYFUNCTION("""COMPUTED_VALUE"""),10.66)</f>
        <v>10.66</v>
      </c>
      <c r="D404" s="1">
        <f>IFERROR(__xludf.DUMMYFUNCTION("""COMPUTED_VALUE"""),10.06)</f>
        <v>10.06</v>
      </c>
      <c r="E404" s="1">
        <f>IFERROR(__xludf.DUMMYFUNCTION("""COMPUTED_VALUE"""),10.2)</f>
        <v>10.2</v>
      </c>
      <c r="F404" s="1">
        <f>IFERROR(__xludf.DUMMYFUNCTION("""COMPUTED_VALUE"""),2.0315989E7)</f>
        <v>20315989</v>
      </c>
      <c r="G404" s="2" t="s">
        <v>5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IFERROR(__xludf.DUMMYFUNCTION("""COMPUTED_VALUE"""),10.17)</f>
        <v>10.17</v>
      </c>
      <c r="C405" s="1">
        <f>IFERROR(__xludf.DUMMYFUNCTION("""COMPUTED_VALUE"""),10.26)</f>
        <v>10.26</v>
      </c>
      <c r="D405" s="1">
        <f>IFERROR(__xludf.DUMMYFUNCTION("""COMPUTED_VALUE"""),10.09)</f>
        <v>10.09</v>
      </c>
      <c r="E405" s="1">
        <f>IFERROR(__xludf.DUMMYFUNCTION("""COMPUTED_VALUE"""),10.11)</f>
        <v>10.11</v>
      </c>
      <c r="F405" s="1">
        <f>IFERROR(__xludf.DUMMYFUNCTION("""COMPUTED_VALUE"""),1.2648377E7)</f>
        <v>12648377</v>
      </c>
      <c r="G405" s="2" t="s"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</cols>
  <sheetData>
    <row r="1">
      <c r="A1" s="1" t="str">
        <f>IFERROR(__xludf.DUMMYFUNCTION("GOOGLEFINANCE(""DTE"",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IFERROR(__xludf.DUMMYFUNCTION("""COMPUTED_VALUE"""),44564.66666666667)</f>
        <v>44564.66667</v>
      </c>
      <c r="B2" s="1">
        <f>IFERROR(__xludf.DUMMYFUNCTION("""COMPUTED_VALUE"""),119.75)</f>
        <v>119.75</v>
      </c>
      <c r="C2" s="1">
        <f>IFERROR(__xludf.DUMMYFUNCTION("""COMPUTED_VALUE"""),119.75)</f>
        <v>119.75</v>
      </c>
      <c r="D2" s="1">
        <f>IFERROR(__xludf.DUMMYFUNCTION("""COMPUTED_VALUE"""),117.77)</f>
        <v>117.77</v>
      </c>
      <c r="E2" s="1">
        <f>IFERROR(__xludf.DUMMYFUNCTION("""COMPUTED_VALUE"""),119.18)</f>
        <v>119.18</v>
      </c>
      <c r="F2" s="1">
        <f>IFERROR(__xludf.DUMMYFUNCTION("""COMPUTED_VALUE"""),713641.0)</f>
        <v>713641</v>
      </c>
      <c r="G2" s="2" t="s">
        <v>6</v>
      </c>
    </row>
    <row r="3">
      <c r="A3" s="3">
        <f>IFERROR(__xludf.DUMMYFUNCTION("""COMPUTED_VALUE"""),44565.66666666667)</f>
        <v>44565.66667</v>
      </c>
      <c r="B3" s="1">
        <f>IFERROR(__xludf.DUMMYFUNCTION("""COMPUTED_VALUE"""),119.52)</f>
        <v>119.52</v>
      </c>
      <c r="C3" s="1">
        <f>IFERROR(__xludf.DUMMYFUNCTION("""COMPUTED_VALUE"""),120.83)</f>
        <v>120.83</v>
      </c>
      <c r="D3" s="1">
        <f>IFERROR(__xludf.DUMMYFUNCTION("""COMPUTED_VALUE"""),119.29)</f>
        <v>119.29</v>
      </c>
      <c r="E3" s="1">
        <f>IFERROR(__xludf.DUMMYFUNCTION("""COMPUTED_VALUE"""),119.38)</f>
        <v>119.38</v>
      </c>
      <c r="F3" s="1">
        <f>IFERROR(__xludf.DUMMYFUNCTION("""COMPUTED_VALUE"""),762016.0)</f>
        <v>762016</v>
      </c>
      <c r="G3" s="2" t="s">
        <v>6</v>
      </c>
    </row>
    <row r="4">
      <c r="A4" s="3">
        <f>IFERROR(__xludf.DUMMYFUNCTION("""COMPUTED_VALUE"""),44566.66666666667)</f>
        <v>44566.66667</v>
      </c>
      <c r="B4" s="1">
        <f>IFERROR(__xludf.DUMMYFUNCTION("""COMPUTED_VALUE"""),119.38)</f>
        <v>119.38</v>
      </c>
      <c r="C4" s="1">
        <f>IFERROR(__xludf.DUMMYFUNCTION("""COMPUTED_VALUE"""),120.63)</f>
        <v>120.63</v>
      </c>
      <c r="D4" s="1">
        <f>IFERROR(__xludf.DUMMYFUNCTION("""COMPUTED_VALUE"""),119.22)</f>
        <v>119.22</v>
      </c>
      <c r="E4" s="1">
        <f>IFERROR(__xludf.DUMMYFUNCTION("""COMPUTED_VALUE"""),119.25)</f>
        <v>119.25</v>
      </c>
      <c r="F4" s="1">
        <f>IFERROR(__xludf.DUMMYFUNCTION("""COMPUTED_VALUE"""),695017.0)</f>
        <v>695017</v>
      </c>
      <c r="G4" s="2" t="s">
        <v>6</v>
      </c>
    </row>
    <row r="5">
      <c r="A5" s="3">
        <f>IFERROR(__xludf.DUMMYFUNCTION("""COMPUTED_VALUE"""),44567.66666666667)</f>
        <v>44567.66667</v>
      </c>
      <c r="B5" s="1">
        <f>IFERROR(__xludf.DUMMYFUNCTION("""COMPUTED_VALUE"""),120.35)</f>
        <v>120.35</v>
      </c>
      <c r="C5" s="1">
        <f>IFERROR(__xludf.DUMMYFUNCTION("""COMPUTED_VALUE"""),120.75)</f>
        <v>120.75</v>
      </c>
      <c r="D5" s="1">
        <f>IFERROR(__xludf.DUMMYFUNCTION("""COMPUTED_VALUE"""),119.04)</f>
        <v>119.04</v>
      </c>
      <c r="E5" s="1">
        <f>IFERROR(__xludf.DUMMYFUNCTION("""COMPUTED_VALUE"""),119.57)</f>
        <v>119.57</v>
      </c>
      <c r="F5" s="1">
        <f>IFERROR(__xludf.DUMMYFUNCTION("""COMPUTED_VALUE"""),874669.0)</f>
        <v>874669</v>
      </c>
      <c r="G5" s="2" t="s">
        <v>6</v>
      </c>
    </row>
    <row r="6">
      <c r="A6" s="3">
        <f>IFERROR(__xludf.DUMMYFUNCTION("""COMPUTED_VALUE"""),44568.66666666667)</f>
        <v>44568.66667</v>
      </c>
      <c r="B6" s="1">
        <f>IFERROR(__xludf.DUMMYFUNCTION("""COMPUTED_VALUE"""),118.74)</f>
        <v>118.74</v>
      </c>
      <c r="C6" s="1">
        <f>IFERROR(__xludf.DUMMYFUNCTION("""COMPUTED_VALUE"""),120.55)</f>
        <v>120.55</v>
      </c>
      <c r="D6" s="1">
        <f>IFERROR(__xludf.DUMMYFUNCTION("""COMPUTED_VALUE"""),117.73)</f>
        <v>117.73</v>
      </c>
      <c r="E6" s="1">
        <f>IFERROR(__xludf.DUMMYFUNCTION("""COMPUTED_VALUE"""),119.69)</f>
        <v>119.69</v>
      </c>
      <c r="F6" s="1">
        <f>IFERROR(__xludf.DUMMYFUNCTION("""COMPUTED_VALUE"""),1023085.0)</f>
        <v>1023085</v>
      </c>
      <c r="G6" s="2" t="s">
        <v>6</v>
      </c>
    </row>
    <row r="7">
      <c r="A7" s="3">
        <f>IFERROR(__xludf.DUMMYFUNCTION("""COMPUTED_VALUE"""),44571.66666666667)</f>
        <v>44571.66667</v>
      </c>
      <c r="B7" s="1">
        <f>IFERROR(__xludf.DUMMYFUNCTION("""COMPUTED_VALUE"""),119.94)</f>
        <v>119.94</v>
      </c>
      <c r="C7" s="1">
        <f>IFERROR(__xludf.DUMMYFUNCTION("""COMPUTED_VALUE"""),120.2)</f>
        <v>120.2</v>
      </c>
      <c r="D7" s="1">
        <f>IFERROR(__xludf.DUMMYFUNCTION("""COMPUTED_VALUE"""),118.34)</f>
        <v>118.34</v>
      </c>
      <c r="E7" s="1">
        <f>IFERROR(__xludf.DUMMYFUNCTION("""COMPUTED_VALUE"""),120.15)</f>
        <v>120.15</v>
      </c>
      <c r="F7" s="1">
        <f>IFERROR(__xludf.DUMMYFUNCTION("""COMPUTED_VALUE"""),941639.0)</f>
        <v>941639</v>
      </c>
      <c r="G7" s="2" t="s">
        <v>6</v>
      </c>
    </row>
    <row r="8">
      <c r="A8" s="3">
        <f>IFERROR(__xludf.DUMMYFUNCTION("""COMPUTED_VALUE"""),44572.66666666667)</f>
        <v>44572.66667</v>
      </c>
      <c r="B8" s="1">
        <f>IFERROR(__xludf.DUMMYFUNCTION("""COMPUTED_VALUE"""),120.45)</f>
        <v>120.45</v>
      </c>
      <c r="C8" s="1">
        <f>IFERROR(__xludf.DUMMYFUNCTION("""COMPUTED_VALUE"""),120.5)</f>
        <v>120.5</v>
      </c>
      <c r="D8" s="1">
        <f>IFERROR(__xludf.DUMMYFUNCTION("""COMPUTED_VALUE"""),117.89)</f>
        <v>117.89</v>
      </c>
      <c r="E8" s="1">
        <f>IFERROR(__xludf.DUMMYFUNCTION("""COMPUTED_VALUE"""),118.78)</f>
        <v>118.78</v>
      </c>
      <c r="F8" s="1">
        <f>IFERROR(__xludf.DUMMYFUNCTION("""COMPUTED_VALUE"""),954780.0)</f>
        <v>954780</v>
      </c>
      <c r="G8" s="2" t="s">
        <v>6</v>
      </c>
    </row>
    <row r="9">
      <c r="A9" s="3">
        <f>IFERROR(__xludf.DUMMYFUNCTION("""COMPUTED_VALUE"""),44573.66666666667)</f>
        <v>44573.66667</v>
      </c>
      <c r="B9" s="1">
        <f>IFERROR(__xludf.DUMMYFUNCTION("""COMPUTED_VALUE"""),118.61)</f>
        <v>118.61</v>
      </c>
      <c r="C9" s="1">
        <f>IFERROR(__xludf.DUMMYFUNCTION("""COMPUTED_VALUE"""),119.46)</f>
        <v>119.46</v>
      </c>
      <c r="D9" s="1">
        <f>IFERROR(__xludf.DUMMYFUNCTION("""COMPUTED_VALUE"""),117.67)</f>
        <v>117.67</v>
      </c>
      <c r="E9" s="1">
        <f>IFERROR(__xludf.DUMMYFUNCTION("""COMPUTED_VALUE"""),119.21)</f>
        <v>119.21</v>
      </c>
      <c r="F9" s="1">
        <f>IFERROR(__xludf.DUMMYFUNCTION("""COMPUTED_VALUE"""),1246725.0)</f>
        <v>1246725</v>
      </c>
      <c r="G9" s="2" t="s">
        <v>6</v>
      </c>
    </row>
    <row r="10">
      <c r="A10" s="3">
        <f>IFERROR(__xludf.DUMMYFUNCTION("""COMPUTED_VALUE"""),44574.66666666667)</f>
        <v>44574.66667</v>
      </c>
      <c r="B10" s="1">
        <f>IFERROR(__xludf.DUMMYFUNCTION("""COMPUTED_VALUE"""),119.55)</f>
        <v>119.55</v>
      </c>
      <c r="C10" s="1">
        <f>IFERROR(__xludf.DUMMYFUNCTION("""COMPUTED_VALUE"""),121.0)</f>
        <v>121</v>
      </c>
      <c r="D10" s="1">
        <f>IFERROR(__xludf.DUMMYFUNCTION("""COMPUTED_VALUE"""),119.14)</f>
        <v>119.14</v>
      </c>
      <c r="E10" s="1">
        <f>IFERROR(__xludf.DUMMYFUNCTION("""COMPUTED_VALUE"""),119.83)</f>
        <v>119.83</v>
      </c>
      <c r="F10" s="1">
        <f>IFERROR(__xludf.DUMMYFUNCTION("""COMPUTED_VALUE"""),607956.0)</f>
        <v>607956</v>
      </c>
      <c r="G10" s="2" t="s">
        <v>6</v>
      </c>
    </row>
    <row r="11">
      <c r="A11" s="3">
        <f>IFERROR(__xludf.DUMMYFUNCTION("""COMPUTED_VALUE"""),44575.66666666667)</f>
        <v>44575.66667</v>
      </c>
      <c r="B11" s="1">
        <f>IFERROR(__xludf.DUMMYFUNCTION("""COMPUTED_VALUE"""),119.67)</f>
        <v>119.67</v>
      </c>
      <c r="C11" s="1">
        <f>IFERROR(__xludf.DUMMYFUNCTION("""COMPUTED_VALUE"""),119.74)</f>
        <v>119.74</v>
      </c>
      <c r="D11" s="1">
        <f>IFERROR(__xludf.DUMMYFUNCTION("""COMPUTED_VALUE"""),118.2)</f>
        <v>118.2</v>
      </c>
      <c r="E11" s="1">
        <f>IFERROR(__xludf.DUMMYFUNCTION("""COMPUTED_VALUE"""),119.38)</f>
        <v>119.38</v>
      </c>
      <c r="F11" s="1">
        <f>IFERROR(__xludf.DUMMYFUNCTION("""COMPUTED_VALUE"""),690334.0)</f>
        <v>690334</v>
      </c>
      <c r="G11" s="2" t="s">
        <v>6</v>
      </c>
    </row>
    <row r="12">
      <c r="A12" s="3">
        <f>IFERROR(__xludf.DUMMYFUNCTION("""COMPUTED_VALUE"""),44579.66666666667)</f>
        <v>44579.66667</v>
      </c>
      <c r="B12" s="1">
        <f>IFERROR(__xludf.DUMMYFUNCTION("""COMPUTED_VALUE"""),118.64)</f>
        <v>118.64</v>
      </c>
      <c r="C12" s="1">
        <f>IFERROR(__xludf.DUMMYFUNCTION("""COMPUTED_VALUE"""),119.14)</f>
        <v>119.14</v>
      </c>
      <c r="D12" s="1">
        <f>IFERROR(__xludf.DUMMYFUNCTION("""COMPUTED_VALUE"""),117.14)</f>
        <v>117.14</v>
      </c>
      <c r="E12" s="1">
        <f>IFERROR(__xludf.DUMMYFUNCTION("""COMPUTED_VALUE"""),118.38)</f>
        <v>118.38</v>
      </c>
      <c r="F12" s="1">
        <f>IFERROR(__xludf.DUMMYFUNCTION("""COMPUTED_VALUE"""),868164.0)</f>
        <v>868164</v>
      </c>
      <c r="G12" s="2" t="s">
        <v>6</v>
      </c>
    </row>
    <row r="13">
      <c r="A13" s="3">
        <f>IFERROR(__xludf.DUMMYFUNCTION("""COMPUTED_VALUE"""),44580.66666666667)</f>
        <v>44580.66667</v>
      </c>
      <c r="B13" s="1">
        <f>IFERROR(__xludf.DUMMYFUNCTION("""COMPUTED_VALUE"""),118.56)</f>
        <v>118.56</v>
      </c>
      <c r="C13" s="1">
        <f>IFERROR(__xludf.DUMMYFUNCTION("""COMPUTED_VALUE"""),119.59)</f>
        <v>119.59</v>
      </c>
      <c r="D13" s="1">
        <f>IFERROR(__xludf.DUMMYFUNCTION("""COMPUTED_VALUE"""),117.89)</f>
        <v>117.89</v>
      </c>
      <c r="E13" s="1">
        <f>IFERROR(__xludf.DUMMYFUNCTION("""COMPUTED_VALUE"""),118.67)</f>
        <v>118.67</v>
      </c>
      <c r="F13" s="1">
        <f>IFERROR(__xludf.DUMMYFUNCTION("""COMPUTED_VALUE"""),543576.0)</f>
        <v>543576</v>
      </c>
      <c r="G13" s="2" t="s">
        <v>6</v>
      </c>
    </row>
    <row r="14">
      <c r="A14" s="3">
        <f>IFERROR(__xludf.DUMMYFUNCTION("""COMPUTED_VALUE"""),44581.66666666667)</f>
        <v>44581.66667</v>
      </c>
      <c r="B14" s="1">
        <f>IFERROR(__xludf.DUMMYFUNCTION("""COMPUTED_VALUE"""),118.98)</f>
        <v>118.98</v>
      </c>
      <c r="C14" s="1">
        <f>IFERROR(__xludf.DUMMYFUNCTION("""COMPUTED_VALUE"""),120.23)</f>
        <v>120.23</v>
      </c>
      <c r="D14" s="1">
        <f>IFERROR(__xludf.DUMMYFUNCTION("""COMPUTED_VALUE"""),118.09)</f>
        <v>118.09</v>
      </c>
      <c r="E14" s="1">
        <f>IFERROR(__xludf.DUMMYFUNCTION("""COMPUTED_VALUE"""),118.36)</f>
        <v>118.36</v>
      </c>
      <c r="F14" s="1">
        <f>IFERROR(__xludf.DUMMYFUNCTION("""COMPUTED_VALUE"""),714335.0)</f>
        <v>714335</v>
      </c>
      <c r="G14" s="2" t="s">
        <v>6</v>
      </c>
    </row>
    <row r="15">
      <c r="A15" s="3">
        <f>IFERROR(__xludf.DUMMYFUNCTION("""COMPUTED_VALUE"""),44582.66666666667)</f>
        <v>44582.66667</v>
      </c>
      <c r="B15" s="1">
        <f>IFERROR(__xludf.DUMMYFUNCTION("""COMPUTED_VALUE"""),118.95)</f>
        <v>118.95</v>
      </c>
      <c r="C15" s="1">
        <f>IFERROR(__xludf.DUMMYFUNCTION("""COMPUTED_VALUE"""),120.09)</f>
        <v>120.09</v>
      </c>
      <c r="D15" s="1">
        <f>IFERROR(__xludf.DUMMYFUNCTION("""COMPUTED_VALUE"""),118.31)</f>
        <v>118.31</v>
      </c>
      <c r="E15" s="1">
        <f>IFERROR(__xludf.DUMMYFUNCTION("""COMPUTED_VALUE"""),118.46)</f>
        <v>118.46</v>
      </c>
      <c r="F15" s="1">
        <f>IFERROR(__xludf.DUMMYFUNCTION("""COMPUTED_VALUE"""),746502.0)</f>
        <v>746502</v>
      </c>
      <c r="G15" s="2" t="s">
        <v>6</v>
      </c>
    </row>
    <row r="16">
      <c r="A16" s="3">
        <f>IFERROR(__xludf.DUMMYFUNCTION("""COMPUTED_VALUE"""),44585.66666666667)</f>
        <v>44585.66667</v>
      </c>
      <c r="B16" s="1">
        <f>IFERROR(__xludf.DUMMYFUNCTION("""COMPUTED_VALUE"""),118.0)</f>
        <v>118</v>
      </c>
      <c r="C16" s="1">
        <f>IFERROR(__xludf.DUMMYFUNCTION("""COMPUTED_VALUE"""),118.86)</f>
        <v>118.86</v>
      </c>
      <c r="D16" s="1">
        <f>IFERROR(__xludf.DUMMYFUNCTION("""COMPUTED_VALUE"""),113.82)</f>
        <v>113.82</v>
      </c>
      <c r="E16" s="1">
        <f>IFERROR(__xludf.DUMMYFUNCTION("""COMPUTED_VALUE"""),116.88)</f>
        <v>116.88</v>
      </c>
      <c r="F16" s="1">
        <f>IFERROR(__xludf.DUMMYFUNCTION("""COMPUTED_VALUE"""),1227131.0)</f>
        <v>1227131</v>
      </c>
      <c r="G16" s="2" t="s">
        <v>6</v>
      </c>
    </row>
    <row r="17">
      <c r="A17" s="3">
        <f>IFERROR(__xludf.DUMMYFUNCTION("""COMPUTED_VALUE"""),44586.66666666667)</f>
        <v>44586.66667</v>
      </c>
      <c r="B17" s="1">
        <f>IFERROR(__xludf.DUMMYFUNCTION("""COMPUTED_VALUE"""),115.46)</f>
        <v>115.46</v>
      </c>
      <c r="C17" s="1">
        <f>IFERROR(__xludf.DUMMYFUNCTION("""COMPUTED_VALUE"""),118.46)</f>
        <v>118.46</v>
      </c>
      <c r="D17" s="1">
        <f>IFERROR(__xludf.DUMMYFUNCTION("""COMPUTED_VALUE"""),115.46)</f>
        <v>115.46</v>
      </c>
      <c r="E17" s="1">
        <f>IFERROR(__xludf.DUMMYFUNCTION("""COMPUTED_VALUE"""),117.63)</f>
        <v>117.63</v>
      </c>
      <c r="F17" s="1">
        <f>IFERROR(__xludf.DUMMYFUNCTION("""COMPUTED_VALUE"""),1450108.0)</f>
        <v>1450108</v>
      </c>
      <c r="G17" s="2" t="s">
        <v>6</v>
      </c>
    </row>
    <row r="18">
      <c r="A18" s="3">
        <f>IFERROR(__xludf.DUMMYFUNCTION("""COMPUTED_VALUE"""),44587.66666666667)</f>
        <v>44587.66667</v>
      </c>
      <c r="B18" s="1">
        <f>IFERROR(__xludf.DUMMYFUNCTION("""COMPUTED_VALUE"""),117.52)</f>
        <v>117.52</v>
      </c>
      <c r="C18" s="1">
        <f>IFERROR(__xludf.DUMMYFUNCTION("""COMPUTED_VALUE"""),119.28)</f>
        <v>119.28</v>
      </c>
      <c r="D18" s="1">
        <f>IFERROR(__xludf.DUMMYFUNCTION("""COMPUTED_VALUE"""),117.03)</f>
        <v>117.03</v>
      </c>
      <c r="E18" s="1">
        <f>IFERROR(__xludf.DUMMYFUNCTION("""COMPUTED_VALUE"""),118.18)</f>
        <v>118.18</v>
      </c>
      <c r="F18" s="1">
        <f>IFERROR(__xludf.DUMMYFUNCTION("""COMPUTED_VALUE"""),1400706.0)</f>
        <v>1400706</v>
      </c>
      <c r="G18" s="2" t="s">
        <v>6</v>
      </c>
    </row>
    <row r="19">
      <c r="A19" s="3">
        <f>IFERROR(__xludf.DUMMYFUNCTION("""COMPUTED_VALUE"""),44588.66666666667)</f>
        <v>44588.66667</v>
      </c>
      <c r="B19" s="1">
        <f>IFERROR(__xludf.DUMMYFUNCTION("""COMPUTED_VALUE"""),119.01)</f>
        <v>119.01</v>
      </c>
      <c r="C19" s="1">
        <f>IFERROR(__xludf.DUMMYFUNCTION("""COMPUTED_VALUE"""),120.93)</f>
        <v>120.93</v>
      </c>
      <c r="D19" s="1">
        <f>IFERROR(__xludf.DUMMYFUNCTION("""COMPUTED_VALUE"""),118.79)</f>
        <v>118.79</v>
      </c>
      <c r="E19" s="1">
        <f>IFERROR(__xludf.DUMMYFUNCTION("""COMPUTED_VALUE"""),119.81)</f>
        <v>119.81</v>
      </c>
      <c r="F19" s="1">
        <f>IFERROR(__xludf.DUMMYFUNCTION("""COMPUTED_VALUE"""),1373390.0)</f>
        <v>1373390</v>
      </c>
      <c r="G19" s="2" t="s">
        <v>6</v>
      </c>
    </row>
    <row r="20">
      <c r="A20" s="3">
        <f>IFERROR(__xludf.DUMMYFUNCTION("""COMPUTED_VALUE"""),44589.66666666667)</f>
        <v>44589.66667</v>
      </c>
      <c r="B20" s="1">
        <f>IFERROR(__xludf.DUMMYFUNCTION("""COMPUTED_VALUE"""),119.41)</f>
        <v>119.41</v>
      </c>
      <c r="C20" s="1">
        <f>IFERROR(__xludf.DUMMYFUNCTION("""COMPUTED_VALUE"""),120.26)</f>
        <v>120.26</v>
      </c>
      <c r="D20" s="1">
        <f>IFERROR(__xludf.DUMMYFUNCTION("""COMPUTED_VALUE"""),118.61)</f>
        <v>118.61</v>
      </c>
      <c r="E20" s="1">
        <f>IFERROR(__xludf.DUMMYFUNCTION("""COMPUTED_VALUE"""),120.24)</f>
        <v>120.24</v>
      </c>
      <c r="F20" s="1">
        <f>IFERROR(__xludf.DUMMYFUNCTION("""COMPUTED_VALUE"""),879476.0)</f>
        <v>879476</v>
      </c>
      <c r="G20" s="2" t="s">
        <v>6</v>
      </c>
    </row>
    <row r="21">
      <c r="A21" s="3">
        <f>IFERROR(__xludf.DUMMYFUNCTION("""COMPUTED_VALUE"""),44592.66666666667)</f>
        <v>44592.66667</v>
      </c>
      <c r="B21" s="1">
        <f>IFERROR(__xludf.DUMMYFUNCTION("""COMPUTED_VALUE"""),119.38)</f>
        <v>119.38</v>
      </c>
      <c r="C21" s="1">
        <f>IFERROR(__xludf.DUMMYFUNCTION("""COMPUTED_VALUE"""),120.54)</f>
        <v>120.54</v>
      </c>
      <c r="D21" s="1">
        <f>IFERROR(__xludf.DUMMYFUNCTION("""COMPUTED_VALUE"""),119.22)</f>
        <v>119.22</v>
      </c>
      <c r="E21" s="1">
        <f>IFERROR(__xludf.DUMMYFUNCTION("""COMPUTED_VALUE"""),120.43)</f>
        <v>120.43</v>
      </c>
      <c r="F21" s="1">
        <f>IFERROR(__xludf.DUMMYFUNCTION("""COMPUTED_VALUE"""),1117385.0)</f>
        <v>1117385</v>
      </c>
      <c r="G21" s="2" t="s">
        <v>6</v>
      </c>
    </row>
    <row r="22">
      <c r="A22" s="3">
        <f>IFERROR(__xludf.DUMMYFUNCTION("""COMPUTED_VALUE"""),44593.66666666667)</f>
        <v>44593.66667</v>
      </c>
      <c r="B22" s="1">
        <f>IFERROR(__xludf.DUMMYFUNCTION("""COMPUTED_VALUE"""),119.61)</f>
        <v>119.61</v>
      </c>
      <c r="C22" s="1">
        <f>IFERROR(__xludf.DUMMYFUNCTION("""COMPUTED_VALUE"""),120.24)</f>
        <v>120.24</v>
      </c>
      <c r="D22" s="1">
        <f>IFERROR(__xludf.DUMMYFUNCTION("""COMPUTED_VALUE"""),117.19)</f>
        <v>117.19</v>
      </c>
      <c r="E22" s="1">
        <f>IFERROR(__xludf.DUMMYFUNCTION("""COMPUTED_VALUE"""),118.48)</f>
        <v>118.48</v>
      </c>
      <c r="F22" s="1">
        <f>IFERROR(__xludf.DUMMYFUNCTION("""COMPUTED_VALUE"""),986428.0)</f>
        <v>986428</v>
      </c>
      <c r="G22" s="2" t="s">
        <v>6</v>
      </c>
    </row>
    <row r="23">
      <c r="A23" s="3">
        <f>IFERROR(__xludf.DUMMYFUNCTION("""COMPUTED_VALUE"""),44594.66666666667)</f>
        <v>44594.66667</v>
      </c>
      <c r="B23" s="1">
        <f>IFERROR(__xludf.DUMMYFUNCTION("""COMPUTED_VALUE"""),118.11)</f>
        <v>118.11</v>
      </c>
      <c r="C23" s="1">
        <f>IFERROR(__xludf.DUMMYFUNCTION("""COMPUTED_VALUE"""),120.74)</f>
        <v>120.74</v>
      </c>
      <c r="D23" s="1">
        <f>IFERROR(__xludf.DUMMYFUNCTION("""COMPUTED_VALUE"""),117.81)</f>
        <v>117.81</v>
      </c>
      <c r="E23" s="1">
        <f>IFERROR(__xludf.DUMMYFUNCTION("""COMPUTED_VALUE"""),120.23)</f>
        <v>120.23</v>
      </c>
      <c r="F23" s="1">
        <f>IFERROR(__xludf.DUMMYFUNCTION("""COMPUTED_VALUE"""),1004900.0)</f>
        <v>1004900</v>
      </c>
      <c r="G23" s="2" t="s">
        <v>6</v>
      </c>
    </row>
    <row r="24">
      <c r="A24" s="3">
        <f>IFERROR(__xludf.DUMMYFUNCTION("""COMPUTED_VALUE"""),44595.66666666667)</f>
        <v>44595.66667</v>
      </c>
      <c r="B24" s="1">
        <f>IFERROR(__xludf.DUMMYFUNCTION("""COMPUTED_VALUE"""),120.32)</f>
        <v>120.32</v>
      </c>
      <c r="C24" s="1">
        <f>IFERROR(__xludf.DUMMYFUNCTION("""COMPUTED_VALUE"""),121.39)</f>
        <v>121.39</v>
      </c>
      <c r="D24" s="1">
        <f>IFERROR(__xludf.DUMMYFUNCTION("""COMPUTED_VALUE"""),119.57)</f>
        <v>119.57</v>
      </c>
      <c r="E24" s="1">
        <f>IFERROR(__xludf.DUMMYFUNCTION("""COMPUTED_VALUE"""),120.06)</f>
        <v>120.06</v>
      </c>
      <c r="F24" s="1">
        <f>IFERROR(__xludf.DUMMYFUNCTION("""COMPUTED_VALUE"""),871793.0)</f>
        <v>871793</v>
      </c>
      <c r="G24" s="2" t="s">
        <v>6</v>
      </c>
    </row>
    <row r="25">
      <c r="A25" s="3">
        <f>IFERROR(__xludf.DUMMYFUNCTION("""COMPUTED_VALUE"""),44596.66666666667)</f>
        <v>44596.66667</v>
      </c>
      <c r="B25" s="1">
        <f>IFERROR(__xludf.DUMMYFUNCTION("""COMPUTED_VALUE"""),119.42)</f>
        <v>119.42</v>
      </c>
      <c r="C25" s="1">
        <f>IFERROR(__xludf.DUMMYFUNCTION("""COMPUTED_VALUE"""),120.51)</f>
        <v>120.51</v>
      </c>
      <c r="D25" s="1">
        <f>IFERROR(__xludf.DUMMYFUNCTION("""COMPUTED_VALUE"""),118.92)</f>
        <v>118.92</v>
      </c>
      <c r="E25" s="1">
        <f>IFERROR(__xludf.DUMMYFUNCTION("""COMPUTED_VALUE"""),120.0)</f>
        <v>120</v>
      </c>
      <c r="F25" s="1">
        <f>IFERROR(__xludf.DUMMYFUNCTION("""COMPUTED_VALUE"""),949034.0)</f>
        <v>949034</v>
      </c>
      <c r="G25" s="2" t="s">
        <v>6</v>
      </c>
    </row>
    <row r="26">
      <c r="A26" s="3">
        <f>IFERROR(__xludf.DUMMYFUNCTION("""COMPUTED_VALUE"""),44599.66666666667)</f>
        <v>44599.66667</v>
      </c>
      <c r="B26" s="1">
        <f>IFERROR(__xludf.DUMMYFUNCTION("""COMPUTED_VALUE"""),119.99)</f>
        <v>119.99</v>
      </c>
      <c r="C26" s="1">
        <f>IFERROR(__xludf.DUMMYFUNCTION("""COMPUTED_VALUE"""),119.99)</f>
        <v>119.99</v>
      </c>
      <c r="D26" s="1">
        <f>IFERROR(__xludf.DUMMYFUNCTION("""COMPUTED_VALUE"""),118.45)</f>
        <v>118.45</v>
      </c>
      <c r="E26" s="1">
        <f>IFERROR(__xludf.DUMMYFUNCTION("""COMPUTED_VALUE"""),119.6)</f>
        <v>119.6</v>
      </c>
      <c r="F26" s="1">
        <f>IFERROR(__xludf.DUMMYFUNCTION("""COMPUTED_VALUE"""),976938.0)</f>
        <v>976938</v>
      </c>
      <c r="G26" s="2" t="s">
        <v>6</v>
      </c>
    </row>
    <row r="27">
      <c r="A27" s="3">
        <f>IFERROR(__xludf.DUMMYFUNCTION("""COMPUTED_VALUE"""),44600.66666666667)</f>
        <v>44600.66667</v>
      </c>
      <c r="B27" s="1">
        <f>IFERROR(__xludf.DUMMYFUNCTION("""COMPUTED_VALUE"""),120.41)</f>
        <v>120.41</v>
      </c>
      <c r="C27" s="1">
        <f>IFERROR(__xludf.DUMMYFUNCTION("""COMPUTED_VALUE"""),120.71)</f>
        <v>120.71</v>
      </c>
      <c r="D27" s="1">
        <f>IFERROR(__xludf.DUMMYFUNCTION("""COMPUTED_VALUE"""),119.45)</f>
        <v>119.45</v>
      </c>
      <c r="E27" s="1">
        <f>IFERROR(__xludf.DUMMYFUNCTION("""COMPUTED_VALUE"""),119.93)</f>
        <v>119.93</v>
      </c>
      <c r="F27" s="1">
        <f>IFERROR(__xludf.DUMMYFUNCTION("""COMPUTED_VALUE"""),617281.0)</f>
        <v>617281</v>
      </c>
      <c r="G27" s="2" t="s">
        <v>6</v>
      </c>
    </row>
    <row r="28">
      <c r="A28" s="3">
        <f>IFERROR(__xludf.DUMMYFUNCTION("""COMPUTED_VALUE"""),44601.66666666667)</f>
        <v>44601.66667</v>
      </c>
      <c r="B28" s="1">
        <f>IFERROR(__xludf.DUMMYFUNCTION("""COMPUTED_VALUE"""),120.62)</f>
        <v>120.62</v>
      </c>
      <c r="C28" s="1">
        <f>IFERROR(__xludf.DUMMYFUNCTION("""COMPUTED_VALUE"""),121.19)</f>
        <v>121.19</v>
      </c>
      <c r="D28" s="1">
        <f>IFERROR(__xludf.DUMMYFUNCTION("""COMPUTED_VALUE"""),120.09)</f>
        <v>120.09</v>
      </c>
      <c r="E28" s="1">
        <f>IFERROR(__xludf.DUMMYFUNCTION("""COMPUTED_VALUE"""),120.52)</f>
        <v>120.52</v>
      </c>
      <c r="F28" s="1">
        <f>IFERROR(__xludf.DUMMYFUNCTION("""COMPUTED_VALUE"""),871415.0)</f>
        <v>871415</v>
      </c>
      <c r="G28" s="2" t="s">
        <v>6</v>
      </c>
    </row>
    <row r="29">
      <c r="A29" s="3">
        <f>IFERROR(__xludf.DUMMYFUNCTION("""COMPUTED_VALUE"""),44602.66666666667)</f>
        <v>44602.66667</v>
      </c>
      <c r="B29" s="1">
        <f>IFERROR(__xludf.DUMMYFUNCTION("""COMPUTED_VALUE"""),118.96)</f>
        <v>118.96</v>
      </c>
      <c r="C29" s="1">
        <f>IFERROR(__xludf.DUMMYFUNCTION("""COMPUTED_VALUE"""),119.96)</f>
        <v>119.96</v>
      </c>
      <c r="D29" s="1">
        <f>IFERROR(__xludf.DUMMYFUNCTION("""COMPUTED_VALUE"""),115.57)</f>
        <v>115.57</v>
      </c>
      <c r="E29" s="1">
        <f>IFERROR(__xludf.DUMMYFUNCTION("""COMPUTED_VALUE"""),115.88)</f>
        <v>115.88</v>
      </c>
      <c r="F29" s="1">
        <f>IFERROR(__xludf.DUMMYFUNCTION("""COMPUTED_VALUE"""),1847826.0)</f>
        <v>1847826</v>
      </c>
      <c r="G29" s="2" t="s">
        <v>6</v>
      </c>
    </row>
    <row r="30">
      <c r="A30" s="3">
        <f>IFERROR(__xludf.DUMMYFUNCTION("""COMPUTED_VALUE"""),44603.66666666667)</f>
        <v>44603.66667</v>
      </c>
      <c r="B30" s="1">
        <f>IFERROR(__xludf.DUMMYFUNCTION("""COMPUTED_VALUE"""),116.45)</f>
        <v>116.45</v>
      </c>
      <c r="C30" s="1">
        <f>IFERROR(__xludf.DUMMYFUNCTION("""COMPUTED_VALUE"""),118.0)</f>
        <v>118</v>
      </c>
      <c r="D30" s="1">
        <f>IFERROR(__xludf.DUMMYFUNCTION("""COMPUTED_VALUE"""),115.99)</f>
        <v>115.99</v>
      </c>
      <c r="E30" s="1">
        <f>IFERROR(__xludf.DUMMYFUNCTION("""COMPUTED_VALUE"""),116.16)</f>
        <v>116.16</v>
      </c>
      <c r="F30" s="1">
        <f>IFERROR(__xludf.DUMMYFUNCTION("""COMPUTED_VALUE"""),821251.0)</f>
        <v>821251</v>
      </c>
      <c r="G30" s="2" t="s">
        <v>6</v>
      </c>
    </row>
    <row r="31">
      <c r="A31" s="3">
        <f>IFERROR(__xludf.DUMMYFUNCTION("""COMPUTED_VALUE"""),44606.66666666667)</f>
        <v>44606.66667</v>
      </c>
      <c r="B31" s="1">
        <f>IFERROR(__xludf.DUMMYFUNCTION("""COMPUTED_VALUE"""),116.78)</f>
        <v>116.78</v>
      </c>
      <c r="C31" s="1">
        <f>IFERROR(__xludf.DUMMYFUNCTION("""COMPUTED_VALUE"""),117.72)</f>
        <v>117.72</v>
      </c>
      <c r="D31" s="1">
        <f>IFERROR(__xludf.DUMMYFUNCTION("""COMPUTED_VALUE"""),115.62)</f>
        <v>115.62</v>
      </c>
      <c r="E31" s="1">
        <f>IFERROR(__xludf.DUMMYFUNCTION("""COMPUTED_VALUE"""),116.05)</f>
        <v>116.05</v>
      </c>
      <c r="F31" s="1">
        <f>IFERROR(__xludf.DUMMYFUNCTION("""COMPUTED_VALUE"""),1640087.0)</f>
        <v>1640087</v>
      </c>
      <c r="G31" s="2" t="s">
        <v>6</v>
      </c>
    </row>
    <row r="32">
      <c r="A32" s="3">
        <f>IFERROR(__xludf.DUMMYFUNCTION("""COMPUTED_VALUE"""),44607.66666666667)</f>
        <v>44607.66667</v>
      </c>
      <c r="B32" s="1">
        <f>IFERROR(__xludf.DUMMYFUNCTION("""COMPUTED_VALUE"""),118.4)</f>
        <v>118.4</v>
      </c>
      <c r="C32" s="1">
        <f>IFERROR(__xludf.DUMMYFUNCTION("""COMPUTED_VALUE"""),118.98)</f>
        <v>118.98</v>
      </c>
      <c r="D32" s="1">
        <f>IFERROR(__xludf.DUMMYFUNCTION("""COMPUTED_VALUE"""),115.84)</f>
        <v>115.84</v>
      </c>
      <c r="E32" s="1">
        <f>IFERROR(__xludf.DUMMYFUNCTION("""COMPUTED_VALUE"""),116.31)</f>
        <v>116.31</v>
      </c>
      <c r="F32" s="1">
        <f>IFERROR(__xludf.DUMMYFUNCTION("""COMPUTED_VALUE"""),1597034.0)</f>
        <v>1597034</v>
      </c>
      <c r="G32" s="2" t="s">
        <v>6</v>
      </c>
    </row>
    <row r="33">
      <c r="A33" s="3">
        <f>IFERROR(__xludf.DUMMYFUNCTION("""COMPUTED_VALUE"""),44608.66666666667)</f>
        <v>44608.66667</v>
      </c>
      <c r="B33" s="1">
        <f>IFERROR(__xludf.DUMMYFUNCTION("""COMPUTED_VALUE"""),116.25)</f>
        <v>116.25</v>
      </c>
      <c r="C33" s="1">
        <f>IFERROR(__xludf.DUMMYFUNCTION("""COMPUTED_VALUE"""),117.11)</f>
        <v>117.11</v>
      </c>
      <c r="D33" s="1">
        <f>IFERROR(__xludf.DUMMYFUNCTION("""COMPUTED_VALUE"""),115.08)</f>
        <v>115.08</v>
      </c>
      <c r="E33" s="1">
        <f>IFERROR(__xludf.DUMMYFUNCTION("""COMPUTED_VALUE"""),116.49)</f>
        <v>116.49</v>
      </c>
      <c r="F33" s="1">
        <f>IFERROR(__xludf.DUMMYFUNCTION("""COMPUTED_VALUE"""),1581432.0)</f>
        <v>1581432</v>
      </c>
      <c r="G33" s="2" t="s">
        <v>6</v>
      </c>
    </row>
    <row r="34">
      <c r="A34" s="3">
        <f>IFERROR(__xludf.DUMMYFUNCTION("""COMPUTED_VALUE"""),44609.66666666667)</f>
        <v>44609.66667</v>
      </c>
      <c r="B34" s="1">
        <f>IFERROR(__xludf.DUMMYFUNCTION("""COMPUTED_VALUE"""),116.08)</f>
        <v>116.08</v>
      </c>
      <c r="C34" s="1">
        <f>IFERROR(__xludf.DUMMYFUNCTION("""COMPUTED_VALUE"""),119.13)</f>
        <v>119.13</v>
      </c>
      <c r="D34" s="1">
        <f>IFERROR(__xludf.DUMMYFUNCTION("""COMPUTED_VALUE"""),115.68)</f>
        <v>115.68</v>
      </c>
      <c r="E34" s="1">
        <f>IFERROR(__xludf.DUMMYFUNCTION("""COMPUTED_VALUE"""),118.55)</f>
        <v>118.55</v>
      </c>
      <c r="F34" s="1">
        <f>IFERROR(__xludf.DUMMYFUNCTION("""COMPUTED_VALUE"""),1820977.0)</f>
        <v>1820977</v>
      </c>
      <c r="G34" s="2" t="s">
        <v>6</v>
      </c>
    </row>
    <row r="35">
      <c r="A35" s="3">
        <f>IFERROR(__xludf.DUMMYFUNCTION("""COMPUTED_VALUE"""),44610.66666666667)</f>
        <v>44610.66667</v>
      </c>
      <c r="B35" s="1">
        <f>IFERROR(__xludf.DUMMYFUNCTION("""COMPUTED_VALUE"""),117.99)</f>
        <v>117.99</v>
      </c>
      <c r="C35" s="1">
        <f>IFERROR(__xludf.DUMMYFUNCTION("""COMPUTED_VALUE"""),120.14)</f>
        <v>120.14</v>
      </c>
      <c r="D35" s="1">
        <f>IFERROR(__xludf.DUMMYFUNCTION("""COMPUTED_VALUE"""),117.99)</f>
        <v>117.99</v>
      </c>
      <c r="E35" s="1">
        <f>IFERROR(__xludf.DUMMYFUNCTION("""COMPUTED_VALUE"""),119.35)</f>
        <v>119.35</v>
      </c>
      <c r="F35" s="1">
        <f>IFERROR(__xludf.DUMMYFUNCTION("""COMPUTED_VALUE"""),1840338.0)</f>
        <v>1840338</v>
      </c>
      <c r="G35" s="2" t="s">
        <v>6</v>
      </c>
    </row>
    <row r="36">
      <c r="A36" s="3">
        <f>IFERROR(__xludf.DUMMYFUNCTION("""COMPUTED_VALUE"""),44614.66666666667)</f>
        <v>44614.66667</v>
      </c>
      <c r="B36" s="1">
        <f>IFERROR(__xludf.DUMMYFUNCTION("""COMPUTED_VALUE"""),119.72)</f>
        <v>119.72</v>
      </c>
      <c r="C36" s="1">
        <f>IFERROR(__xludf.DUMMYFUNCTION("""COMPUTED_VALUE"""),120.1)</f>
        <v>120.1</v>
      </c>
      <c r="D36" s="1">
        <f>IFERROR(__xludf.DUMMYFUNCTION("""COMPUTED_VALUE"""),117.84)</f>
        <v>117.84</v>
      </c>
      <c r="E36" s="1">
        <f>IFERROR(__xludf.DUMMYFUNCTION("""COMPUTED_VALUE"""),118.33)</f>
        <v>118.33</v>
      </c>
      <c r="F36" s="1">
        <f>IFERROR(__xludf.DUMMYFUNCTION("""COMPUTED_VALUE"""),977077.0)</f>
        <v>977077</v>
      </c>
      <c r="G36" s="2" t="s">
        <v>6</v>
      </c>
    </row>
    <row r="37">
      <c r="A37" s="3">
        <f>IFERROR(__xludf.DUMMYFUNCTION("""COMPUTED_VALUE"""),44615.66666666667)</f>
        <v>44615.66667</v>
      </c>
      <c r="B37" s="1">
        <f>IFERROR(__xludf.DUMMYFUNCTION("""COMPUTED_VALUE"""),118.38)</f>
        <v>118.38</v>
      </c>
      <c r="C37" s="1">
        <f>IFERROR(__xludf.DUMMYFUNCTION("""COMPUTED_VALUE"""),118.99)</f>
        <v>118.99</v>
      </c>
      <c r="D37" s="1">
        <f>IFERROR(__xludf.DUMMYFUNCTION("""COMPUTED_VALUE"""),117.06)</f>
        <v>117.06</v>
      </c>
      <c r="E37" s="1">
        <f>IFERROR(__xludf.DUMMYFUNCTION("""COMPUTED_VALUE"""),117.26)</f>
        <v>117.26</v>
      </c>
      <c r="F37" s="1">
        <f>IFERROR(__xludf.DUMMYFUNCTION("""COMPUTED_VALUE"""),988998.0)</f>
        <v>988998</v>
      </c>
      <c r="G37" s="2" t="s">
        <v>6</v>
      </c>
    </row>
    <row r="38">
      <c r="A38" s="3">
        <f>IFERROR(__xludf.DUMMYFUNCTION("""COMPUTED_VALUE"""),44616.66666666667)</f>
        <v>44616.66667</v>
      </c>
      <c r="B38" s="1">
        <f>IFERROR(__xludf.DUMMYFUNCTION("""COMPUTED_VALUE"""),116.52)</f>
        <v>116.52</v>
      </c>
      <c r="C38" s="1">
        <f>IFERROR(__xludf.DUMMYFUNCTION("""COMPUTED_VALUE"""),118.2)</f>
        <v>118.2</v>
      </c>
      <c r="D38" s="1">
        <f>IFERROR(__xludf.DUMMYFUNCTION("""COMPUTED_VALUE"""),114.91)</f>
        <v>114.91</v>
      </c>
      <c r="E38" s="1">
        <f>IFERROR(__xludf.DUMMYFUNCTION("""COMPUTED_VALUE"""),117.74)</f>
        <v>117.74</v>
      </c>
      <c r="F38" s="1">
        <f>IFERROR(__xludf.DUMMYFUNCTION("""COMPUTED_VALUE"""),1850068.0)</f>
        <v>1850068</v>
      </c>
      <c r="G38" s="2" t="s">
        <v>6</v>
      </c>
    </row>
    <row r="39">
      <c r="A39" s="3">
        <f>IFERROR(__xludf.DUMMYFUNCTION("""COMPUTED_VALUE"""),44617.66666666667)</f>
        <v>44617.66667</v>
      </c>
      <c r="B39" s="1">
        <f>IFERROR(__xludf.DUMMYFUNCTION("""COMPUTED_VALUE"""),119.31)</f>
        <v>119.31</v>
      </c>
      <c r="C39" s="1">
        <f>IFERROR(__xludf.DUMMYFUNCTION("""COMPUTED_VALUE"""),121.99)</f>
        <v>121.99</v>
      </c>
      <c r="D39" s="1">
        <f>IFERROR(__xludf.DUMMYFUNCTION("""COMPUTED_VALUE"""),119.05)</f>
        <v>119.05</v>
      </c>
      <c r="E39" s="1">
        <f>IFERROR(__xludf.DUMMYFUNCTION("""COMPUTED_VALUE"""),121.95)</f>
        <v>121.95</v>
      </c>
      <c r="F39" s="1">
        <f>IFERROR(__xludf.DUMMYFUNCTION("""COMPUTED_VALUE"""),1390446.0)</f>
        <v>1390446</v>
      </c>
      <c r="G39" s="2" t="s">
        <v>6</v>
      </c>
    </row>
    <row r="40">
      <c r="A40" s="3">
        <f>IFERROR(__xludf.DUMMYFUNCTION("""COMPUTED_VALUE"""),44620.66666666667)</f>
        <v>44620.66667</v>
      </c>
      <c r="B40" s="1">
        <f>IFERROR(__xludf.DUMMYFUNCTION("""COMPUTED_VALUE"""),120.51)</f>
        <v>120.51</v>
      </c>
      <c r="C40" s="1">
        <f>IFERROR(__xludf.DUMMYFUNCTION("""COMPUTED_VALUE"""),122.25)</f>
        <v>122.25</v>
      </c>
      <c r="D40" s="1">
        <f>IFERROR(__xludf.DUMMYFUNCTION("""COMPUTED_VALUE"""),120.07)</f>
        <v>120.07</v>
      </c>
      <c r="E40" s="1">
        <f>IFERROR(__xludf.DUMMYFUNCTION("""COMPUTED_VALUE"""),121.59)</f>
        <v>121.59</v>
      </c>
      <c r="F40" s="1">
        <f>IFERROR(__xludf.DUMMYFUNCTION("""COMPUTED_VALUE"""),1642836.0)</f>
        <v>1642836</v>
      </c>
      <c r="G40" s="2" t="s">
        <v>6</v>
      </c>
    </row>
    <row r="41">
      <c r="A41" s="3">
        <f>IFERROR(__xludf.DUMMYFUNCTION("""COMPUTED_VALUE"""),44621.66666666667)</f>
        <v>44621.66667</v>
      </c>
      <c r="B41" s="1">
        <f>IFERROR(__xludf.DUMMYFUNCTION("""COMPUTED_VALUE"""),121.38)</f>
        <v>121.38</v>
      </c>
      <c r="C41" s="1">
        <f>IFERROR(__xludf.DUMMYFUNCTION("""COMPUTED_VALUE"""),122.5)</f>
        <v>122.5</v>
      </c>
      <c r="D41" s="1">
        <f>IFERROR(__xludf.DUMMYFUNCTION("""COMPUTED_VALUE"""),119.18)</f>
        <v>119.18</v>
      </c>
      <c r="E41" s="1">
        <f>IFERROR(__xludf.DUMMYFUNCTION("""COMPUTED_VALUE"""),120.0)</f>
        <v>120</v>
      </c>
      <c r="F41" s="1">
        <f>IFERROR(__xludf.DUMMYFUNCTION("""COMPUTED_VALUE"""),1438778.0)</f>
        <v>1438778</v>
      </c>
      <c r="G41" s="2" t="s">
        <v>6</v>
      </c>
    </row>
    <row r="42">
      <c r="A42" s="3">
        <f>IFERROR(__xludf.DUMMYFUNCTION("""COMPUTED_VALUE"""),44622.66666666667)</f>
        <v>44622.66667</v>
      </c>
      <c r="B42" s="1">
        <f>IFERROR(__xludf.DUMMYFUNCTION("""COMPUTED_VALUE"""),119.91)</f>
        <v>119.91</v>
      </c>
      <c r="C42" s="1">
        <f>IFERROR(__xludf.DUMMYFUNCTION("""COMPUTED_VALUE"""),122.77)</f>
        <v>122.77</v>
      </c>
      <c r="D42" s="1">
        <f>IFERROR(__xludf.DUMMYFUNCTION("""COMPUTED_VALUE"""),119.62)</f>
        <v>119.62</v>
      </c>
      <c r="E42" s="1">
        <f>IFERROR(__xludf.DUMMYFUNCTION("""COMPUTED_VALUE"""),122.37)</f>
        <v>122.37</v>
      </c>
      <c r="F42" s="1">
        <f>IFERROR(__xludf.DUMMYFUNCTION("""COMPUTED_VALUE"""),976978.0)</f>
        <v>976978</v>
      </c>
      <c r="G42" s="2" t="s">
        <v>6</v>
      </c>
    </row>
    <row r="43">
      <c r="A43" s="3">
        <f>IFERROR(__xludf.DUMMYFUNCTION("""COMPUTED_VALUE"""),44623.66666666667)</f>
        <v>44623.66667</v>
      </c>
      <c r="B43" s="1">
        <f>IFERROR(__xludf.DUMMYFUNCTION("""COMPUTED_VALUE"""),122.51)</f>
        <v>122.51</v>
      </c>
      <c r="C43" s="1">
        <f>IFERROR(__xludf.DUMMYFUNCTION("""COMPUTED_VALUE"""),126.05)</f>
        <v>126.05</v>
      </c>
      <c r="D43" s="1">
        <f>IFERROR(__xludf.DUMMYFUNCTION("""COMPUTED_VALUE"""),122.51)</f>
        <v>122.51</v>
      </c>
      <c r="E43" s="1">
        <f>IFERROR(__xludf.DUMMYFUNCTION("""COMPUTED_VALUE"""),125.21)</f>
        <v>125.21</v>
      </c>
      <c r="F43" s="1">
        <f>IFERROR(__xludf.DUMMYFUNCTION("""COMPUTED_VALUE"""),1161936.0)</f>
        <v>1161936</v>
      </c>
      <c r="G43" s="2" t="s">
        <v>6</v>
      </c>
    </row>
    <row r="44">
      <c r="A44" s="3">
        <f>IFERROR(__xludf.DUMMYFUNCTION("""COMPUTED_VALUE"""),44624.66666666667)</f>
        <v>44624.66667</v>
      </c>
      <c r="B44" s="1">
        <f>IFERROR(__xludf.DUMMYFUNCTION("""COMPUTED_VALUE"""),124.36)</f>
        <v>124.36</v>
      </c>
      <c r="C44" s="1">
        <f>IFERROR(__xludf.DUMMYFUNCTION("""COMPUTED_VALUE"""),128.04)</f>
        <v>128.04</v>
      </c>
      <c r="D44" s="1">
        <f>IFERROR(__xludf.DUMMYFUNCTION("""COMPUTED_VALUE"""),124.36)</f>
        <v>124.36</v>
      </c>
      <c r="E44" s="1">
        <f>IFERROR(__xludf.DUMMYFUNCTION("""COMPUTED_VALUE"""),127.88)</f>
        <v>127.88</v>
      </c>
      <c r="F44" s="1">
        <f>IFERROR(__xludf.DUMMYFUNCTION("""COMPUTED_VALUE"""),860611.0)</f>
        <v>860611</v>
      </c>
      <c r="G44" s="2" t="s">
        <v>6</v>
      </c>
    </row>
    <row r="45">
      <c r="A45" s="3">
        <f>IFERROR(__xludf.DUMMYFUNCTION("""COMPUTED_VALUE"""),44627.66666666667)</f>
        <v>44627.66667</v>
      </c>
      <c r="B45" s="1">
        <f>IFERROR(__xludf.DUMMYFUNCTION("""COMPUTED_VALUE"""),127.85)</f>
        <v>127.85</v>
      </c>
      <c r="C45" s="1">
        <f>IFERROR(__xludf.DUMMYFUNCTION("""COMPUTED_VALUE"""),128.29)</f>
        <v>128.29</v>
      </c>
      <c r="D45" s="1">
        <f>IFERROR(__xludf.DUMMYFUNCTION("""COMPUTED_VALUE"""),126.12)</f>
        <v>126.12</v>
      </c>
      <c r="E45" s="1">
        <f>IFERROR(__xludf.DUMMYFUNCTION("""COMPUTED_VALUE"""),127.11)</f>
        <v>127.11</v>
      </c>
      <c r="F45" s="1">
        <f>IFERROR(__xludf.DUMMYFUNCTION("""COMPUTED_VALUE"""),1212264.0)</f>
        <v>1212264</v>
      </c>
      <c r="G45" s="2" t="s">
        <v>6</v>
      </c>
    </row>
    <row r="46">
      <c r="A46" s="3">
        <f>IFERROR(__xludf.DUMMYFUNCTION("""COMPUTED_VALUE"""),44628.66666666667)</f>
        <v>44628.66667</v>
      </c>
      <c r="B46" s="1">
        <f>IFERROR(__xludf.DUMMYFUNCTION("""COMPUTED_VALUE"""),127.61)</f>
        <v>127.61</v>
      </c>
      <c r="C46" s="1">
        <f>IFERROR(__xludf.DUMMYFUNCTION("""COMPUTED_VALUE"""),128.24)</f>
        <v>128.24</v>
      </c>
      <c r="D46" s="1">
        <f>IFERROR(__xludf.DUMMYFUNCTION("""COMPUTED_VALUE"""),126.13)</f>
        <v>126.13</v>
      </c>
      <c r="E46" s="1">
        <f>IFERROR(__xludf.DUMMYFUNCTION("""COMPUTED_VALUE"""),126.17)</f>
        <v>126.17</v>
      </c>
      <c r="F46" s="1">
        <f>IFERROR(__xludf.DUMMYFUNCTION("""COMPUTED_VALUE"""),1039369.0)</f>
        <v>1039369</v>
      </c>
      <c r="G46" s="2" t="s">
        <v>6</v>
      </c>
    </row>
    <row r="47">
      <c r="A47" s="3">
        <f>IFERROR(__xludf.DUMMYFUNCTION("""COMPUTED_VALUE"""),44629.66666666667)</f>
        <v>44629.66667</v>
      </c>
      <c r="B47" s="1">
        <f>IFERROR(__xludf.DUMMYFUNCTION("""COMPUTED_VALUE"""),126.95)</f>
        <v>126.95</v>
      </c>
      <c r="C47" s="1">
        <f>IFERROR(__xludf.DUMMYFUNCTION("""COMPUTED_VALUE"""),127.36)</f>
        <v>127.36</v>
      </c>
      <c r="D47" s="1">
        <f>IFERROR(__xludf.DUMMYFUNCTION("""COMPUTED_VALUE"""),124.41)</f>
        <v>124.41</v>
      </c>
      <c r="E47" s="1">
        <f>IFERROR(__xludf.DUMMYFUNCTION("""COMPUTED_VALUE"""),125.03)</f>
        <v>125.03</v>
      </c>
      <c r="F47" s="1">
        <f>IFERROR(__xludf.DUMMYFUNCTION("""COMPUTED_VALUE"""),1368999.0)</f>
        <v>1368999</v>
      </c>
      <c r="G47" s="2" t="s">
        <v>6</v>
      </c>
    </row>
    <row r="48">
      <c r="A48" s="3">
        <f>IFERROR(__xludf.DUMMYFUNCTION("""COMPUTED_VALUE"""),44630.66666666667)</f>
        <v>44630.66667</v>
      </c>
      <c r="B48" s="1">
        <f>IFERROR(__xludf.DUMMYFUNCTION("""COMPUTED_VALUE"""),124.51)</f>
        <v>124.51</v>
      </c>
      <c r="C48" s="1">
        <f>IFERROR(__xludf.DUMMYFUNCTION("""COMPUTED_VALUE"""),127.64)</f>
        <v>127.64</v>
      </c>
      <c r="D48" s="1">
        <f>IFERROR(__xludf.DUMMYFUNCTION("""COMPUTED_VALUE"""),124.17)</f>
        <v>124.17</v>
      </c>
      <c r="E48" s="1">
        <f>IFERROR(__xludf.DUMMYFUNCTION("""COMPUTED_VALUE"""),127.3)</f>
        <v>127.3</v>
      </c>
      <c r="F48" s="1">
        <f>IFERROR(__xludf.DUMMYFUNCTION("""COMPUTED_VALUE"""),1283758.0)</f>
        <v>1283758</v>
      </c>
      <c r="G48" s="2" t="s">
        <v>6</v>
      </c>
    </row>
    <row r="49">
      <c r="A49" s="3">
        <f>IFERROR(__xludf.DUMMYFUNCTION("""COMPUTED_VALUE"""),44631.66666666667)</f>
        <v>44631.66667</v>
      </c>
      <c r="B49" s="1">
        <f>IFERROR(__xludf.DUMMYFUNCTION("""COMPUTED_VALUE"""),126.7)</f>
        <v>126.7</v>
      </c>
      <c r="C49" s="1">
        <f>IFERROR(__xludf.DUMMYFUNCTION("""COMPUTED_VALUE"""),128.11)</f>
        <v>128.11</v>
      </c>
      <c r="D49" s="1">
        <f>IFERROR(__xludf.DUMMYFUNCTION("""COMPUTED_VALUE"""),126.41)</f>
        <v>126.41</v>
      </c>
      <c r="E49" s="1">
        <f>IFERROR(__xludf.DUMMYFUNCTION("""COMPUTED_VALUE"""),126.97)</f>
        <v>126.97</v>
      </c>
      <c r="F49" s="1">
        <f>IFERROR(__xludf.DUMMYFUNCTION("""COMPUTED_VALUE"""),1302674.0)</f>
        <v>1302674</v>
      </c>
      <c r="G49" s="2" t="s">
        <v>6</v>
      </c>
    </row>
    <row r="50">
      <c r="A50" s="3">
        <f>IFERROR(__xludf.DUMMYFUNCTION("""COMPUTED_VALUE"""),44634.66666666667)</f>
        <v>44634.66667</v>
      </c>
      <c r="B50" s="1">
        <f>IFERROR(__xludf.DUMMYFUNCTION("""COMPUTED_VALUE"""),127.79)</f>
        <v>127.79</v>
      </c>
      <c r="C50" s="1">
        <f>IFERROR(__xludf.DUMMYFUNCTION("""COMPUTED_VALUE"""),128.67)</f>
        <v>128.67</v>
      </c>
      <c r="D50" s="1">
        <f>IFERROR(__xludf.DUMMYFUNCTION("""COMPUTED_VALUE"""),125.88)</f>
        <v>125.88</v>
      </c>
      <c r="E50" s="1">
        <f>IFERROR(__xludf.DUMMYFUNCTION("""COMPUTED_VALUE"""),126.52)</f>
        <v>126.52</v>
      </c>
      <c r="F50" s="1">
        <f>IFERROR(__xludf.DUMMYFUNCTION("""COMPUTED_VALUE"""),916220.0)</f>
        <v>916220</v>
      </c>
      <c r="G50" s="2" t="s">
        <v>6</v>
      </c>
    </row>
    <row r="51">
      <c r="A51" s="3">
        <f>IFERROR(__xludf.DUMMYFUNCTION("""COMPUTED_VALUE"""),44635.66666666667)</f>
        <v>44635.66667</v>
      </c>
      <c r="B51" s="1">
        <f>IFERROR(__xludf.DUMMYFUNCTION("""COMPUTED_VALUE"""),128.04)</f>
        <v>128.04</v>
      </c>
      <c r="C51" s="1">
        <f>IFERROR(__xludf.DUMMYFUNCTION("""COMPUTED_VALUE"""),128.52)</f>
        <v>128.52</v>
      </c>
      <c r="D51" s="1">
        <f>IFERROR(__xludf.DUMMYFUNCTION("""COMPUTED_VALUE"""),126.35)</f>
        <v>126.35</v>
      </c>
      <c r="E51" s="1">
        <f>IFERROR(__xludf.DUMMYFUNCTION("""COMPUTED_VALUE"""),127.76)</f>
        <v>127.76</v>
      </c>
      <c r="F51" s="1">
        <f>IFERROR(__xludf.DUMMYFUNCTION("""COMPUTED_VALUE"""),1200161.0)</f>
        <v>1200161</v>
      </c>
      <c r="G51" s="2" t="s">
        <v>6</v>
      </c>
    </row>
    <row r="52">
      <c r="A52" s="3">
        <f>IFERROR(__xludf.DUMMYFUNCTION("""COMPUTED_VALUE"""),44636.66666666667)</f>
        <v>44636.66667</v>
      </c>
      <c r="B52" s="1">
        <f>IFERROR(__xludf.DUMMYFUNCTION("""COMPUTED_VALUE"""),127.49)</f>
        <v>127.49</v>
      </c>
      <c r="C52" s="1">
        <f>IFERROR(__xludf.DUMMYFUNCTION("""COMPUTED_VALUE"""),128.15)</f>
        <v>128.15</v>
      </c>
      <c r="D52" s="1">
        <f>IFERROR(__xludf.DUMMYFUNCTION("""COMPUTED_VALUE"""),125.29)</f>
        <v>125.29</v>
      </c>
      <c r="E52" s="1">
        <f>IFERROR(__xludf.DUMMYFUNCTION("""COMPUTED_VALUE"""),127.79)</f>
        <v>127.79</v>
      </c>
      <c r="F52" s="1">
        <f>IFERROR(__xludf.DUMMYFUNCTION("""COMPUTED_VALUE"""),1403725.0)</f>
        <v>1403725</v>
      </c>
      <c r="G52" s="2" t="s">
        <v>6</v>
      </c>
    </row>
    <row r="53">
      <c r="A53" s="3">
        <f>IFERROR(__xludf.DUMMYFUNCTION("""COMPUTED_VALUE"""),44637.66666666667)</f>
        <v>44637.66667</v>
      </c>
      <c r="B53" s="1">
        <f>IFERROR(__xludf.DUMMYFUNCTION("""COMPUTED_VALUE"""),128.14)</f>
        <v>128.14</v>
      </c>
      <c r="C53" s="1">
        <f>IFERROR(__xludf.DUMMYFUNCTION("""COMPUTED_VALUE"""),128.61)</f>
        <v>128.61</v>
      </c>
      <c r="D53" s="1">
        <f>IFERROR(__xludf.DUMMYFUNCTION("""COMPUTED_VALUE"""),127.0)</f>
        <v>127</v>
      </c>
      <c r="E53" s="1">
        <f>IFERROR(__xludf.DUMMYFUNCTION("""COMPUTED_VALUE"""),127.78)</f>
        <v>127.78</v>
      </c>
      <c r="F53" s="1">
        <f>IFERROR(__xludf.DUMMYFUNCTION("""COMPUTED_VALUE"""),1227107.0)</f>
        <v>1227107</v>
      </c>
      <c r="G53" s="2" t="s">
        <v>6</v>
      </c>
    </row>
    <row r="54">
      <c r="A54" s="3">
        <f>IFERROR(__xludf.DUMMYFUNCTION("""COMPUTED_VALUE"""),44638.66666666667)</f>
        <v>44638.66667</v>
      </c>
      <c r="B54" s="1">
        <f>IFERROR(__xludf.DUMMYFUNCTION("""COMPUTED_VALUE"""),127.21)</f>
        <v>127.21</v>
      </c>
      <c r="C54" s="1">
        <f>IFERROR(__xludf.DUMMYFUNCTION("""COMPUTED_VALUE"""),127.6)</f>
        <v>127.6</v>
      </c>
      <c r="D54" s="1">
        <f>IFERROR(__xludf.DUMMYFUNCTION("""COMPUTED_VALUE"""),125.7)</f>
        <v>125.7</v>
      </c>
      <c r="E54" s="1">
        <f>IFERROR(__xludf.DUMMYFUNCTION("""COMPUTED_VALUE"""),126.07)</f>
        <v>126.07</v>
      </c>
      <c r="F54" s="1">
        <f>IFERROR(__xludf.DUMMYFUNCTION("""COMPUTED_VALUE"""),2349093.0)</f>
        <v>2349093</v>
      </c>
      <c r="G54" s="2" t="s">
        <v>6</v>
      </c>
    </row>
    <row r="55">
      <c r="A55" s="3">
        <f>IFERROR(__xludf.DUMMYFUNCTION("""COMPUTED_VALUE"""),44641.66666666667)</f>
        <v>44641.66667</v>
      </c>
      <c r="B55" s="1">
        <f>IFERROR(__xludf.DUMMYFUNCTION("""COMPUTED_VALUE"""),125.9)</f>
        <v>125.9</v>
      </c>
      <c r="C55" s="1">
        <f>IFERROR(__xludf.DUMMYFUNCTION("""COMPUTED_VALUE"""),128.1)</f>
        <v>128.1</v>
      </c>
      <c r="D55" s="1">
        <f>IFERROR(__xludf.DUMMYFUNCTION("""COMPUTED_VALUE"""),125.9)</f>
        <v>125.9</v>
      </c>
      <c r="E55" s="1">
        <f>IFERROR(__xludf.DUMMYFUNCTION("""COMPUTED_VALUE"""),127.1)</f>
        <v>127.1</v>
      </c>
      <c r="F55" s="1">
        <f>IFERROR(__xludf.DUMMYFUNCTION("""COMPUTED_VALUE"""),1408995.0)</f>
        <v>1408995</v>
      </c>
      <c r="G55" s="2" t="s">
        <v>6</v>
      </c>
    </row>
    <row r="56">
      <c r="A56" s="3">
        <f>IFERROR(__xludf.DUMMYFUNCTION("""COMPUTED_VALUE"""),44642.66666666667)</f>
        <v>44642.66667</v>
      </c>
      <c r="B56" s="1">
        <f>IFERROR(__xludf.DUMMYFUNCTION("""COMPUTED_VALUE"""),127.29)</f>
        <v>127.29</v>
      </c>
      <c r="C56" s="1">
        <f>IFERROR(__xludf.DUMMYFUNCTION("""COMPUTED_VALUE"""),127.34)</f>
        <v>127.34</v>
      </c>
      <c r="D56" s="1">
        <f>IFERROR(__xludf.DUMMYFUNCTION("""COMPUTED_VALUE"""),125.49)</f>
        <v>125.49</v>
      </c>
      <c r="E56" s="1">
        <f>IFERROR(__xludf.DUMMYFUNCTION("""COMPUTED_VALUE"""),125.71)</f>
        <v>125.71</v>
      </c>
      <c r="F56" s="1">
        <f>IFERROR(__xludf.DUMMYFUNCTION("""COMPUTED_VALUE"""),1603815.0)</f>
        <v>1603815</v>
      </c>
      <c r="G56" s="2" t="s">
        <v>6</v>
      </c>
    </row>
    <row r="57">
      <c r="A57" s="3">
        <f>IFERROR(__xludf.DUMMYFUNCTION("""COMPUTED_VALUE"""),44643.66666666667)</f>
        <v>44643.66667</v>
      </c>
      <c r="B57" s="1">
        <f>IFERROR(__xludf.DUMMYFUNCTION("""COMPUTED_VALUE"""),125.71)</f>
        <v>125.71</v>
      </c>
      <c r="C57" s="1">
        <f>IFERROR(__xludf.DUMMYFUNCTION("""COMPUTED_VALUE"""),127.51)</f>
        <v>127.51</v>
      </c>
      <c r="D57" s="1">
        <f>IFERROR(__xludf.DUMMYFUNCTION("""COMPUTED_VALUE"""),125.13)</f>
        <v>125.13</v>
      </c>
      <c r="E57" s="1">
        <f>IFERROR(__xludf.DUMMYFUNCTION("""COMPUTED_VALUE"""),126.96)</f>
        <v>126.96</v>
      </c>
      <c r="F57" s="1">
        <f>IFERROR(__xludf.DUMMYFUNCTION("""COMPUTED_VALUE"""),1052574.0)</f>
        <v>1052574</v>
      </c>
      <c r="G57" s="2" t="s">
        <v>6</v>
      </c>
    </row>
    <row r="58">
      <c r="A58" s="3">
        <f>IFERROR(__xludf.DUMMYFUNCTION("""COMPUTED_VALUE"""),44644.66666666667)</f>
        <v>44644.66667</v>
      </c>
      <c r="B58" s="1">
        <f>IFERROR(__xludf.DUMMYFUNCTION("""COMPUTED_VALUE"""),127.18)</f>
        <v>127.18</v>
      </c>
      <c r="C58" s="1">
        <f>IFERROR(__xludf.DUMMYFUNCTION("""COMPUTED_VALUE"""),128.26)</f>
        <v>128.26</v>
      </c>
      <c r="D58" s="1">
        <f>IFERROR(__xludf.DUMMYFUNCTION("""COMPUTED_VALUE"""),126.94)</f>
        <v>126.94</v>
      </c>
      <c r="E58" s="1">
        <f>IFERROR(__xludf.DUMMYFUNCTION("""COMPUTED_VALUE"""),127.79)</f>
        <v>127.79</v>
      </c>
      <c r="F58" s="1">
        <f>IFERROR(__xludf.DUMMYFUNCTION("""COMPUTED_VALUE"""),736236.0)</f>
        <v>736236</v>
      </c>
      <c r="G58" s="2" t="s">
        <v>6</v>
      </c>
    </row>
    <row r="59">
      <c r="A59" s="3">
        <f>IFERROR(__xludf.DUMMYFUNCTION("""COMPUTED_VALUE"""),44645.66666666667)</f>
        <v>44645.66667</v>
      </c>
      <c r="B59" s="1">
        <f>IFERROR(__xludf.DUMMYFUNCTION("""COMPUTED_VALUE"""),128.09)</f>
        <v>128.09</v>
      </c>
      <c r="C59" s="1">
        <f>IFERROR(__xludf.DUMMYFUNCTION("""COMPUTED_VALUE"""),129.85)</f>
        <v>129.85</v>
      </c>
      <c r="D59" s="1">
        <f>IFERROR(__xludf.DUMMYFUNCTION("""COMPUTED_VALUE"""),127.73)</f>
        <v>127.73</v>
      </c>
      <c r="E59" s="1">
        <f>IFERROR(__xludf.DUMMYFUNCTION("""COMPUTED_VALUE"""),129.85)</f>
        <v>129.85</v>
      </c>
      <c r="F59" s="1">
        <f>IFERROR(__xludf.DUMMYFUNCTION("""COMPUTED_VALUE"""),515719.0)</f>
        <v>515719</v>
      </c>
      <c r="G59" s="2" t="s">
        <v>6</v>
      </c>
    </row>
    <row r="60">
      <c r="A60" s="3">
        <f>IFERROR(__xludf.DUMMYFUNCTION("""COMPUTED_VALUE"""),44648.66666666667)</f>
        <v>44648.66667</v>
      </c>
      <c r="B60" s="1">
        <f>IFERROR(__xludf.DUMMYFUNCTION("""COMPUTED_VALUE"""),129.75)</f>
        <v>129.75</v>
      </c>
      <c r="C60" s="1">
        <f>IFERROR(__xludf.DUMMYFUNCTION("""COMPUTED_VALUE"""),129.94)</f>
        <v>129.94</v>
      </c>
      <c r="D60" s="1">
        <f>IFERROR(__xludf.DUMMYFUNCTION("""COMPUTED_VALUE"""),128.43)</f>
        <v>128.43</v>
      </c>
      <c r="E60" s="1">
        <f>IFERROR(__xludf.DUMMYFUNCTION("""COMPUTED_VALUE"""),129.7)</f>
        <v>129.7</v>
      </c>
      <c r="F60" s="1">
        <f>IFERROR(__xludf.DUMMYFUNCTION("""COMPUTED_VALUE"""),822979.0)</f>
        <v>822979</v>
      </c>
      <c r="G60" s="2" t="s">
        <v>6</v>
      </c>
    </row>
    <row r="61">
      <c r="A61" s="3">
        <f>IFERROR(__xludf.DUMMYFUNCTION("""COMPUTED_VALUE"""),44649.66666666667)</f>
        <v>44649.66667</v>
      </c>
      <c r="B61" s="1">
        <f>IFERROR(__xludf.DUMMYFUNCTION("""COMPUTED_VALUE"""),130.0)</f>
        <v>130</v>
      </c>
      <c r="C61" s="1">
        <f>IFERROR(__xludf.DUMMYFUNCTION("""COMPUTED_VALUE"""),130.9)</f>
        <v>130.9</v>
      </c>
      <c r="D61" s="1">
        <f>IFERROR(__xludf.DUMMYFUNCTION("""COMPUTED_VALUE"""),129.34)</f>
        <v>129.34</v>
      </c>
      <c r="E61" s="1">
        <f>IFERROR(__xludf.DUMMYFUNCTION("""COMPUTED_VALUE"""),130.59)</f>
        <v>130.59</v>
      </c>
      <c r="F61" s="1">
        <f>IFERROR(__xludf.DUMMYFUNCTION("""COMPUTED_VALUE"""),899764.0)</f>
        <v>899764</v>
      </c>
      <c r="G61" s="2" t="s">
        <v>6</v>
      </c>
    </row>
    <row r="62">
      <c r="A62" s="3">
        <f>IFERROR(__xludf.DUMMYFUNCTION("""COMPUTED_VALUE"""),44650.66666666667)</f>
        <v>44650.66667</v>
      </c>
      <c r="B62" s="1">
        <f>IFERROR(__xludf.DUMMYFUNCTION("""COMPUTED_VALUE"""),130.8)</f>
        <v>130.8</v>
      </c>
      <c r="C62" s="1">
        <f>IFERROR(__xludf.DUMMYFUNCTION("""COMPUTED_VALUE"""),132.73)</f>
        <v>132.73</v>
      </c>
      <c r="D62" s="1">
        <f>IFERROR(__xludf.DUMMYFUNCTION("""COMPUTED_VALUE"""),130.23)</f>
        <v>130.23</v>
      </c>
      <c r="E62" s="1">
        <f>IFERROR(__xludf.DUMMYFUNCTION("""COMPUTED_VALUE"""),132.56)</f>
        <v>132.56</v>
      </c>
      <c r="F62" s="1">
        <f>IFERROR(__xludf.DUMMYFUNCTION("""COMPUTED_VALUE"""),1096364.0)</f>
        <v>1096364</v>
      </c>
      <c r="G62" s="2" t="s">
        <v>6</v>
      </c>
    </row>
    <row r="63">
      <c r="A63" s="3">
        <f>IFERROR(__xludf.DUMMYFUNCTION("""COMPUTED_VALUE"""),44651.66666666667)</f>
        <v>44651.66667</v>
      </c>
      <c r="B63" s="1">
        <f>IFERROR(__xludf.DUMMYFUNCTION("""COMPUTED_VALUE"""),132.23)</f>
        <v>132.23</v>
      </c>
      <c r="C63" s="1">
        <f>IFERROR(__xludf.DUMMYFUNCTION("""COMPUTED_VALUE"""),134.32)</f>
        <v>134.32</v>
      </c>
      <c r="D63" s="1">
        <f>IFERROR(__xludf.DUMMYFUNCTION("""COMPUTED_VALUE"""),131.96)</f>
        <v>131.96</v>
      </c>
      <c r="E63" s="1">
        <f>IFERROR(__xludf.DUMMYFUNCTION("""COMPUTED_VALUE"""),132.21)</f>
        <v>132.21</v>
      </c>
      <c r="F63" s="1">
        <f>IFERROR(__xludf.DUMMYFUNCTION("""COMPUTED_VALUE"""),1149088.0)</f>
        <v>1149088</v>
      </c>
      <c r="G63" s="2" t="s">
        <v>6</v>
      </c>
    </row>
    <row r="64">
      <c r="A64" s="3">
        <f>IFERROR(__xludf.DUMMYFUNCTION("""COMPUTED_VALUE"""),44652.66666666667)</f>
        <v>44652.66667</v>
      </c>
      <c r="B64" s="1">
        <f>IFERROR(__xludf.DUMMYFUNCTION("""COMPUTED_VALUE"""),132.1)</f>
        <v>132.1</v>
      </c>
      <c r="C64" s="1">
        <f>IFERROR(__xludf.DUMMYFUNCTION("""COMPUTED_VALUE"""),134.97)</f>
        <v>134.97</v>
      </c>
      <c r="D64" s="1">
        <f>IFERROR(__xludf.DUMMYFUNCTION("""COMPUTED_VALUE"""),131.57)</f>
        <v>131.57</v>
      </c>
      <c r="E64" s="1">
        <f>IFERROR(__xludf.DUMMYFUNCTION("""COMPUTED_VALUE"""),134.94)</f>
        <v>134.94</v>
      </c>
      <c r="F64" s="1">
        <f>IFERROR(__xludf.DUMMYFUNCTION("""COMPUTED_VALUE"""),901234.0)</f>
        <v>901234</v>
      </c>
      <c r="G64" s="2" t="s">
        <v>6</v>
      </c>
    </row>
    <row r="65">
      <c r="A65" s="3">
        <f>IFERROR(__xludf.DUMMYFUNCTION("""COMPUTED_VALUE"""),44655.66666666667)</f>
        <v>44655.66667</v>
      </c>
      <c r="B65" s="1">
        <f>IFERROR(__xludf.DUMMYFUNCTION("""COMPUTED_VALUE"""),134.15)</f>
        <v>134.15</v>
      </c>
      <c r="C65" s="1">
        <f>IFERROR(__xludf.DUMMYFUNCTION("""COMPUTED_VALUE"""),134.15)</f>
        <v>134.15</v>
      </c>
      <c r="D65" s="1">
        <f>IFERROR(__xludf.DUMMYFUNCTION("""COMPUTED_VALUE"""),131.9)</f>
        <v>131.9</v>
      </c>
      <c r="E65" s="1">
        <f>IFERROR(__xludf.DUMMYFUNCTION("""COMPUTED_VALUE"""),133.63)</f>
        <v>133.63</v>
      </c>
      <c r="F65" s="1">
        <f>IFERROR(__xludf.DUMMYFUNCTION("""COMPUTED_VALUE"""),713577.0)</f>
        <v>713577</v>
      </c>
      <c r="G65" s="2" t="s">
        <v>6</v>
      </c>
    </row>
    <row r="66">
      <c r="A66" s="3">
        <f>IFERROR(__xludf.DUMMYFUNCTION("""COMPUTED_VALUE"""),44656.66666666667)</f>
        <v>44656.66667</v>
      </c>
      <c r="B66" s="1">
        <f>IFERROR(__xludf.DUMMYFUNCTION("""COMPUTED_VALUE"""),133.86)</f>
        <v>133.86</v>
      </c>
      <c r="C66" s="1">
        <f>IFERROR(__xludf.DUMMYFUNCTION("""COMPUTED_VALUE"""),136.13)</f>
        <v>136.13</v>
      </c>
      <c r="D66" s="1">
        <f>IFERROR(__xludf.DUMMYFUNCTION("""COMPUTED_VALUE"""),133.83)</f>
        <v>133.83</v>
      </c>
      <c r="E66" s="1">
        <f>IFERROR(__xludf.DUMMYFUNCTION("""COMPUTED_VALUE"""),134.29)</f>
        <v>134.29</v>
      </c>
      <c r="F66" s="1">
        <f>IFERROR(__xludf.DUMMYFUNCTION("""COMPUTED_VALUE"""),877109.0)</f>
        <v>877109</v>
      </c>
      <c r="G66" s="2" t="s">
        <v>6</v>
      </c>
    </row>
    <row r="67">
      <c r="A67" s="3">
        <f>IFERROR(__xludf.DUMMYFUNCTION("""COMPUTED_VALUE"""),44657.66666666667)</f>
        <v>44657.66667</v>
      </c>
      <c r="B67" s="1">
        <f>IFERROR(__xludf.DUMMYFUNCTION("""COMPUTED_VALUE"""),134.75)</f>
        <v>134.75</v>
      </c>
      <c r="C67" s="1">
        <f>IFERROR(__xludf.DUMMYFUNCTION("""COMPUTED_VALUE"""),137.99)</f>
        <v>137.99</v>
      </c>
      <c r="D67" s="1">
        <f>IFERROR(__xludf.DUMMYFUNCTION("""COMPUTED_VALUE"""),134.53)</f>
        <v>134.53</v>
      </c>
      <c r="E67" s="1">
        <f>IFERROR(__xludf.DUMMYFUNCTION("""COMPUTED_VALUE"""),137.61)</f>
        <v>137.61</v>
      </c>
      <c r="F67" s="1">
        <f>IFERROR(__xludf.DUMMYFUNCTION("""COMPUTED_VALUE"""),1543268.0)</f>
        <v>1543268</v>
      </c>
      <c r="G67" s="2" t="s">
        <v>6</v>
      </c>
    </row>
    <row r="68">
      <c r="A68" s="3">
        <f>IFERROR(__xludf.DUMMYFUNCTION("""COMPUTED_VALUE"""),44658.66666666667)</f>
        <v>44658.66667</v>
      </c>
      <c r="B68" s="1">
        <f>IFERROR(__xludf.DUMMYFUNCTION("""COMPUTED_VALUE"""),137.4)</f>
        <v>137.4</v>
      </c>
      <c r="C68" s="1">
        <f>IFERROR(__xludf.DUMMYFUNCTION("""COMPUTED_VALUE"""),137.78)</f>
        <v>137.78</v>
      </c>
      <c r="D68" s="1">
        <f>IFERROR(__xludf.DUMMYFUNCTION("""COMPUTED_VALUE"""),135.38)</f>
        <v>135.38</v>
      </c>
      <c r="E68" s="1">
        <f>IFERROR(__xludf.DUMMYFUNCTION("""COMPUTED_VALUE"""),136.33)</f>
        <v>136.33</v>
      </c>
      <c r="F68" s="1">
        <f>IFERROR(__xludf.DUMMYFUNCTION("""COMPUTED_VALUE"""),1319353.0)</f>
        <v>1319353</v>
      </c>
      <c r="G68" s="2" t="s">
        <v>6</v>
      </c>
    </row>
    <row r="69">
      <c r="A69" s="3">
        <f>IFERROR(__xludf.DUMMYFUNCTION("""COMPUTED_VALUE"""),44659.66666666667)</f>
        <v>44659.66667</v>
      </c>
      <c r="B69" s="1">
        <f>IFERROR(__xludf.DUMMYFUNCTION("""COMPUTED_VALUE"""),136.92)</f>
        <v>136.92</v>
      </c>
      <c r="C69" s="1">
        <f>IFERROR(__xludf.DUMMYFUNCTION("""COMPUTED_VALUE"""),137.77)</f>
        <v>137.77</v>
      </c>
      <c r="D69" s="1">
        <f>IFERROR(__xludf.DUMMYFUNCTION("""COMPUTED_VALUE"""),135.48)</f>
        <v>135.48</v>
      </c>
      <c r="E69" s="1">
        <f>IFERROR(__xludf.DUMMYFUNCTION("""COMPUTED_VALUE"""),137.35)</f>
        <v>137.35</v>
      </c>
      <c r="F69" s="1">
        <f>IFERROR(__xludf.DUMMYFUNCTION("""COMPUTED_VALUE"""),1007286.0)</f>
        <v>1007286</v>
      </c>
      <c r="G69" s="2" t="s">
        <v>6</v>
      </c>
    </row>
    <row r="70">
      <c r="A70" s="3">
        <f>IFERROR(__xludf.DUMMYFUNCTION("""COMPUTED_VALUE"""),44662.66666666667)</f>
        <v>44662.66667</v>
      </c>
      <c r="B70" s="1">
        <f>IFERROR(__xludf.DUMMYFUNCTION("""COMPUTED_VALUE"""),137.69)</f>
        <v>137.69</v>
      </c>
      <c r="C70" s="1">
        <f>IFERROR(__xludf.DUMMYFUNCTION("""COMPUTED_VALUE"""),138.51)</f>
        <v>138.51</v>
      </c>
      <c r="D70" s="1">
        <f>IFERROR(__xludf.DUMMYFUNCTION("""COMPUTED_VALUE"""),136.09)</f>
        <v>136.09</v>
      </c>
      <c r="E70" s="1">
        <f>IFERROR(__xludf.DUMMYFUNCTION("""COMPUTED_VALUE"""),136.86)</f>
        <v>136.86</v>
      </c>
      <c r="F70" s="1">
        <f>IFERROR(__xludf.DUMMYFUNCTION("""COMPUTED_VALUE"""),912176.0)</f>
        <v>912176</v>
      </c>
      <c r="G70" s="2" t="s">
        <v>6</v>
      </c>
    </row>
    <row r="71">
      <c r="A71" s="3">
        <f>IFERROR(__xludf.DUMMYFUNCTION("""COMPUTED_VALUE"""),44663.66666666667)</f>
        <v>44663.66667</v>
      </c>
      <c r="B71" s="1">
        <f>IFERROR(__xludf.DUMMYFUNCTION("""COMPUTED_VALUE"""),136.62)</f>
        <v>136.62</v>
      </c>
      <c r="C71" s="1">
        <f>IFERROR(__xludf.DUMMYFUNCTION("""COMPUTED_VALUE"""),138.35)</f>
        <v>138.35</v>
      </c>
      <c r="D71" s="1">
        <f>IFERROR(__xludf.DUMMYFUNCTION("""COMPUTED_VALUE"""),135.58)</f>
        <v>135.58</v>
      </c>
      <c r="E71" s="1">
        <f>IFERROR(__xludf.DUMMYFUNCTION("""COMPUTED_VALUE"""),137.85)</f>
        <v>137.85</v>
      </c>
      <c r="F71" s="1">
        <f>IFERROR(__xludf.DUMMYFUNCTION("""COMPUTED_VALUE"""),924462.0)</f>
        <v>924462</v>
      </c>
      <c r="G71" s="2" t="s">
        <v>6</v>
      </c>
    </row>
    <row r="72">
      <c r="A72" s="3">
        <f>IFERROR(__xludf.DUMMYFUNCTION("""COMPUTED_VALUE"""),44664.66666666667)</f>
        <v>44664.66667</v>
      </c>
      <c r="B72" s="1">
        <f>IFERROR(__xludf.DUMMYFUNCTION("""COMPUTED_VALUE"""),138.0)</f>
        <v>138</v>
      </c>
      <c r="C72" s="1">
        <f>IFERROR(__xludf.DUMMYFUNCTION("""COMPUTED_VALUE"""),138.18)</f>
        <v>138.18</v>
      </c>
      <c r="D72" s="1">
        <f>IFERROR(__xludf.DUMMYFUNCTION("""COMPUTED_VALUE"""),135.45)</f>
        <v>135.45</v>
      </c>
      <c r="E72" s="1">
        <f>IFERROR(__xludf.DUMMYFUNCTION("""COMPUTED_VALUE"""),136.63)</f>
        <v>136.63</v>
      </c>
      <c r="F72" s="1">
        <f>IFERROR(__xludf.DUMMYFUNCTION("""COMPUTED_VALUE"""),1073938.0)</f>
        <v>1073938</v>
      </c>
      <c r="G72" s="2" t="s">
        <v>6</v>
      </c>
    </row>
    <row r="73">
      <c r="A73" s="3">
        <f>IFERROR(__xludf.DUMMYFUNCTION("""COMPUTED_VALUE"""),44665.66666666667)</f>
        <v>44665.66667</v>
      </c>
      <c r="B73" s="1">
        <f>IFERROR(__xludf.DUMMYFUNCTION("""COMPUTED_VALUE"""),136.49)</f>
        <v>136.49</v>
      </c>
      <c r="C73" s="1">
        <f>IFERROR(__xludf.DUMMYFUNCTION("""COMPUTED_VALUE"""),138.02)</f>
        <v>138.02</v>
      </c>
      <c r="D73" s="1">
        <f>IFERROR(__xludf.DUMMYFUNCTION("""COMPUTED_VALUE"""),136.49)</f>
        <v>136.49</v>
      </c>
      <c r="E73" s="1">
        <f>IFERROR(__xludf.DUMMYFUNCTION("""COMPUTED_VALUE"""),137.17)</f>
        <v>137.17</v>
      </c>
      <c r="F73" s="1">
        <f>IFERROR(__xludf.DUMMYFUNCTION("""COMPUTED_VALUE"""),817180.0)</f>
        <v>817180</v>
      </c>
      <c r="G73" s="2" t="s">
        <v>6</v>
      </c>
    </row>
    <row r="74">
      <c r="A74" s="3">
        <f>IFERROR(__xludf.DUMMYFUNCTION("""COMPUTED_VALUE"""),44669.66666666667)</f>
        <v>44669.66667</v>
      </c>
      <c r="B74" s="1">
        <f>IFERROR(__xludf.DUMMYFUNCTION("""COMPUTED_VALUE"""),137.37)</f>
        <v>137.37</v>
      </c>
      <c r="C74" s="1">
        <f>IFERROR(__xludf.DUMMYFUNCTION("""COMPUTED_VALUE"""),138.03)</f>
        <v>138.03</v>
      </c>
      <c r="D74" s="1">
        <f>IFERROR(__xludf.DUMMYFUNCTION("""COMPUTED_VALUE"""),136.3)</f>
        <v>136.3</v>
      </c>
      <c r="E74" s="1">
        <f>IFERROR(__xludf.DUMMYFUNCTION("""COMPUTED_VALUE"""),137.17)</f>
        <v>137.17</v>
      </c>
      <c r="F74" s="1">
        <f>IFERROR(__xludf.DUMMYFUNCTION("""COMPUTED_VALUE"""),648648.0)</f>
        <v>648648</v>
      </c>
      <c r="G74" s="2" t="s">
        <v>6</v>
      </c>
    </row>
    <row r="75">
      <c r="A75" s="3">
        <f>IFERROR(__xludf.DUMMYFUNCTION("""COMPUTED_VALUE"""),44670.66666666667)</f>
        <v>44670.66667</v>
      </c>
      <c r="B75" s="1">
        <f>IFERROR(__xludf.DUMMYFUNCTION("""COMPUTED_VALUE"""),137.53)</f>
        <v>137.53</v>
      </c>
      <c r="C75" s="1">
        <f>IFERROR(__xludf.DUMMYFUNCTION("""COMPUTED_VALUE"""),138.0)</f>
        <v>138</v>
      </c>
      <c r="D75" s="1">
        <f>IFERROR(__xludf.DUMMYFUNCTION("""COMPUTED_VALUE"""),136.49)</f>
        <v>136.49</v>
      </c>
      <c r="E75" s="1">
        <f>IFERROR(__xludf.DUMMYFUNCTION("""COMPUTED_VALUE"""),137.77)</f>
        <v>137.77</v>
      </c>
      <c r="F75" s="1">
        <f>IFERROR(__xludf.DUMMYFUNCTION("""COMPUTED_VALUE"""),547964.0)</f>
        <v>547964</v>
      </c>
      <c r="G75" s="2" t="s">
        <v>6</v>
      </c>
    </row>
    <row r="76">
      <c r="A76" s="3">
        <f>IFERROR(__xludf.DUMMYFUNCTION("""COMPUTED_VALUE"""),44671.66666666667)</f>
        <v>44671.66667</v>
      </c>
      <c r="B76" s="1">
        <f>IFERROR(__xludf.DUMMYFUNCTION("""COMPUTED_VALUE"""),138.7)</f>
        <v>138.7</v>
      </c>
      <c r="C76" s="1">
        <f>IFERROR(__xludf.DUMMYFUNCTION("""COMPUTED_VALUE"""),139.78)</f>
        <v>139.78</v>
      </c>
      <c r="D76" s="1">
        <f>IFERROR(__xludf.DUMMYFUNCTION("""COMPUTED_VALUE"""),138.43)</f>
        <v>138.43</v>
      </c>
      <c r="E76" s="1">
        <f>IFERROR(__xludf.DUMMYFUNCTION("""COMPUTED_VALUE"""),139.12)</f>
        <v>139.12</v>
      </c>
      <c r="F76" s="1">
        <f>IFERROR(__xludf.DUMMYFUNCTION("""COMPUTED_VALUE"""),785160.0)</f>
        <v>785160</v>
      </c>
      <c r="G76" s="2" t="s">
        <v>6</v>
      </c>
    </row>
    <row r="77">
      <c r="A77" s="3">
        <f>IFERROR(__xludf.DUMMYFUNCTION("""COMPUTED_VALUE"""),44672.66666666667)</f>
        <v>44672.66667</v>
      </c>
      <c r="B77" s="1">
        <f>IFERROR(__xludf.DUMMYFUNCTION("""COMPUTED_VALUE"""),139.03)</f>
        <v>139.03</v>
      </c>
      <c r="C77" s="1">
        <f>IFERROR(__xludf.DUMMYFUNCTION("""COMPUTED_VALUE"""),140.23)</f>
        <v>140.23</v>
      </c>
      <c r="D77" s="1">
        <f>IFERROR(__xludf.DUMMYFUNCTION("""COMPUTED_VALUE"""),138.07)</f>
        <v>138.07</v>
      </c>
      <c r="E77" s="1">
        <f>IFERROR(__xludf.DUMMYFUNCTION("""COMPUTED_VALUE"""),138.28)</f>
        <v>138.28</v>
      </c>
      <c r="F77" s="1">
        <f>IFERROR(__xludf.DUMMYFUNCTION("""COMPUTED_VALUE"""),1017394.0)</f>
        <v>1017394</v>
      </c>
      <c r="G77" s="2" t="s">
        <v>6</v>
      </c>
    </row>
    <row r="78">
      <c r="A78" s="3">
        <f>IFERROR(__xludf.DUMMYFUNCTION("""COMPUTED_VALUE"""),44673.66666666667)</f>
        <v>44673.66667</v>
      </c>
      <c r="B78" s="1">
        <f>IFERROR(__xludf.DUMMYFUNCTION("""COMPUTED_VALUE"""),138.04)</f>
        <v>138.04</v>
      </c>
      <c r="C78" s="1">
        <f>IFERROR(__xludf.DUMMYFUNCTION("""COMPUTED_VALUE"""),138.29)</f>
        <v>138.29</v>
      </c>
      <c r="D78" s="1">
        <f>IFERROR(__xludf.DUMMYFUNCTION("""COMPUTED_VALUE"""),136.72)</f>
        <v>136.72</v>
      </c>
      <c r="E78" s="1">
        <f>IFERROR(__xludf.DUMMYFUNCTION("""COMPUTED_VALUE"""),136.81)</f>
        <v>136.81</v>
      </c>
      <c r="F78" s="1">
        <f>IFERROR(__xludf.DUMMYFUNCTION("""COMPUTED_VALUE"""),664183.0)</f>
        <v>664183</v>
      </c>
      <c r="G78" s="2" t="s">
        <v>6</v>
      </c>
    </row>
    <row r="79">
      <c r="A79" s="3">
        <f>IFERROR(__xludf.DUMMYFUNCTION("""COMPUTED_VALUE"""),44676.66666666667)</f>
        <v>44676.66667</v>
      </c>
      <c r="B79" s="1">
        <f>IFERROR(__xludf.DUMMYFUNCTION("""COMPUTED_VALUE"""),137.16)</f>
        <v>137.16</v>
      </c>
      <c r="C79" s="1">
        <f>IFERROR(__xludf.DUMMYFUNCTION("""COMPUTED_VALUE"""),137.34)</f>
        <v>137.34</v>
      </c>
      <c r="D79" s="1">
        <f>IFERROR(__xludf.DUMMYFUNCTION("""COMPUTED_VALUE"""),134.23)</f>
        <v>134.23</v>
      </c>
      <c r="E79" s="1">
        <f>IFERROR(__xludf.DUMMYFUNCTION("""COMPUTED_VALUE"""),135.7)</f>
        <v>135.7</v>
      </c>
      <c r="F79" s="1">
        <f>IFERROR(__xludf.DUMMYFUNCTION("""COMPUTED_VALUE"""),889473.0)</f>
        <v>889473</v>
      </c>
      <c r="G79" s="2" t="s">
        <v>6</v>
      </c>
    </row>
    <row r="80">
      <c r="A80" s="3">
        <f>IFERROR(__xludf.DUMMYFUNCTION("""COMPUTED_VALUE"""),44677.66666666667)</f>
        <v>44677.66667</v>
      </c>
      <c r="B80" s="1">
        <f>IFERROR(__xludf.DUMMYFUNCTION("""COMPUTED_VALUE"""),135.04)</f>
        <v>135.04</v>
      </c>
      <c r="C80" s="1">
        <f>IFERROR(__xludf.DUMMYFUNCTION("""COMPUTED_VALUE"""),137.16)</f>
        <v>137.16</v>
      </c>
      <c r="D80" s="1">
        <f>IFERROR(__xludf.DUMMYFUNCTION("""COMPUTED_VALUE"""),134.43)</f>
        <v>134.43</v>
      </c>
      <c r="E80" s="1">
        <f>IFERROR(__xludf.DUMMYFUNCTION("""COMPUTED_VALUE"""),134.52)</f>
        <v>134.52</v>
      </c>
      <c r="F80" s="1">
        <f>IFERROR(__xludf.DUMMYFUNCTION("""COMPUTED_VALUE"""),699171.0)</f>
        <v>699171</v>
      </c>
      <c r="G80" s="2" t="s">
        <v>6</v>
      </c>
    </row>
    <row r="81">
      <c r="A81" s="3">
        <f>IFERROR(__xludf.DUMMYFUNCTION("""COMPUTED_VALUE"""),44678.66666666667)</f>
        <v>44678.66667</v>
      </c>
      <c r="B81" s="1">
        <f>IFERROR(__xludf.DUMMYFUNCTION("""COMPUTED_VALUE"""),135.12)</f>
        <v>135.12</v>
      </c>
      <c r="C81" s="1">
        <f>IFERROR(__xludf.DUMMYFUNCTION("""COMPUTED_VALUE"""),136.0)</f>
        <v>136</v>
      </c>
      <c r="D81" s="1">
        <f>IFERROR(__xludf.DUMMYFUNCTION("""COMPUTED_VALUE"""),133.58)</f>
        <v>133.58</v>
      </c>
      <c r="E81" s="1">
        <f>IFERROR(__xludf.DUMMYFUNCTION("""COMPUTED_VALUE"""),134.37)</f>
        <v>134.37</v>
      </c>
      <c r="F81" s="1">
        <f>IFERROR(__xludf.DUMMYFUNCTION("""COMPUTED_VALUE"""),764439.0)</f>
        <v>764439</v>
      </c>
      <c r="G81" s="2" t="s">
        <v>6</v>
      </c>
    </row>
    <row r="82">
      <c r="A82" s="3">
        <f>IFERROR(__xludf.DUMMYFUNCTION("""COMPUTED_VALUE"""),44679.66666666667)</f>
        <v>44679.66667</v>
      </c>
      <c r="B82" s="1">
        <f>IFERROR(__xludf.DUMMYFUNCTION("""COMPUTED_VALUE"""),134.0)</f>
        <v>134</v>
      </c>
      <c r="C82" s="1">
        <f>IFERROR(__xludf.DUMMYFUNCTION("""COMPUTED_VALUE"""),136.42)</f>
        <v>136.42</v>
      </c>
      <c r="D82" s="1">
        <f>IFERROR(__xludf.DUMMYFUNCTION("""COMPUTED_VALUE"""),133.5)</f>
        <v>133.5</v>
      </c>
      <c r="E82" s="1">
        <f>IFERROR(__xludf.DUMMYFUNCTION("""COMPUTED_VALUE"""),135.52)</f>
        <v>135.52</v>
      </c>
      <c r="F82" s="1">
        <f>IFERROR(__xludf.DUMMYFUNCTION("""COMPUTED_VALUE"""),989083.0)</f>
        <v>989083</v>
      </c>
      <c r="G82" s="2" t="s">
        <v>6</v>
      </c>
    </row>
    <row r="83">
      <c r="A83" s="3">
        <f>IFERROR(__xludf.DUMMYFUNCTION("""COMPUTED_VALUE"""),44680.66666666667)</f>
        <v>44680.66667</v>
      </c>
      <c r="B83" s="1">
        <f>IFERROR(__xludf.DUMMYFUNCTION("""COMPUTED_VALUE"""),134.8)</f>
        <v>134.8</v>
      </c>
      <c r="C83" s="1">
        <f>IFERROR(__xludf.DUMMYFUNCTION("""COMPUTED_VALUE"""),135.17)</f>
        <v>135.17</v>
      </c>
      <c r="D83" s="1">
        <f>IFERROR(__xludf.DUMMYFUNCTION("""COMPUTED_VALUE"""),130.87)</f>
        <v>130.87</v>
      </c>
      <c r="E83" s="1">
        <f>IFERROR(__xludf.DUMMYFUNCTION("""COMPUTED_VALUE"""),131.04)</f>
        <v>131.04</v>
      </c>
      <c r="F83" s="1">
        <f>IFERROR(__xludf.DUMMYFUNCTION("""COMPUTED_VALUE"""),1342971.0)</f>
        <v>1342971</v>
      </c>
      <c r="G83" s="2" t="s">
        <v>6</v>
      </c>
    </row>
    <row r="84">
      <c r="A84" s="3">
        <f>IFERROR(__xludf.DUMMYFUNCTION("""COMPUTED_VALUE"""),44683.66666666667)</f>
        <v>44683.66667</v>
      </c>
      <c r="B84" s="1">
        <f>IFERROR(__xludf.DUMMYFUNCTION("""COMPUTED_VALUE"""),132.18)</f>
        <v>132.18</v>
      </c>
      <c r="C84" s="1">
        <f>IFERROR(__xludf.DUMMYFUNCTION("""COMPUTED_VALUE"""),133.14)</f>
        <v>133.14</v>
      </c>
      <c r="D84" s="1">
        <f>IFERROR(__xludf.DUMMYFUNCTION("""COMPUTED_VALUE"""),127.25)</f>
        <v>127.25</v>
      </c>
      <c r="E84" s="1">
        <f>IFERROR(__xludf.DUMMYFUNCTION("""COMPUTED_VALUE"""),128.74)</f>
        <v>128.74</v>
      </c>
      <c r="F84" s="1">
        <f>IFERROR(__xludf.DUMMYFUNCTION("""COMPUTED_VALUE"""),1238229.0)</f>
        <v>1238229</v>
      </c>
      <c r="G84" s="2" t="s">
        <v>6</v>
      </c>
    </row>
    <row r="85">
      <c r="A85" s="3">
        <f>IFERROR(__xludf.DUMMYFUNCTION("""COMPUTED_VALUE"""),44684.66666666667)</f>
        <v>44684.66667</v>
      </c>
      <c r="B85" s="1">
        <f>IFERROR(__xludf.DUMMYFUNCTION("""COMPUTED_VALUE"""),129.33)</f>
        <v>129.33</v>
      </c>
      <c r="C85" s="1">
        <f>IFERROR(__xludf.DUMMYFUNCTION("""COMPUTED_VALUE"""),131.68)</f>
        <v>131.68</v>
      </c>
      <c r="D85" s="1">
        <f>IFERROR(__xludf.DUMMYFUNCTION("""COMPUTED_VALUE"""),128.94)</f>
        <v>128.94</v>
      </c>
      <c r="E85" s="1">
        <f>IFERROR(__xludf.DUMMYFUNCTION("""COMPUTED_VALUE"""),129.61)</f>
        <v>129.61</v>
      </c>
      <c r="F85" s="1">
        <f>IFERROR(__xludf.DUMMYFUNCTION("""COMPUTED_VALUE"""),1377969.0)</f>
        <v>1377969</v>
      </c>
      <c r="G85" s="2" t="s">
        <v>6</v>
      </c>
    </row>
    <row r="86">
      <c r="A86" s="3">
        <f>IFERROR(__xludf.DUMMYFUNCTION("""COMPUTED_VALUE"""),44685.66666666667)</f>
        <v>44685.66667</v>
      </c>
      <c r="B86" s="1">
        <f>IFERROR(__xludf.DUMMYFUNCTION("""COMPUTED_VALUE"""),130.49)</f>
        <v>130.49</v>
      </c>
      <c r="C86" s="1">
        <f>IFERROR(__xludf.DUMMYFUNCTION("""COMPUTED_VALUE"""),131.06)</f>
        <v>131.06</v>
      </c>
      <c r="D86" s="1">
        <f>IFERROR(__xludf.DUMMYFUNCTION("""COMPUTED_VALUE"""),129.5)</f>
        <v>129.5</v>
      </c>
      <c r="E86" s="1">
        <f>IFERROR(__xludf.DUMMYFUNCTION("""COMPUTED_VALUE"""),130.76)</f>
        <v>130.76</v>
      </c>
      <c r="F86" s="1">
        <f>IFERROR(__xludf.DUMMYFUNCTION("""COMPUTED_VALUE"""),1404602.0)</f>
        <v>1404602</v>
      </c>
      <c r="G86" s="2" t="s">
        <v>6</v>
      </c>
    </row>
    <row r="87">
      <c r="A87" s="3">
        <f>IFERROR(__xludf.DUMMYFUNCTION("""COMPUTED_VALUE"""),44686.66666666667)</f>
        <v>44686.66667</v>
      </c>
      <c r="B87" s="1">
        <f>IFERROR(__xludf.DUMMYFUNCTION("""COMPUTED_VALUE"""),130.5)</f>
        <v>130.5</v>
      </c>
      <c r="C87" s="1">
        <f>IFERROR(__xludf.DUMMYFUNCTION("""COMPUTED_VALUE"""),131.41)</f>
        <v>131.41</v>
      </c>
      <c r="D87" s="1">
        <f>IFERROR(__xludf.DUMMYFUNCTION("""COMPUTED_VALUE"""),127.78)</f>
        <v>127.78</v>
      </c>
      <c r="E87" s="1">
        <f>IFERROR(__xludf.DUMMYFUNCTION("""COMPUTED_VALUE"""),128.83)</f>
        <v>128.83</v>
      </c>
      <c r="F87" s="1">
        <f>IFERROR(__xludf.DUMMYFUNCTION("""COMPUTED_VALUE"""),1516031.0)</f>
        <v>1516031</v>
      </c>
      <c r="G87" s="2" t="s">
        <v>6</v>
      </c>
    </row>
    <row r="88">
      <c r="A88" s="3">
        <f>IFERROR(__xludf.DUMMYFUNCTION("""COMPUTED_VALUE"""),44687.66666666667)</f>
        <v>44687.66667</v>
      </c>
      <c r="B88" s="1">
        <f>IFERROR(__xludf.DUMMYFUNCTION("""COMPUTED_VALUE"""),128.22)</f>
        <v>128.22</v>
      </c>
      <c r="C88" s="1">
        <f>IFERROR(__xludf.DUMMYFUNCTION("""COMPUTED_VALUE"""),130.0)</f>
        <v>130</v>
      </c>
      <c r="D88" s="1">
        <f>IFERROR(__xludf.DUMMYFUNCTION("""COMPUTED_VALUE"""),127.98)</f>
        <v>127.98</v>
      </c>
      <c r="E88" s="1">
        <f>IFERROR(__xludf.DUMMYFUNCTION("""COMPUTED_VALUE"""),129.68)</f>
        <v>129.68</v>
      </c>
      <c r="F88" s="1">
        <f>IFERROR(__xludf.DUMMYFUNCTION("""COMPUTED_VALUE"""),1204386.0)</f>
        <v>1204386</v>
      </c>
      <c r="G88" s="2" t="s">
        <v>6</v>
      </c>
    </row>
    <row r="89">
      <c r="A89" s="3">
        <f>IFERROR(__xludf.DUMMYFUNCTION("""COMPUTED_VALUE"""),44690.66666666667)</f>
        <v>44690.66667</v>
      </c>
      <c r="B89" s="1">
        <f>IFERROR(__xludf.DUMMYFUNCTION("""COMPUTED_VALUE"""),129.18)</f>
        <v>129.18</v>
      </c>
      <c r="C89" s="1">
        <f>IFERROR(__xludf.DUMMYFUNCTION("""COMPUTED_VALUE"""),130.85)</f>
        <v>130.85</v>
      </c>
      <c r="D89" s="1">
        <f>IFERROR(__xludf.DUMMYFUNCTION("""COMPUTED_VALUE"""),127.82)</f>
        <v>127.82</v>
      </c>
      <c r="E89" s="1">
        <f>IFERROR(__xludf.DUMMYFUNCTION("""COMPUTED_VALUE"""),129.52)</f>
        <v>129.52</v>
      </c>
      <c r="F89" s="1">
        <f>IFERROR(__xludf.DUMMYFUNCTION("""COMPUTED_VALUE"""),849292.0)</f>
        <v>849292</v>
      </c>
      <c r="G89" s="2" t="s">
        <v>6</v>
      </c>
    </row>
    <row r="90">
      <c r="A90" s="3">
        <f>IFERROR(__xludf.DUMMYFUNCTION("""COMPUTED_VALUE"""),44691.66666666667)</f>
        <v>44691.66667</v>
      </c>
      <c r="B90" s="1">
        <f>IFERROR(__xludf.DUMMYFUNCTION("""COMPUTED_VALUE"""),129.86)</f>
        <v>129.86</v>
      </c>
      <c r="C90" s="1">
        <f>IFERROR(__xludf.DUMMYFUNCTION("""COMPUTED_VALUE"""),131.63)</f>
        <v>131.63</v>
      </c>
      <c r="D90" s="1">
        <f>IFERROR(__xludf.DUMMYFUNCTION("""COMPUTED_VALUE"""),127.5)</f>
        <v>127.5</v>
      </c>
      <c r="E90" s="1">
        <f>IFERROR(__xludf.DUMMYFUNCTION("""COMPUTED_VALUE"""),128.41)</f>
        <v>128.41</v>
      </c>
      <c r="F90" s="1">
        <f>IFERROR(__xludf.DUMMYFUNCTION("""COMPUTED_VALUE"""),917200.0)</f>
        <v>917200</v>
      </c>
      <c r="G90" s="2" t="s">
        <v>6</v>
      </c>
    </row>
    <row r="91">
      <c r="A91" s="3">
        <f>IFERROR(__xludf.DUMMYFUNCTION("""COMPUTED_VALUE"""),44692.66666666667)</f>
        <v>44692.66667</v>
      </c>
      <c r="B91" s="1">
        <f>IFERROR(__xludf.DUMMYFUNCTION("""COMPUTED_VALUE"""),128.64)</f>
        <v>128.64</v>
      </c>
      <c r="C91" s="1">
        <f>IFERROR(__xludf.DUMMYFUNCTION("""COMPUTED_VALUE"""),131.77)</f>
        <v>131.77</v>
      </c>
      <c r="D91" s="1">
        <f>IFERROR(__xludf.DUMMYFUNCTION("""COMPUTED_VALUE"""),128.58)</f>
        <v>128.58</v>
      </c>
      <c r="E91" s="1">
        <f>IFERROR(__xludf.DUMMYFUNCTION("""COMPUTED_VALUE"""),130.11)</f>
        <v>130.11</v>
      </c>
      <c r="F91" s="1">
        <f>IFERROR(__xludf.DUMMYFUNCTION("""COMPUTED_VALUE"""),925707.0)</f>
        <v>925707</v>
      </c>
      <c r="G91" s="2" t="s">
        <v>6</v>
      </c>
    </row>
    <row r="92">
      <c r="A92" s="3">
        <f>IFERROR(__xludf.DUMMYFUNCTION("""COMPUTED_VALUE"""),44693.66666666667)</f>
        <v>44693.66667</v>
      </c>
      <c r="B92" s="1">
        <f>IFERROR(__xludf.DUMMYFUNCTION("""COMPUTED_VALUE"""),130.0)</f>
        <v>130</v>
      </c>
      <c r="C92" s="1">
        <f>IFERROR(__xludf.DUMMYFUNCTION("""COMPUTED_VALUE"""),130.63)</f>
        <v>130.63</v>
      </c>
      <c r="D92" s="1">
        <f>IFERROR(__xludf.DUMMYFUNCTION("""COMPUTED_VALUE"""),127.63)</f>
        <v>127.63</v>
      </c>
      <c r="E92" s="1">
        <f>IFERROR(__xludf.DUMMYFUNCTION("""COMPUTED_VALUE"""),128.71)</f>
        <v>128.71</v>
      </c>
      <c r="F92" s="1">
        <f>IFERROR(__xludf.DUMMYFUNCTION("""COMPUTED_VALUE"""),873712.0)</f>
        <v>873712</v>
      </c>
      <c r="G92" s="2" t="s">
        <v>6</v>
      </c>
    </row>
    <row r="93">
      <c r="A93" s="3">
        <f>IFERROR(__xludf.DUMMYFUNCTION("""COMPUTED_VALUE"""),44694.66666666667)</f>
        <v>44694.66667</v>
      </c>
      <c r="B93" s="1">
        <f>IFERROR(__xludf.DUMMYFUNCTION("""COMPUTED_VALUE"""),129.47)</f>
        <v>129.47</v>
      </c>
      <c r="C93" s="1">
        <f>IFERROR(__xludf.DUMMYFUNCTION("""COMPUTED_VALUE"""),130.24)</f>
        <v>130.24</v>
      </c>
      <c r="D93" s="1">
        <f>IFERROR(__xludf.DUMMYFUNCTION("""COMPUTED_VALUE"""),127.91)</f>
        <v>127.91</v>
      </c>
      <c r="E93" s="1">
        <f>IFERROR(__xludf.DUMMYFUNCTION("""COMPUTED_VALUE"""),129.81)</f>
        <v>129.81</v>
      </c>
      <c r="F93" s="1">
        <f>IFERROR(__xludf.DUMMYFUNCTION("""COMPUTED_VALUE"""),764066.0)</f>
        <v>764066</v>
      </c>
      <c r="G93" s="2" t="s">
        <v>6</v>
      </c>
    </row>
    <row r="94">
      <c r="A94" s="3">
        <f>IFERROR(__xludf.DUMMYFUNCTION("""COMPUTED_VALUE"""),44697.66666666667)</f>
        <v>44697.66667</v>
      </c>
      <c r="B94" s="1">
        <f>IFERROR(__xludf.DUMMYFUNCTION("""COMPUTED_VALUE"""),130.21)</f>
        <v>130.21</v>
      </c>
      <c r="C94" s="1">
        <f>IFERROR(__xludf.DUMMYFUNCTION("""COMPUTED_VALUE"""),130.88)</f>
        <v>130.88</v>
      </c>
      <c r="D94" s="1">
        <f>IFERROR(__xludf.DUMMYFUNCTION("""COMPUTED_VALUE"""),129.23)</f>
        <v>129.23</v>
      </c>
      <c r="E94" s="1">
        <f>IFERROR(__xludf.DUMMYFUNCTION("""COMPUTED_VALUE"""),130.37)</f>
        <v>130.37</v>
      </c>
      <c r="F94" s="1">
        <f>IFERROR(__xludf.DUMMYFUNCTION("""COMPUTED_VALUE"""),871905.0)</f>
        <v>871905</v>
      </c>
      <c r="G94" s="2" t="s">
        <v>6</v>
      </c>
    </row>
    <row r="95">
      <c r="A95" s="3">
        <f>IFERROR(__xludf.DUMMYFUNCTION("""COMPUTED_VALUE"""),44698.66666666667)</f>
        <v>44698.66667</v>
      </c>
      <c r="B95" s="1">
        <f>IFERROR(__xludf.DUMMYFUNCTION("""COMPUTED_VALUE"""),131.1)</f>
        <v>131.1</v>
      </c>
      <c r="C95" s="1">
        <f>IFERROR(__xludf.DUMMYFUNCTION("""COMPUTED_VALUE"""),131.1)</f>
        <v>131.1</v>
      </c>
      <c r="D95" s="1">
        <f>IFERROR(__xludf.DUMMYFUNCTION("""COMPUTED_VALUE"""),128.63)</f>
        <v>128.63</v>
      </c>
      <c r="E95" s="1">
        <f>IFERROR(__xludf.DUMMYFUNCTION("""COMPUTED_VALUE"""),129.61)</f>
        <v>129.61</v>
      </c>
      <c r="F95" s="1">
        <f>IFERROR(__xludf.DUMMYFUNCTION("""COMPUTED_VALUE"""),1895077.0)</f>
        <v>1895077</v>
      </c>
      <c r="G95" s="2" t="s">
        <v>6</v>
      </c>
    </row>
    <row r="96">
      <c r="A96" s="3">
        <f>IFERROR(__xludf.DUMMYFUNCTION("""COMPUTED_VALUE"""),44699.66666666667)</f>
        <v>44699.66667</v>
      </c>
      <c r="B96" s="1">
        <f>IFERROR(__xludf.DUMMYFUNCTION("""COMPUTED_VALUE"""),130.68)</f>
        <v>130.68</v>
      </c>
      <c r="C96" s="1">
        <f>IFERROR(__xludf.DUMMYFUNCTION("""COMPUTED_VALUE"""),130.68)</f>
        <v>130.68</v>
      </c>
      <c r="D96" s="1">
        <f>IFERROR(__xludf.DUMMYFUNCTION("""COMPUTED_VALUE"""),128.0)</f>
        <v>128</v>
      </c>
      <c r="E96" s="1">
        <f>IFERROR(__xludf.DUMMYFUNCTION("""COMPUTED_VALUE"""),128.31)</f>
        <v>128.31</v>
      </c>
      <c r="F96" s="1">
        <f>IFERROR(__xludf.DUMMYFUNCTION("""COMPUTED_VALUE"""),2063856.0)</f>
        <v>2063856</v>
      </c>
      <c r="G96" s="2" t="s">
        <v>6</v>
      </c>
    </row>
    <row r="97">
      <c r="A97" s="3">
        <f>IFERROR(__xludf.DUMMYFUNCTION("""COMPUTED_VALUE"""),44700.66666666667)</f>
        <v>44700.66667</v>
      </c>
      <c r="B97" s="1">
        <f>IFERROR(__xludf.DUMMYFUNCTION("""COMPUTED_VALUE"""),127.89)</f>
        <v>127.89</v>
      </c>
      <c r="C97" s="1">
        <f>IFERROR(__xludf.DUMMYFUNCTION("""COMPUTED_VALUE"""),129.37)</f>
        <v>129.37</v>
      </c>
      <c r="D97" s="1">
        <f>IFERROR(__xludf.DUMMYFUNCTION("""COMPUTED_VALUE"""),126.8)</f>
        <v>126.8</v>
      </c>
      <c r="E97" s="1">
        <f>IFERROR(__xludf.DUMMYFUNCTION("""COMPUTED_VALUE"""),128.82)</f>
        <v>128.82</v>
      </c>
      <c r="F97" s="1">
        <f>IFERROR(__xludf.DUMMYFUNCTION("""COMPUTED_VALUE"""),1566337.0)</f>
        <v>1566337</v>
      </c>
      <c r="G97" s="2" t="s">
        <v>6</v>
      </c>
    </row>
    <row r="98">
      <c r="A98" s="3">
        <f>IFERROR(__xludf.DUMMYFUNCTION("""COMPUTED_VALUE"""),44701.66666666667)</f>
        <v>44701.66667</v>
      </c>
      <c r="B98" s="1">
        <f>IFERROR(__xludf.DUMMYFUNCTION("""COMPUTED_VALUE"""),129.35)</f>
        <v>129.35</v>
      </c>
      <c r="C98" s="1">
        <f>IFERROR(__xludf.DUMMYFUNCTION("""COMPUTED_VALUE"""),129.39)</f>
        <v>129.39</v>
      </c>
      <c r="D98" s="1">
        <f>IFERROR(__xludf.DUMMYFUNCTION("""COMPUTED_VALUE"""),127.08)</f>
        <v>127.08</v>
      </c>
      <c r="E98" s="1">
        <f>IFERROR(__xludf.DUMMYFUNCTION("""COMPUTED_VALUE"""),128.72)</f>
        <v>128.72</v>
      </c>
      <c r="F98" s="1">
        <f>IFERROR(__xludf.DUMMYFUNCTION("""COMPUTED_VALUE"""),1698032.0)</f>
        <v>1698032</v>
      </c>
      <c r="G98" s="2" t="s">
        <v>6</v>
      </c>
    </row>
    <row r="99">
      <c r="A99" s="3">
        <f>IFERROR(__xludf.DUMMYFUNCTION("""COMPUTED_VALUE"""),44704.66666666667)</f>
        <v>44704.66667</v>
      </c>
      <c r="B99" s="1">
        <f>IFERROR(__xludf.DUMMYFUNCTION("""COMPUTED_VALUE"""),131.27)</f>
        <v>131.27</v>
      </c>
      <c r="C99" s="1">
        <f>IFERROR(__xludf.DUMMYFUNCTION("""COMPUTED_VALUE"""),131.27)</f>
        <v>131.27</v>
      </c>
      <c r="D99" s="1">
        <f>IFERROR(__xludf.DUMMYFUNCTION("""COMPUTED_VALUE"""),128.97)</f>
        <v>128.97</v>
      </c>
      <c r="E99" s="1">
        <f>IFERROR(__xludf.DUMMYFUNCTION("""COMPUTED_VALUE"""),130.79)</f>
        <v>130.79</v>
      </c>
      <c r="F99" s="1">
        <f>IFERROR(__xludf.DUMMYFUNCTION("""COMPUTED_VALUE"""),1438498.0)</f>
        <v>1438498</v>
      </c>
      <c r="G99" s="2" t="s">
        <v>6</v>
      </c>
    </row>
    <row r="100">
      <c r="A100" s="3">
        <f>IFERROR(__xludf.DUMMYFUNCTION("""COMPUTED_VALUE"""),44705.66666666667)</f>
        <v>44705.66667</v>
      </c>
      <c r="B100" s="1">
        <f>IFERROR(__xludf.DUMMYFUNCTION("""COMPUTED_VALUE"""),131.06)</f>
        <v>131.06</v>
      </c>
      <c r="C100" s="1">
        <f>IFERROR(__xludf.DUMMYFUNCTION("""COMPUTED_VALUE"""),134.6)</f>
        <v>134.6</v>
      </c>
      <c r="D100" s="1">
        <f>IFERROR(__xludf.DUMMYFUNCTION("""COMPUTED_VALUE"""),130.77)</f>
        <v>130.77</v>
      </c>
      <c r="E100" s="1">
        <f>IFERROR(__xludf.DUMMYFUNCTION("""COMPUTED_VALUE"""),134.14)</f>
        <v>134.14</v>
      </c>
      <c r="F100" s="1">
        <f>IFERROR(__xludf.DUMMYFUNCTION("""COMPUTED_VALUE"""),1075225.0)</f>
        <v>1075225</v>
      </c>
      <c r="G100" s="2" t="s">
        <v>6</v>
      </c>
    </row>
    <row r="101">
      <c r="A101" s="3">
        <f>IFERROR(__xludf.DUMMYFUNCTION("""COMPUTED_VALUE"""),44706.66666666667)</f>
        <v>44706.66667</v>
      </c>
      <c r="B101" s="1">
        <f>IFERROR(__xludf.DUMMYFUNCTION("""COMPUTED_VALUE"""),134.32)</f>
        <v>134.32</v>
      </c>
      <c r="C101" s="1">
        <f>IFERROR(__xludf.DUMMYFUNCTION("""COMPUTED_VALUE"""),134.7)</f>
        <v>134.7</v>
      </c>
      <c r="D101" s="1">
        <f>IFERROR(__xludf.DUMMYFUNCTION("""COMPUTED_VALUE"""),132.32)</f>
        <v>132.32</v>
      </c>
      <c r="E101" s="1">
        <f>IFERROR(__xludf.DUMMYFUNCTION("""COMPUTED_VALUE"""),133.02)</f>
        <v>133.02</v>
      </c>
      <c r="F101" s="1">
        <f>IFERROR(__xludf.DUMMYFUNCTION("""COMPUTED_VALUE"""),1282131.0)</f>
        <v>1282131</v>
      </c>
      <c r="G101" s="2" t="s">
        <v>6</v>
      </c>
    </row>
    <row r="102">
      <c r="A102" s="3">
        <f>IFERROR(__xludf.DUMMYFUNCTION("""COMPUTED_VALUE"""),44707.66666666667)</f>
        <v>44707.66667</v>
      </c>
      <c r="B102" s="1">
        <f>IFERROR(__xludf.DUMMYFUNCTION("""COMPUTED_VALUE"""),133.83)</f>
        <v>133.83</v>
      </c>
      <c r="C102" s="1">
        <f>IFERROR(__xludf.DUMMYFUNCTION("""COMPUTED_VALUE"""),134.81)</f>
        <v>134.81</v>
      </c>
      <c r="D102" s="1">
        <f>IFERROR(__xludf.DUMMYFUNCTION("""COMPUTED_VALUE"""),133.03)</f>
        <v>133.03</v>
      </c>
      <c r="E102" s="1">
        <f>IFERROR(__xludf.DUMMYFUNCTION("""COMPUTED_VALUE"""),133.19)</f>
        <v>133.19</v>
      </c>
      <c r="F102" s="1">
        <f>IFERROR(__xludf.DUMMYFUNCTION("""COMPUTED_VALUE"""),701414.0)</f>
        <v>701414</v>
      </c>
      <c r="G102" s="2" t="s">
        <v>6</v>
      </c>
    </row>
    <row r="103">
      <c r="A103" s="3">
        <f>IFERROR(__xludf.DUMMYFUNCTION("""COMPUTED_VALUE"""),44708.66666666667)</f>
        <v>44708.66667</v>
      </c>
      <c r="B103" s="1">
        <f>IFERROR(__xludf.DUMMYFUNCTION("""COMPUTED_VALUE"""),132.76)</f>
        <v>132.76</v>
      </c>
      <c r="C103" s="1">
        <f>IFERROR(__xludf.DUMMYFUNCTION("""COMPUTED_VALUE"""),134.34)</f>
        <v>134.34</v>
      </c>
      <c r="D103" s="1">
        <f>IFERROR(__xludf.DUMMYFUNCTION("""COMPUTED_VALUE"""),132.57)</f>
        <v>132.57</v>
      </c>
      <c r="E103" s="1">
        <f>IFERROR(__xludf.DUMMYFUNCTION("""COMPUTED_VALUE"""),134.3)</f>
        <v>134.3</v>
      </c>
      <c r="F103" s="1">
        <f>IFERROR(__xludf.DUMMYFUNCTION("""COMPUTED_VALUE"""),932176.0)</f>
        <v>932176</v>
      </c>
      <c r="G103" s="2" t="s">
        <v>6</v>
      </c>
    </row>
    <row r="104">
      <c r="A104" s="3">
        <f>IFERROR(__xludf.DUMMYFUNCTION("""COMPUTED_VALUE"""),44712.66666666667)</f>
        <v>44712.66667</v>
      </c>
      <c r="B104" s="1">
        <f>IFERROR(__xludf.DUMMYFUNCTION("""COMPUTED_VALUE"""),133.06)</f>
        <v>133.06</v>
      </c>
      <c r="C104" s="1">
        <f>IFERROR(__xludf.DUMMYFUNCTION("""COMPUTED_VALUE"""),133.76)</f>
        <v>133.76</v>
      </c>
      <c r="D104" s="1">
        <f>IFERROR(__xludf.DUMMYFUNCTION("""COMPUTED_VALUE"""),131.8)</f>
        <v>131.8</v>
      </c>
      <c r="E104" s="1">
        <f>IFERROR(__xludf.DUMMYFUNCTION("""COMPUTED_VALUE"""),132.71)</f>
        <v>132.71</v>
      </c>
      <c r="F104" s="1">
        <f>IFERROR(__xludf.DUMMYFUNCTION("""COMPUTED_VALUE"""),1166611.0)</f>
        <v>1166611</v>
      </c>
      <c r="G104" s="2" t="s">
        <v>6</v>
      </c>
    </row>
    <row r="105">
      <c r="A105" s="3">
        <f>IFERROR(__xludf.DUMMYFUNCTION("""COMPUTED_VALUE"""),44713.66666666667)</f>
        <v>44713.66667</v>
      </c>
      <c r="B105" s="1">
        <f>IFERROR(__xludf.DUMMYFUNCTION("""COMPUTED_VALUE"""),133.01)</f>
        <v>133.01</v>
      </c>
      <c r="C105" s="1">
        <f>IFERROR(__xludf.DUMMYFUNCTION("""COMPUTED_VALUE"""),133.32)</f>
        <v>133.32</v>
      </c>
      <c r="D105" s="1">
        <f>IFERROR(__xludf.DUMMYFUNCTION("""COMPUTED_VALUE"""),131.4)</f>
        <v>131.4</v>
      </c>
      <c r="E105" s="1">
        <f>IFERROR(__xludf.DUMMYFUNCTION("""COMPUTED_VALUE"""),132.56)</f>
        <v>132.56</v>
      </c>
      <c r="F105" s="1">
        <f>IFERROR(__xludf.DUMMYFUNCTION("""COMPUTED_VALUE"""),904242.0)</f>
        <v>904242</v>
      </c>
      <c r="G105" s="2" t="s">
        <v>6</v>
      </c>
    </row>
    <row r="106">
      <c r="A106" s="3">
        <f>IFERROR(__xludf.DUMMYFUNCTION("""COMPUTED_VALUE"""),44714.66666666667)</f>
        <v>44714.66667</v>
      </c>
      <c r="B106" s="1">
        <f>IFERROR(__xludf.DUMMYFUNCTION("""COMPUTED_VALUE"""),132.82)</f>
        <v>132.82</v>
      </c>
      <c r="C106" s="1">
        <f>IFERROR(__xludf.DUMMYFUNCTION("""COMPUTED_VALUE"""),133.01)</f>
        <v>133.01</v>
      </c>
      <c r="D106" s="1">
        <f>IFERROR(__xludf.DUMMYFUNCTION("""COMPUTED_VALUE"""),130.58)</f>
        <v>130.58</v>
      </c>
      <c r="E106" s="1">
        <f>IFERROR(__xludf.DUMMYFUNCTION("""COMPUTED_VALUE"""),132.79)</f>
        <v>132.79</v>
      </c>
      <c r="F106" s="1">
        <f>IFERROR(__xludf.DUMMYFUNCTION("""COMPUTED_VALUE"""),553295.0)</f>
        <v>553295</v>
      </c>
      <c r="G106" s="2" t="s">
        <v>6</v>
      </c>
    </row>
    <row r="107">
      <c r="A107" s="3">
        <f>IFERROR(__xludf.DUMMYFUNCTION("""COMPUTED_VALUE"""),44715.66666666667)</f>
        <v>44715.66667</v>
      </c>
      <c r="B107" s="1">
        <f>IFERROR(__xludf.DUMMYFUNCTION("""COMPUTED_VALUE"""),132.54)</f>
        <v>132.54</v>
      </c>
      <c r="C107" s="1">
        <f>IFERROR(__xludf.DUMMYFUNCTION("""COMPUTED_VALUE"""),133.0)</f>
        <v>133</v>
      </c>
      <c r="D107" s="1">
        <f>IFERROR(__xludf.DUMMYFUNCTION("""COMPUTED_VALUE"""),131.82)</f>
        <v>131.82</v>
      </c>
      <c r="E107" s="1">
        <f>IFERROR(__xludf.DUMMYFUNCTION("""COMPUTED_VALUE"""),132.09)</f>
        <v>132.09</v>
      </c>
      <c r="F107" s="1">
        <f>IFERROR(__xludf.DUMMYFUNCTION("""COMPUTED_VALUE"""),421051.0)</f>
        <v>421051</v>
      </c>
      <c r="G107" s="2" t="s">
        <v>6</v>
      </c>
    </row>
    <row r="108">
      <c r="A108" s="3">
        <f>IFERROR(__xludf.DUMMYFUNCTION("""COMPUTED_VALUE"""),44718.66666666667)</f>
        <v>44718.66667</v>
      </c>
      <c r="B108" s="1">
        <f>IFERROR(__xludf.DUMMYFUNCTION("""COMPUTED_VALUE"""),132.32)</f>
        <v>132.32</v>
      </c>
      <c r="C108" s="1">
        <f>IFERROR(__xludf.DUMMYFUNCTION("""COMPUTED_VALUE"""),133.33)</f>
        <v>133.33</v>
      </c>
      <c r="D108" s="1">
        <f>IFERROR(__xludf.DUMMYFUNCTION("""COMPUTED_VALUE"""),131.75)</f>
        <v>131.75</v>
      </c>
      <c r="E108" s="1">
        <f>IFERROR(__xludf.DUMMYFUNCTION("""COMPUTED_VALUE"""),132.57)</f>
        <v>132.57</v>
      </c>
      <c r="F108" s="1">
        <f>IFERROR(__xludf.DUMMYFUNCTION("""COMPUTED_VALUE"""),604399.0)</f>
        <v>604399</v>
      </c>
      <c r="G108" s="2" t="s">
        <v>6</v>
      </c>
    </row>
    <row r="109">
      <c r="A109" s="3">
        <f>IFERROR(__xludf.DUMMYFUNCTION("""COMPUTED_VALUE"""),44719.66666666667)</f>
        <v>44719.66667</v>
      </c>
      <c r="B109" s="1">
        <f>IFERROR(__xludf.DUMMYFUNCTION("""COMPUTED_VALUE"""),132.21)</f>
        <v>132.21</v>
      </c>
      <c r="C109" s="1">
        <f>IFERROR(__xludf.DUMMYFUNCTION("""COMPUTED_VALUE"""),134.28)</f>
        <v>134.28</v>
      </c>
      <c r="D109" s="1">
        <f>IFERROR(__xludf.DUMMYFUNCTION("""COMPUTED_VALUE"""),131.74)</f>
        <v>131.74</v>
      </c>
      <c r="E109" s="1">
        <f>IFERROR(__xludf.DUMMYFUNCTION("""COMPUTED_VALUE"""),134.05)</f>
        <v>134.05</v>
      </c>
      <c r="F109" s="1">
        <f>IFERROR(__xludf.DUMMYFUNCTION("""COMPUTED_VALUE"""),891325.0)</f>
        <v>891325</v>
      </c>
      <c r="G109" s="2" t="s">
        <v>6</v>
      </c>
    </row>
    <row r="110">
      <c r="A110" s="3">
        <f>IFERROR(__xludf.DUMMYFUNCTION("""COMPUTED_VALUE"""),44720.66666666667)</f>
        <v>44720.66667</v>
      </c>
      <c r="B110" s="1">
        <f>IFERROR(__xludf.DUMMYFUNCTION("""COMPUTED_VALUE"""),133.34)</f>
        <v>133.34</v>
      </c>
      <c r="C110" s="1">
        <f>IFERROR(__xludf.DUMMYFUNCTION("""COMPUTED_VALUE"""),133.47)</f>
        <v>133.47</v>
      </c>
      <c r="D110" s="1">
        <f>IFERROR(__xludf.DUMMYFUNCTION("""COMPUTED_VALUE"""),131.3)</f>
        <v>131.3</v>
      </c>
      <c r="E110" s="1">
        <f>IFERROR(__xludf.DUMMYFUNCTION("""COMPUTED_VALUE"""),131.4)</f>
        <v>131.4</v>
      </c>
      <c r="F110" s="1">
        <f>IFERROR(__xludf.DUMMYFUNCTION("""COMPUTED_VALUE"""),653315.0)</f>
        <v>653315</v>
      </c>
      <c r="G110" s="2" t="s">
        <v>6</v>
      </c>
    </row>
    <row r="111">
      <c r="A111" s="3">
        <f>IFERROR(__xludf.DUMMYFUNCTION("""COMPUTED_VALUE"""),44721.66666666667)</f>
        <v>44721.66667</v>
      </c>
      <c r="B111" s="1">
        <f>IFERROR(__xludf.DUMMYFUNCTION("""COMPUTED_VALUE"""),131.4)</f>
        <v>131.4</v>
      </c>
      <c r="C111" s="1">
        <f>IFERROR(__xludf.DUMMYFUNCTION("""COMPUTED_VALUE"""),131.93)</f>
        <v>131.93</v>
      </c>
      <c r="D111" s="1">
        <f>IFERROR(__xludf.DUMMYFUNCTION("""COMPUTED_VALUE"""),128.37)</f>
        <v>128.37</v>
      </c>
      <c r="E111" s="1">
        <f>IFERROR(__xludf.DUMMYFUNCTION("""COMPUTED_VALUE"""),128.44)</f>
        <v>128.44</v>
      </c>
      <c r="F111" s="1">
        <f>IFERROR(__xludf.DUMMYFUNCTION("""COMPUTED_VALUE"""),744566.0)</f>
        <v>744566</v>
      </c>
      <c r="G111" s="2" t="s">
        <v>6</v>
      </c>
    </row>
    <row r="112">
      <c r="A112" s="3">
        <f>IFERROR(__xludf.DUMMYFUNCTION("""COMPUTED_VALUE"""),44722.66666666667)</f>
        <v>44722.66667</v>
      </c>
      <c r="B112" s="1">
        <f>IFERROR(__xludf.DUMMYFUNCTION("""COMPUTED_VALUE"""),127.09)</f>
        <v>127.09</v>
      </c>
      <c r="C112" s="1">
        <f>IFERROR(__xludf.DUMMYFUNCTION("""COMPUTED_VALUE"""),128.69)</f>
        <v>128.69</v>
      </c>
      <c r="D112" s="1">
        <f>IFERROR(__xludf.DUMMYFUNCTION("""COMPUTED_VALUE"""),126.53)</f>
        <v>126.53</v>
      </c>
      <c r="E112" s="1">
        <f>IFERROR(__xludf.DUMMYFUNCTION("""COMPUTED_VALUE"""),127.5)</f>
        <v>127.5</v>
      </c>
      <c r="F112" s="1">
        <f>IFERROR(__xludf.DUMMYFUNCTION("""COMPUTED_VALUE"""),725832.0)</f>
        <v>725832</v>
      </c>
      <c r="G112" s="2" t="s">
        <v>6</v>
      </c>
    </row>
    <row r="113">
      <c r="A113" s="3">
        <f>IFERROR(__xludf.DUMMYFUNCTION("""COMPUTED_VALUE"""),44725.66666666667)</f>
        <v>44725.66667</v>
      </c>
      <c r="B113" s="1">
        <f>IFERROR(__xludf.DUMMYFUNCTION("""COMPUTED_VALUE"""),125.99)</f>
        <v>125.99</v>
      </c>
      <c r="C113" s="1">
        <f>IFERROR(__xludf.DUMMYFUNCTION("""COMPUTED_VALUE"""),126.46)</f>
        <v>126.46</v>
      </c>
      <c r="D113" s="1">
        <f>IFERROR(__xludf.DUMMYFUNCTION("""COMPUTED_VALUE"""),121.49)</f>
        <v>121.49</v>
      </c>
      <c r="E113" s="1">
        <f>IFERROR(__xludf.DUMMYFUNCTION("""COMPUTED_VALUE"""),122.01)</f>
        <v>122.01</v>
      </c>
      <c r="F113" s="1">
        <f>IFERROR(__xludf.DUMMYFUNCTION("""COMPUTED_VALUE"""),916447.0)</f>
        <v>916447</v>
      </c>
      <c r="G113" s="2" t="s">
        <v>6</v>
      </c>
    </row>
    <row r="114">
      <c r="A114" s="3">
        <f>IFERROR(__xludf.DUMMYFUNCTION("""COMPUTED_VALUE"""),44726.66666666667)</f>
        <v>44726.66667</v>
      </c>
      <c r="B114" s="1">
        <f>IFERROR(__xludf.DUMMYFUNCTION("""COMPUTED_VALUE"""),122.17)</f>
        <v>122.17</v>
      </c>
      <c r="C114" s="1">
        <f>IFERROR(__xludf.DUMMYFUNCTION("""COMPUTED_VALUE"""),122.54)</f>
        <v>122.54</v>
      </c>
      <c r="D114" s="1">
        <f>IFERROR(__xludf.DUMMYFUNCTION("""COMPUTED_VALUE"""),117.38)</f>
        <v>117.38</v>
      </c>
      <c r="E114" s="1">
        <f>IFERROR(__xludf.DUMMYFUNCTION("""COMPUTED_VALUE"""),119.11)</f>
        <v>119.11</v>
      </c>
      <c r="F114" s="1">
        <f>IFERROR(__xludf.DUMMYFUNCTION("""COMPUTED_VALUE"""),1342703.0)</f>
        <v>1342703</v>
      </c>
      <c r="G114" s="2" t="s">
        <v>6</v>
      </c>
    </row>
    <row r="115">
      <c r="A115" s="3">
        <f>IFERROR(__xludf.DUMMYFUNCTION("""COMPUTED_VALUE"""),44727.66666666667)</f>
        <v>44727.66667</v>
      </c>
      <c r="B115" s="1">
        <f>IFERROR(__xludf.DUMMYFUNCTION("""COMPUTED_VALUE"""),119.98)</f>
        <v>119.98</v>
      </c>
      <c r="C115" s="1">
        <f>IFERROR(__xludf.DUMMYFUNCTION("""COMPUTED_VALUE"""),120.85)</f>
        <v>120.85</v>
      </c>
      <c r="D115" s="1">
        <f>IFERROR(__xludf.DUMMYFUNCTION("""COMPUTED_VALUE"""),117.92)</f>
        <v>117.92</v>
      </c>
      <c r="E115" s="1">
        <f>IFERROR(__xludf.DUMMYFUNCTION("""COMPUTED_VALUE"""),119.21)</f>
        <v>119.21</v>
      </c>
      <c r="F115" s="1">
        <f>IFERROR(__xludf.DUMMYFUNCTION("""COMPUTED_VALUE"""),1258701.0)</f>
        <v>1258701</v>
      </c>
      <c r="G115" s="2" t="s">
        <v>6</v>
      </c>
    </row>
    <row r="116">
      <c r="A116" s="3">
        <f>IFERROR(__xludf.DUMMYFUNCTION("""COMPUTED_VALUE"""),44728.66666666667)</f>
        <v>44728.66667</v>
      </c>
      <c r="B116" s="1">
        <f>IFERROR(__xludf.DUMMYFUNCTION("""COMPUTED_VALUE"""),116.87)</f>
        <v>116.87</v>
      </c>
      <c r="C116" s="1">
        <f>IFERROR(__xludf.DUMMYFUNCTION("""COMPUTED_VALUE"""),116.89)</f>
        <v>116.89</v>
      </c>
      <c r="D116" s="1">
        <f>IFERROR(__xludf.DUMMYFUNCTION("""COMPUTED_VALUE"""),114.95)</f>
        <v>114.95</v>
      </c>
      <c r="E116" s="1">
        <f>IFERROR(__xludf.DUMMYFUNCTION("""COMPUTED_VALUE"""),116.61)</f>
        <v>116.61</v>
      </c>
      <c r="F116" s="1">
        <f>IFERROR(__xludf.DUMMYFUNCTION("""COMPUTED_VALUE"""),1534153.0)</f>
        <v>1534153</v>
      </c>
      <c r="G116" s="2" t="s">
        <v>6</v>
      </c>
    </row>
    <row r="117">
      <c r="A117" s="3">
        <f>IFERROR(__xludf.DUMMYFUNCTION("""COMPUTED_VALUE"""),44729.66666666667)</f>
        <v>44729.66667</v>
      </c>
      <c r="B117" s="1">
        <f>IFERROR(__xludf.DUMMYFUNCTION("""COMPUTED_VALUE"""),117.48)</f>
        <v>117.48</v>
      </c>
      <c r="C117" s="1">
        <f>IFERROR(__xludf.DUMMYFUNCTION("""COMPUTED_VALUE"""),117.49)</f>
        <v>117.49</v>
      </c>
      <c r="D117" s="1">
        <f>IFERROR(__xludf.DUMMYFUNCTION("""COMPUTED_VALUE"""),114.25)</f>
        <v>114.25</v>
      </c>
      <c r="E117" s="1">
        <f>IFERROR(__xludf.DUMMYFUNCTION("""COMPUTED_VALUE"""),115.72)</f>
        <v>115.72</v>
      </c>
      <c r="F117" s="1">
        <f>IFERROR(__xludf.DUMMYFUNCTION("""COMPUTED_VALUE"""),2224723.0)</f>
        <v>2224723</v>
      </c>
      <c r="G117" s="2" t="s">
        <v>6</v>
      </c>
    </row>
    <row r="118">
      <c r="A118" s="3">
        <f>IFERROR(__xludf.DUMMYFUNCTION("""COMPUTED_VALUE"""),44733.66666666667)</f>
        <v>44733.66667</v>
      </c>
      <c r="B118" s="1">
        <f>IFERROR(__xludf.DUMMYFUNCTION("""COMPUTED_VALUE"""),116.04)</f>
        <v>116.04</v>
      </c>
      <c r="C118" s="1">
        <f>IFERROR(__xludf.DUMMYFUNCTION("""COMPUTED_VALUE"""),117.77)</f>
        <v>117.77</v>
      </c>
      <c r="D118" s="1">
        <f>IFERROR(__xludf.DUMMYFUNCTION("""COMPUTED_VALUE"""),115.76)</f>
        <v>115.76</v>
      </c>
      <c r="E118" s="1">
        <f>IFERROR(__xludf.DUMMYFUNCTION("""COMPUTED_VALUE"""),117.14)</f>
        <v>117.14</v>
      </c>
      <c r="F118" s="1">
        <f>IFERROR(__xludf.DUMMYFUNCTION("""COMPUTED_VALUE"""),1129535.0)</f>
        <v>1129535</v>
      </c>
      <c r="G118" s="2" t="s">
        <v>6</v>
      </c>
    </row>
    <row r="119">
      <c r="A119" s="3">
        <f>IFERROR(__xludf.DUMMYFUNCTION("""COMPUTED_VALUE"""),44734.66666666667)</f>
        <v>44734.66667</v>
      </c>
      <c r="B119" s="1">
        <f>IFERROR(__xludf.DUMMYFUNCTION("""COMPUTED_VALUE"""),116.21)</f>
        <v>116.21</v>
      </c>
      <c r="C119" s="1">
        <f>IFERROR(__xludf.DUMMYFUNCTION("""COMPUTED_VALUE"""),118.46)</f>
        <v>118.46</v>
      </c>
      <c r="D119" s="1">
        <f>IFERROR(__xludf.DUMMYFUNCTION("""COMPUTED_VALUE"""),116.21)</f>
        <v>116.21</v>
      </c>
      <c r="E119" s="1">
        <f>IFERROR(__xludf.DUMMYFUNCTION("""COMPUTED_VALUE"""),117.9)</f>
        <v>117.9</v>
      </c>
      <c r="F119" s="1">
        <f>IFERROR(__xludf.DUMMYFUNCTION("""COMPUTED_VALUE"""),1077575.0)</f>
        <v>1077575</v>
      </c>
      <c r="G119" s="2" t="s">
        <v>6</v>
      </c>
    </row>
    <row r="120">
      <c r="A120" s="3">
        <f>IFERROR(__xludf.DUMMYFUNCTION("""COMPUTED_VALUE"""),44735.66666666667)</f>
        <v>44735.66667</v>
      </c>
      <c r="B120" s="1">
        <f>IFERROR(__xludf.DUMMYFUNCTION("""COMPUTED_VALUE"""),118.44)</f>
        <v>118.44</v>
      </c>
      <c r="C120" s="1">
        <f>IFERROR(__xludf.DUMMYFUNCTION("""COMPUTED_VALUE"""),120.41)</f>
        <v>120.41</v>
      </c>
      <c r="D120" s="1">
        <f>IFERROR(__xludf.DUMMYFUNCTION("""COMPUTED_VALUE"""),118.21)</f>
        <v>118.21</v>
      </c>
      <c r="E120" s="1">
        <f>IFERROR(__xludf.DUMMYFUNCTION("""COMPUTED_VALUE"""),120.37)</f>
        <v>120.37</v>
      </c>
      <c r="F120" s="1">
        <f>IFERROR(__xludf.DUMMYFUNCTION("""COMPUTED_VALUE"""),1135575.0)</f>
        <v>1135575</v>
      </c>
      <c r="G120" s="2" t="s">
        <v>6</v>
      </c>
    </row>
    <row r="121">
      <c r="A121" s="3">
        <f>IFERROR(__xludf.DUMMYFUNCTION("""COMPUTED_VALUE"""),44736.66666666667)</f>
        <v>44736.66667</v>
      </c>
      <c r="B121" s="1">
        <f>IFERROR(__xludf.DUMMYFUNCTION("""COMPUTED_VALUE"""),120.63)</f>
        <v>120.63</v>
      </c>
      <c r="C121" s="1">
        <f>IFERROR(__xludf.DUMMYFUNCTION("""COMPUTED_VALUE"""),123.47)</f>
        <v>123.47</v>
      </c>
      <c r="D121" s="1">
        <f>IFERROR(__xludf.DUMMYFUNCTION("""COMPUTED_VALUE"""),120.63)</f>
        <v>120.63</v>
      </c>
      <c r="E121" s="1">
        <f>IFERROR(__xludf.DUMMYFUNCTION("""COMPUTED_VALUE"""),122.91)</f>
        <v>122.91</v>
      </c>
      <c r="F121" s="1">
        <f>IFERROR(__xludf.DUMMYFUNCTION("""COMPUTED_VALUE"""),1057908.0)</f>
        <v>1057908</v>
      </c>
      <c r="G121" s="2" t="s">
        <v>6</v>
      </c>
    </row>
    <row r="122">
      <c r="A122" s="3">
        <f>IFERROR(__xludf.DUMMYFUNCTION("""COMPUTED_VALUE"""),44739.66666666667)</f>
        <v>44739.66667</v>
      </c>
      <c r="B122" s="1">
        <f>IFERROR(__xludf.DUMMYFUNCTION("""COMPUTED_VALUE"""),122.56)</f>
        <v>122.56</v>
      </c>
      <c r="C122" s="1">
        <f>IFERROR(__xludf.DUMMYFUNCTION("""COMPUTED_VALUE"""),124.64)</f>
        <v>124.64</v>
      </c>
      <c r="D122" s="1">
        <f>IFERROR(__xludf.DUMMYFUNCTION("""COMPUTED_VALUE"""),122.3)</f>
        <v>122.3</v>
      </c>
      <c r="E122" s="1">
        <f>IFERROR(__xludf.DUMMYFUNCTION("""COMPUTED_VALUE"""),124.35)</f>
        <v>124.35</v>
      </c>
      <c r="F122" s="1">
        <f>IFERROR(__xludf.DUMMYFUNCTION("""COMPUTED_VALUE"""),712587.0)</f>
        <v>712587</v>
      </c>
      <c r="G122" s="2" t="s">
        <v>6</v>
      </c>
    </row>
    <row r="123">
      <c r="A123" s="3">
        <f>IFERROR(__xludf.DUMMYFUNCTION("""COMPUTED_VALUE"""),44740.66666666667)</f>
        <v>44740.66667</v>
      </c>
      <c r="B123" s="1">
        <f>IFERROR(__xludf.DUMMYFUNCTION("""COMPUTED_VALUE"""),125.11)</f>
        <v>125.11</v>
      </c>
      <c r="C123" s="1">
        <f>IFERROR(__xludf.DUMMYFUNCTION("""COMPUTED_VALUE"""),126.18)</f>
        <v>126.18</v>
      </c>
      <c r="D123" s="1">
        <f>IFERROR(__xludf.DUMMYFUNCTION("""COMPUTED_VALUE"""),124.6)</f>
        <v>124.6</v>
      </c>
      <c r="E123" s="1">
        <f>IFERROR(__xludf.DUMMYFUNCTION("""COMPUTED_VALUE"""),125.23)</f>
        <v>125.23</v>
      </c>
      <c r="F123" s="1">
        <f>IFERROR(__xludf.DUMMYFUNCTION("""COMPUTED_VALUE"""),852562.0)</f>
        <v>852562</v>
      </c>
      <c r="G123" s="2" t="s">
        <v>6</v>
      </c>
    </row>
    <row r="124">
      <c r="A124" s="3">
        <f>IFERROR(__xludf.DUMMYFUNCTION("""COMPUTED_VALUE"""),44741.66666666667)</f>
        <v>44741.66667</v>
      </c>
      <c r="B124" s="1">
        <f>IFERROR(__xludf.DUMMYFUNCTION("""COMPUTED_VALUE"""),125.57)</f>
        <v>125.57</v>
      </c>
      <c r="C124" s="1">
        <f>IFERROR(__xludf.DUMMYFUNCTION("""COMPUTED_VALUE"""),126.4)</f>
        <v>126.4</v>
      </c>
      <c r="D124" s="1">
        <f>IFERROR(__xludf.DUMMYFUNCTION("""COMPUTED_VALUE"""),125.18)</f>
        <v>125.18</v>
      </c>
      <c r="E124" s="1">
        <f>IFERROR(__xludf.DUMMYFUNCTION("""COMPUTED_VALUE"""),126.05)</f>
        <v>126.05</v>
      </c>
      <c r="F124" s="1">
        <f>IFERROR(__xludf.DUMMYFUNCTION("""COMPUTED_VALUE"""),799122.0)</f>
        <v>799122</v>
      </c>
      <c r="G124" s="2" t="s">
        <v>6</v>
      </c>
    </row>
    <row r="125">
      <c r="A125" s="3">
        <f>IFERROR(__xludf.DUMMYFUNCTION("""COMPUTED_VALUE"""),44742.66666666667)</f>
        <v>44742.66667</v>
      </c>
      <c r="B125" s="1">
        <f>IFERROR(__xludf.DUMMYFUNCTION("""COMPUTED_VALUE"""),125.43)</f>
        <v>125.43</v>
      </c>
      <c r="C125" s="1">
        <f>IFERROR(__xludf.DUMMYFUNCTION("""COMPUTED_VALUE"""),127.28)</f>
        <v>127.28</v>
      </c>
      <c r="D125" s="1">
        <f>IFERROR(__xludf.DUMMYFUNCTION("""COMPUTED_VALUE"""),125.06)</f>
        <v>125.06</v>
      </c>
      <c r="E125" s="1">
        <f>IFERROR(__xludf.DUMMYFUNCTION("""COMPUTED_VALUE"""),126.75)</f>
        <v>126.75</v>
      </c>
      <c r="F125" s="1">
        <f>IFERROR(__xludf.DUMMYFUNCTION("""COMPUTED_VALUE"""),1222167.0)</f>
        <v>1222167</v>
      </c>
      <c r="G125" s="2" t="s">
        <v>6</v>
      </c>
    </row>
    <row r="126">
      <c r="A126" s="3">
        <f>IFERROR(__xludf.DUMMYFUNCTION("""COMPUTED_VALUE"""),44743.66666666667)</f>
        <v>44743.66667</v>
      </c>
      <c r="B126" s="1">
        <f>IFERROR(__xludf.DUMMYFUNCTION("""COMPUTED_VALUE"""),127.32)</f>
        <v>127.32</v>
      </c>
      <c r="C126" s="1">
        <f>IFERROR(__xludf.DUMMYFUNCTION("""COMPUTED_VALUE"""),129.37)</f>
        <v>129.37</v>
      </c>
      <c r="D126" s="1">
        <f>IFERROR(__xludf.DUMMYFUNCTION("""COMPUTED_VALUE"""),126.47)</f>
        <v>126.47</v>
      </c>
      <c r="E126" s="1">
        <f>IFERROR(__xludf.DUMMYFUNCTION("""COMPUTED_VALUE"""),129.16)</f>
        <v>129.16</v>
      </c>
      <c r="F126" s="1">
        <f>IFERROR(__xludf.DUMMYFUNCTION("""COMPUTED_VALUE"""),1005674.0)</f>
        <v>1005674</v>
      </c>
      <c r="G126" s="2" t="s">
        <v>6</v>
      </c>
    </row>
    <row r="127">
      <c r="A127" s="3">
        <f>IFERROR(__xludf.DUMMYFUNCTION("""COMPUTED_VALUE"""),44747.66666666667)</f>
        <v>44747.66667</v>
      </c>
      <c r="B127" s="1">
        <f>IFERROR(__xludf.DUMMYFUNCTION("""COMPUTED_VALUE"""),128.7)</f>
        <v>128.7</v>
      </c>
      <c r="C127" s="1">
        <f>IFERROR(__xludf.DUMMYFUNCTION("""COMPUTED_VALUE"""),128.7)</f>
        <v>128.7</v>
      </c>
      <c r="D127" s="1">
        <f>IFERROR(__xludf.DUMMYFUNCTION("""COMPUTED_VALUE"""),122.5)</f>
        <v>122.5</v>
      </c>
      <c r="E127" s="1">
        <f>IFERROR(__xludf.DUMMYFUNCTION("""COMPUTED_VALUE"""),124.19)</f>
        <v>124.19</v>
      </c>
      <c r="F127" s="1">
        <f>IFERROR(__xludf.DUMMYFUNCTION("""COMPUTED_VALUE"""),827819.0)</f>
        <v>827819</v>
      </c>
      <c r="G127" s="2" t="s">
        <v>6</v>
      </c>
    </row>
    <row r="128">
      <c r="A128" s="3">
        <f>IFERROR(__xludf.DUMMYFUNCTION("""COMPUTED_VALUE"""),44748.66666666667)</f>
        <v>44748.66667</v>
      </c>
      <c r="B128" s="1">
        <f>IFERROR(__xludf.DUMMYFUNCTION("""COMPUTED_VALUE"""),124.77)</f>
        <v>124.77</v>
      </c>
      <c r="C128" s="1">
        <f>IFERROR(__xludf.DUMMYFUNCTION("""COMPUTED_VALUE"""),126.68)</f>
        <v>126.68</v>
      </c>
      <c r="D128" s="1">
        <f>IFERROR(__xludf.DUMMYFUNCTION("""COMPUTED_VALUE"""),123.99)</f>
        <v>123.99</v>
      </c>
      <c r="E128" s="1">
        <f>IFERROR(__xludf.DUMMYFUNCTION("""COMPUTED_VALUE"""),126.16)</f>
        <v>126.16</v>
      </c>
      <c r="F128" s="1">
        <f>IFERROR(__xludf.DUMMYFUNCTION("""COMPUTED_VALUE"""),915825.0)</f>
        <v>915825</v>
      </c>
      <c r="G128" s="2" t="s">
        <v>6</v>
      </c>
    </row>
    <row r="129">
      <c r="A129" s="3">
        <f>IFERROR(__xludf.DUMMYFUNCTION("""COMPUTED_VALUE"""),44749.66666666667)</f>
        <v>44749.66667</v>
      </c>
      <c r="B129" s="1">
        <f>IFERROR(__xludf.DUMMYFUNCTION("""COMPUTED_VALUE"""),126.46)</f>
        <v>126.46</v>
      </c>
      <c r="C129" s="1">
        <f>IFERROR(__xludf.DUMMYFUNCTION("""COMPUTED_VALUE"""),127.07)</f>
        <v>127.07</v>
      </c>
      <c r="D129" s="1">
        <f>IFERROR(__xludf.DUMMYFUNCTION("""COMPUTED_VALUE"""),124.88)</f>
        <v>124.88</v>
      </c>
      <c r="E129" s="1">
        <f>IFERROR(__xludf.DUMMYFUNCTION("""COMPUTED_VALUE"""),125.34)</f>
        <v>125.34</v>
      </c>
      <c r="F129" s="1">
        <f>IFERROR(__xludf.DUMMYFUNCTION("""COMPUTED_VALUE"""),907000.0)</f>
        <v>907000</v>
      </c>
      <c r="G129" s="2" t="s">
        <v>6</v>
      </c>
    </row>
    <row r="130">
      <c r="A130" s="3">
        <f>IFERROR(__xludf.DUMMYFUNCTION("""COMPUTED_VALUE"""),44750.66666666667)</f>
        <v>44750.66667</v>
      </c>
      <c r="B130" s="1">
        <f>IFERROR(__xludf.DUMMYFUNCTION("""COMPUTED_VALUE"""),125.42)</f>
        <v>125.42</v>
      </c>
      <c r="C130" s="1">
        <f>IFERROR(__xludf.DUMMYFUNCTION("""COMPUTED_VALUE"""),125.53)</f>
        <v>125.53</v>
      </c>
      <c r="D130" s="1">
        <f>IFERROR(__xludf.DUMMYFUNCTION("""COMPUTED_VALUE"""),124.26)</f>
        <v>124.26</v>
      </c>
      <c r="E130" s="1">
        <f>IFERROR(__xludf.DUMMYFUNCTION("""COMPUTED_VALUE"""),124.85)</f>
        <v>124.85</v>
      </c>
      <c r="F130" s="1">
        <f>IFERROR(__xludf.DUMMYFUNCTION("""COMPUTED_VALUE"""),582055.0)</f>
        <v>582055</v>
      </c>
      <c r="G130" s="2" t="s">
        <v>6</v>
      </c>
    </row>
    <row r="131">
      <c r="A131" s="3">
        <f>IFERROR(__xludf.DUMMYFUNCTION("""COMPUTED_VALUE"""),44753.66666666667)</f>
        <v>44753.66667</v>
      </c>
      <c r="B131" s="1">
        <f>IFERROR(__xludf.DUMMYFUNCTION("""COMPUTED_VALUE"""),123.81)</f>
        <v>123.81</v>
      </c>
      <c r="C131" s="1">
        <f>IFERROR(__xludf.DUMMYFUNCTION("""COMPUTED_VALUE"""),126.0)</f>
        <v>126</v>
      </c>
      <c r="D131" s="1">
        <f>IFERROR(__xludf.DUMMYFUNCTION("""COMPUTED_VALUE"""),123.72)</f>
        <v>123.72</v>
      </c>
      <c r="E131" s="1">
        <f>IFERROR(__xludf.DUMMYFUNCTION("""COMPUTED_VALUE"""),126.0)</f>
        <v>126</v>
      </c>
      <c r="F131" s="1">
        <f>IFERROR(__xludf.DUMMYFUNCTION("""COMPUTED_VALUE"""),631961.0)</f>
        <v>631961</v>
      </c>
      <c r="G131" s="2" t="s">
        <v>6</v>
      </c>
    </row>
    <row r="132">
      <c r="A132" s="3">
        <f>IFERROR(__xludf.DUMMYFUNCTION("""COMPUTED_VALUE"""),44754.66666666667)</f>
        <v>44754.66667</v>
      </c>
      <c r="B132" s="1">
        <f>IFERROR(__xludf.DUMMYFUNCTION("""COMPUTED_VALUE"""),125.34)</f>
        <v>125.34</v>
      </c>
      <c r="C132" s="1">
        <f>IFERROR(__xludf.DUMMYFUNCTION("""COMPUTED_VALUE"""),127.27)</f>
        <v>127.27</v>
      </c>
      <c r="D132" s="1">
        <f>IFERROR(__xludf.DUMMYFUNCTION("""COMPUTED_VALUE"""),124.87)</f>
        <v>124.87</v>
      </c>
      <c r="E132" s="1">
        <f>IFERROR(__xludf.DUMMYFUNCTION("""COMPUTED_VALUE"""),125.21)</f>
        <v>125.21</v>
      </c>
      <c r="F132" s="1">
        <f>IFERROR(__xludf.DUMMYFUNCTION("""COMPUTED_VALUE"""),799018.0)</f>
        <v>799018</v>
      </c>
      <c r="G132" s="2" t="s">
        <v>6</v>
      </c>
    </row>
    <row r="133">
      <c r="A133" s="3">
        <f>IFERROR(__xludf.DUMMYFUNCTION("""COMPUTED_VALUE"""),44755.66666666667)</f>
        <v>44755.66667</v>
      </c>
      <c r="B133" s="1">
        <f>IFERROR(__xludf.DUMMYFUNCTION("""COMPUTED_VALUE"""),124.38)</f>
        <v>124.38</v>
      </c>
      <c r="C133" s="1">
        <f>IFERROR(__xludf.DUMMYFUNCTION("""COMPUTED_VALUE"""),125.78)</f>
        <v>125.78</v>
      </c>
      <c r="D133" s="1">
        <f>IFERROR(__xludf.DUMMYFUNCTION("""COMPUTED_VALUE"""),123.8)</f>
        <v>123.8</v>
      </c>
      <c r="E133" s="1">
        <f>IFERROR(__xludf.DUMMYFUNCTION("""COMPUTED_VALUE"""),124.51)</f>
        <v>124.51</v>
      </c>
      <c r="F133" s="1">
        <f>IFERROR(__xludf.DUMMYFUNCTION("""COMPUTED_VALUE"""),663896.0)</f>
        <v>663896</v>
      </c>
      <c r="G133" s="2" t="s">
        <v>6</v>
      </c>
    </row>
    <row r="134">
      <c r="A134" s="3">
        <f>IFERROR(__xludf.DUMMYFUNCTION("""COMPUTED_VALUE"""),44756.66666666667)</f>
        <v>44756.66667</v>
      </c>
      <c r="B134" s="1">
        <f>IFERROR(__xludf.DUMMYFUNCTION("""COMPUTED_VALUE"""),122.46)</f>
        <v>122.46</v>
      </c>
      <c r="C134" s="1">
        <f>IFERROR(__xludf.DUMMYFUNCTION("""COMPUTED_VALUE"""),124.71)</f>
        <v>124.71</v>
      </c>
      <c r="D134" s="1">
        <f>IFERROR(__xludf.DUMMYFUNCTION("""COMPUTED_VALUE"""),122.45)</f>
        <v>122.45</v>
      </c>
      <c r="E134" s="1">
        <f>IFERROR(__xludf.DUMMYFUNCTION("""COMPUTED_VALUE"""),124.51)</f>
        <v>124.51</v>
      </c>
      <c r="F134" s="1">
        <f>IFERROR(__xludf.DUMMYFUNCTION("""COMPUTED_VALUE"""),791886.0)</f>
        <v>791886</v>
      </c>
      <c r="G134" s="2" t="s">
        <v>6</v>
      </c>
    </row>
    <row r="135">
      <c r="A135" s="3">
        <f>IFERROR(__xludf.DUMMYFUNCTION("""COMPUTED_VALUE"""),44757.66666666667)</f>
        <v>44757.66667</v>
      </c>
      <c r="B135" s="1">
        <f>IFERROR(__xludf.DUMMYFUNCTION("""COMPUTED_VALUE"""),125.59)</f>
        <v>125.59</v>
      </c>
      <c r="C135" s="1">
        <f>IFERROR(__xludf.DUMMYFUNCTION("""COMPUTED_VALUE"""),125.61)</f>
        <v>125.61</v>
      </c>
      <c r="D135" s="1">
        <f>IFERROR(__xludf.DUMMYFUNCTION("""COMPUTED_VALUE"""),123.36)</f>
        <v>123.36</v>
      </c>
      <c r="E135" s="1">
        <f>IFERROR(__xludf.DUMMYFUNCTION("""COMPUTED_VALUE"""),125.18)</f>
        <v>125.18</v>
      </c>
      <c r="F135" s="1">
        <f>IFERROR(__xludf.DUMMYFUNCTION("""COMPUTED_VALUE"""),869524.0)</f>
        <v>869524</v>
      </c>
      <c r="G135" s="2" t="s">
        <v>6</v>
      </c>
    </row>
    <row r="136">
      <c r="A136" s="3">
        <f>IFERROR(__xludf.DUMMYFUNCTION("""COMPUTED_VALUE"""),44760.66666666667)</f>
        <v>44760.66667</v>
      </c>
      <c r="B136" s="1">
        <f>IFERROR(__xludf.DUMMYFUNCTION("""COMPUTED_VALUE"""),124.85)</f>
        <v>124.85</v>
      </c>
      <c r="C136" s="1">
        <f>IFERROR(__xludf.DUMMYFUNCTION("""COMPUTED_VALUE"""),125.02)</f>
        <v>125.02</v>
      </c>
      <c r="D136" s="1">
        <f>IFERROR(__xludf.DUMMYFUNCTION("""COMPUTED_VALUE"""),123.47)</f>
        <v>123.47</v>
      </c>
      <c r="E136" s="1">
        <f>IFERROR(__xludf.DUMMYFUNCTION("""COMPUTED_VALUE"""),123.67)</f>
        <v>123.67</v>
      </c>
      <c r="F136" s="1">
        <f>IFERROR(__xludf.DUMMYFUNCTION("""COMPUTED_VALUE"""),611406.0)</f>
        <v>611406</v>
      </c>
      <c r="G136" s="2" t="s">
        <v>6</v>
      </c>
    </row>
    <row r="137">
      <c r="A137" s="3">
        <f>IFERROR(__xludf.DUMMYFUNCTION("""COMPUTED_VALUE"""),44761.66666666667)</f>
        <v>44761.66667</v>
      </c>
      <c r="B137" s="1">
        <f>IFERROR(__xludf.DUMMYFUNCTION("""COMPUTED_VALUE"""),124.31)</f>
        <v>124.31</v>
      </c>
      <c r="C137" s="1">
        <f>IFERROR(__xludf.DUMMYFUNCTION("""COMPUTED_VALUE"""),124.93)</f>
        <v>124.93</v>
      </c>
      <c r="D137" s="1">
        <f>IFERROR(__xludf.DUMMYFUNCTION("""COMPUTED_VALUE"""),123.68)</f>
        <v>123.68</v>
      </c>
      <c r="E137" s="1">
        <f>IFERROR(__xludf.DUMMYFUNCTION("""COMPUTED_VALUE"""),124.09)</f>
        <v>124.09</v>
      </c>
      <c r="F137" s="1">
        <f>IFERROR(__xludf.DUMMYFUNCTION("""COMPUTED_VALUE"""),548159.0)</f>
        <v>548159</v>
      </c>
      <c r="G137" s="2" t="s">
        <v>6</v>
      </c>
    </row>
    <row r="138">
      <c r="A138" s="3">
        <f>IFERROR(__xludf.DUMMYFUNCTION("""COMPUTED_VALUE"""),44762.66666666667)</f>
        <v>44762.66667</v>
      </c>
      <c r="B138" s="1">
        <f>IFERROR(__xludf.DUMMYFUNCTION("""COMPUTED_VALUE"""),124.07)</f>
        <v>124.07</v>
      </c>
      <c r="C138" s="1">
        <f>IFERROR(__xludf.DUMMYFUNCTION("""COMPUTED_VALUE"""),124.07)</f>
        <v>124.07</v>
      </c>
      <c r="D138" s="1">
        <f>IFERROR(__xludf.DUMMYFUNCTION("""COMPUTED_VALUE"""),121.17)</f>
        <v>121.17</v>
      </c>
      <c r="E138" s="1">
        <f>IFERROR(__xludf.DUMMYFUNCTION("""COMPUTED_VALUE"""),121.46)</f>
        <v>121.46</v>
      </c>
      <c r="F138" s="1">
        <f>IFERROR(__xludf.DUMMYFUNCTION("""COMPUTED_VALUE"""),1226579.0)</f>
        <v>1226579</v>
      </c>
      <c r="G138" s="2" t="s">
        <v>6</v>
      </c>
    </row>
    <row r="139">
      <c r="A139" s="3">
        <f>IFERROR(__xludf.DUMMYFUNCTION("""COMPUTED_VALUE"""),44763.66666666667)</f>
        <v>44763.66667</v>
      </c>
      <c r="B139" s="1">
        <f>IFERROR(__xludf.DUMMYFUNCTION("""COMPUTED_VALUE"""),121.05)</f>
        <v>121.05</v>
      </c>
      <c r="C139" s="1">
        <f>IFERROR(__xludf.DUMMYFUNCTION("""COMPUTED_VALUE"""),121.57)</f>
        <v>121.57</v>
      </c>
      <c r="D139" s="1">
        <f>IFERROR(__xludf.DUMMYFUNCTION("""COMPUTED_VALUE"""),120.17)</f>
        <v>120.17</v>
      </c>
      <c r="E139" s="1">
        <f>IFERROR(__xludf.DUMMYFUNCTION("""COMPUTED_VALUE"""),121.52)</f>
        <v>121.52</v>
      </c>
      <c r="F139" s="1">
        <f>IFERROR(__xludf.DUMMYFUNCTION("""COMPUTED_VALUE"""),1048641.0)</f>
        <v>1048641</v>
      </c>
      <c r="G139" s="2" t="s">
        <v>6</v>
      </c>
    </row>
    <row r="140">
      <c r="A140" s="3">
        <f>IFERROR(__xludf.DUMMYFUNCTION("""COMPUTED_VALUE"""),44764.66666666667)</f>
        <v>44764.66667</v>
      </c>
      <c r="B140" s="1">
        <f>IFERROR(__xludf.DUMMYFUNCTION("""COMPUTED_VALUE"""),122.36)</f>
        <v>122.36</v>
      </c>
      <c r="C140" s="1">
        <f>IFERROR(__xludf.DUMMYFUNCTION("""COMPUTED_VALUE"""),123.79)</f>
        <v>123.79</v>
      </c>
      <c r="D140" s="1">
        <f>IFERROR(__xludf.DUMMYFUNCTION("""COMPUTED_VALUE"""),122.0)</f>
        <v>122</v>
      </c>
      <c r="E140" s="1">
        <f>IFERROR(__xludf.DUMMYFUNCTION("""COMPUTED_VALUE"""),123.75)</f>
        <v>123.75</v>
      </c>
      <c r="F140" s="1">
        <f>IFERROR(__xludf.DUMMYFUNCTION("""COMPUTED_VALUE"""),657987.0)</f>
        <v>657987</v>
      </c>
      <c r="G140" s="2" t="s">
        <v>6</v>
      </c>
    </row>
    <row r="141">
      <c r="A141" s="3">
        <f>IFERROR(__xludf.DUMMYFUNCTION("""COMPUTED_VALUE"""),44767.66666666667)</f>
        <v>44767.66667</v>
      </c>
      <c r="B141" s="1">
        <f>IFERROR(__xludf.DUMMYFUNCTION("""COMPUTED_VALUE"""),123.76)</f>
        <v>123.76</v>
      </c>
      <c r="C141" s="1">
        <f>IFERROR(__xludf.DUMMYFUNCTION("""COMPUTED_VALUE"""),125.06)</f>
        <v>125.06</v>
      </c>
      <c r="D141" s="1">
        <f>IFERROR(__xludf.DUMMYFUNCTION("""COMPUTED_VALUE"""),123.31)</f>
        <v>123.31</v>
      </c>
      <c r="E141" s="1">
        <f>IFERROR(__xludf.DUMMYFUNCTION("""COMPUTED_VALUE"""),124.91)</f>
        <v>124.91</v>
      </c>
      <c r="F141" s="1">
        <f>IFERROR(__xludf.DUMMYFUNCTION("""COMPUTED_VALUE"""),597881.0)</f>
        <v>597881</v>
      </c>
      <c r="G141" s="2" t="s">
        <v>6</v>
      </c>
    </row>
    <row r="142">
      <c r="A142" s="3">
        <f>IFERROR(__xludf.DUMMYFUNCTION("""COMPUTED_VALUE"""),44768.66666666667)</f>
        <v>44768.66667</v>
      </c>
      <c r="B142" s="1">
        <f>IFERROR(__xludf.DUMMYFUNCTION("""COMPUTED_VALUE"""),124.72)</f>
        <v>124.72</v>
      </c>
      <c r="C142" s="1">
        <f>IFERROR(__xludf.DUMMYFUNCTION("""COMPUTED_VALUE"""),126.8)</f>
        <v>126.8</v>
      </c>
      <c r="D142" s="1">
        <f>IFERROR(__xludf.DUMMYFUNCTION("""COMPUTED_VALUE"""),124.71)</f>
        <v>124.71</v>
      </c>
      <c r="E142" s="1">
        <f>IFERROR(__xludf.DUMMYFUNCTION("""COMPUTED_VALUE"""),126.25)</f>
        <v>126.25</v>
      </c>
      <c r="F142" s="1">
        <f>IFERROR(__xludf.DUMMYFUNCTION("""COMPUTED_VALUE"""),551002.0)</f>
        <v>551002</v>
      </c>
      <c r="G142" s="2" t="s">
        <v>6</v>
      </c>
    </row>
    <row r="143">
      <c r="A143" s="3">
        <f>IFERROR(__xludf.DUMMYFUNCTION("""COMPUTED_VALUE"""),44769.66666666667)</f>
        <v>44769.66667</v>
      </c>
      <c r="B143" s="1">
        <f>IFERROR(__xludf.DUMMYFUNCTION("""COMPUTED_VALUE"""),125.72)</f>
        <v>125.72</v>
      </c>
      <c r="C143" s="1">
        <f>IFERROR(__xludf.DUMMYFUNCTION("""COMPUTED_VALUE"""),126.93)</f>
        <v>126.93</v>
      </c>
      <c r="D143" s="1">
        <f>IFERROR(__xludf.DUMMYFUNCTION("""COMPUTED_VALUE"""),125.1)</f>
        <v>125.1</v>
      </c>
      <c r="E143" s="1">
        <f>IFERROR(__xludf.DUMMYFUNCTION("""COMPUTED_VALUE"""),126.64)</f>
        <v>126.64</v>
      </c>
      <c r="F143" s="1">
        <f>IFERROR(__xludf.DUMMYFUNCTION("""COMPUTED_VALUE"""),706822.0)</f>
        <v>706822</v>
      </c>
      <c r="G143" s="2" t="s">
        <v>6</v>
      </c>
    </row>
    <row r="144">
      <c r="A144" s="3">
        <f>IFERROR(__xludf.DUMMYFUNCTION("""COMPUTED_VALUE"""),44770.66666666667)</f>
        <v>44770.66667</v>
      </c>
      <c r="B144" s="1">
        <f>IFERROR(__xludf.DUMMYFUNCTION("""COMPUTED_VALUE"""),126.99)</f>
        <v>126.99</v>
      </c>
      <c r="C144" s="1">
        <f>IFERROR(__xludf.DUMMYFUNCTION("""COMPUTED_VALUE"""),129.68)</f>
        <v>129.68</v>
      </c>
      <c r="D144" s="1">
        <f>IFERROR(__xludf.DUMMYFUNCTION("""COMPUTED_VALUE"""),125.33)</f>
        <v>125.33</v>
      </c>
      <c r="E144" s="1">
        <f>IFERROR(__xludf.DUMMYFUNCTION("""COMPUTED_VALUE"""),129.21)</f>
        <v>129.21</v>
      </c>
      <c r="F144" s="1">
        <f>IFERROR(__xludf.DUMMYFUNCTION("""COMPUTED_VALUE"""),1275584.0)</f>
        <v>1275584</v>
      </c>
      <c r="G144" s="2" t="s">
        <v>6</v>
      </c>
    </row>
    <row r="145">
      <c r="A145" s="3">
        <f>IFERROR(__xludf.DUMMYFUNCTION("""COMPUTED_VALUE"""),44771.66666666667)</f>
        <v>44771.66667</v>
      </c>
      <c r="B145" s="1">
        <f>IFERROR(__xludf.DUMMYFUNCTION("""COMPUTED_VALUE"""),129.35)</f>
        <v>129.35</v>
      </c>
      <c r="C145" s="1">
        <f>IFERROR(__xludf.DUMMYFUNCTION("""COMPUTED_VALUE"""),131.0)</f>
        <v>131</v>
      </c>
      <c r="D145" s="1">
        <f>IFERROR(__xludf.DUMMYFUNCTION("""COMPUTED_VALUE"""),129.35)</f>
        <v>129.35</v>
      </c>
      <c r="E145" s="1">
        <f>IFERROR(__xludf.DUMMYFUNCTION("""COMPUTED_VALUE"""),130.3)</f>
        <v>130.3</v>
      </c>
      <c r="F145" s="1">
        <f>IFERROR(__xludf.DUMMYFUNCTION("""COMPUTED_VALUE"""),754715.0)</f>
        <v>754715</v>
      </c>
      <c r="G145" s="2" t="s">
        <v>6</v>
      </c>
    </row>
    <row r="146">
      <c r="A146" s="3">
        <f>IFERROR(__xludf.DUMMYFUNCTION("""COMPUTED_VALUE"""),44774.66666666667)</f>
        <v>44774.66667</v>
      </c>
      <c r="B146" s="1">
        <f>IFERROR(__xludf.DUMMYFUNCTION("""COMPUTED_VALUE"""),129.92)</f>
        <v>129.92</v>
      </c>
      <c r="C146" s="1">
        <f>IFERROR(__xludf.DUMMYFUNCTION("""COMPUTED_VALUE"""),130.54)</f>
        <v>130.54</v>
      </c>
      <c r="D146" s="1">
        <f>IFERROR(__xludf.DUMMYFUNCTION("""COMPUTED_VALUE"""),128.58)</f>
        <v>128.58</v>
      </c>
      <c r="E146" s="1">
        <f>IFERROR(__xludf.DUMMYFUNCTION("""COMPUTED_VALUE"""),130.42)</f>
        <v>130.42</v>
      </c>
      <c r="F146" s="1">
        <f>IFERROR(__xludf.DUMMYFUNCTION("""COMPUTED_VALUE"""),1170898.0)</f>
        <v>1170898</v>
      </c>
      <c r="G146" s="2" t="s">
        <v>6</v>
      </c>
    </row>
    <row r="147">
      <c r="A147" s="3">
        <f>IFERROR(__xludf.DUMMYFUNCTION("""COMPUTED_VALUE"""),44775.66666666667)</f>
        <v>44775.66667</v>
      </c>
      <c r="B147" s="1">
        <f>IFERROR(__xludf.DUMMYFUNCTION("""COMPUTED_VALUE"""),131.08)</f>
        <v>131.08</v>
      </c>
      <c r="C147" s="1">
        <f>IFERROR(__xludf.DUMMYFUNCTION("""COMPUTED_VALUE"""),131.51)</f>
        <v>131.51</v>
      </c>
      <c r="D147" s="1">
        <f>IFERROR(__xludf.DUMMYFUNCTION("""COMPUTED_VALUE"""),129.78)</f>
        <v>129.78</v>
      </c>
      <c r="E147" s="1">
        <f>IFERROR(__xludf.DUMMYFUNCTION("""COMPUTED_VALUE"""),129.9)</f>
        <v>129.9</v>
      </c>
      <c r="F147" s="1">
        <f>IFERROR(__xludf.DUMMYFUNCTION("""COMPUTED_VALUE"""),785531.0)</f>
        <v>785531</v>
      </c>
      <c r="G147" s="2" t="s">
        <v>6</v>
      </c>
    </row>
    <row r="148">
      <c r="A148" s="3">
        <f>IFERROR(__xludf.DUMMYFUNCTION("""COMPUTED_VALUE"""),44776.66666666667)</f>
        <v>44776.66667</v>
      </c>
      <c r="B148" s="1">
        <f>IFERROR(__xludf.DUMMYFUNCTION("""COMPUTED_VALUE"""),129.52)</f>
        <v>129.52</v>
      </c>
      <c r="C148" s="1">
        <f>IFERROR(__xludf.DUMMYFUNCTION("""COMPUTED_VALUE"""),130.82)</f>
        <v>130.82</v>
      </c>
      <c r="D148" s="1">
        <f>IFERROR(__xludf.DUMMYFUNCTION("""COMPUTED_VALUE"""),127.03)</f>
        <v>127.03</v>
      </c>
      <c r="E148" s="1">
        <f>IFERROR(__xludf.DUMMYFUNCTION("""COMPUTED_VALUE"""),130.42)</f>
        <v>130.42</v>
      </c>
      <c r="F148" s="1">
        <f>IFERROR(__xludf.DUMMYFUNCTION("""COMPUTED_VALUE"""),997531.0)</f>
        <v>997531</v>
      </c>
      <c r="G148" s="2" t="s">
        <v>6</v>
      </c>
    </row>
    <row r="149">
      <c r="A149" s="3">
        <f>IFERROR(__xludf.DUMMYFUNCTION("""COMPUTED_VALUE"""),44777.66666666667)</f>
        <v>44777.66667</v>
      </c>
      <c r="B149" s="1">
        <f>IFERROR(__xludf.DUMMYFUNCTION("""COMPUTED_VALUE"""),130.53)</f>
        <v>130.53</v>
      </c>
      <c r="C149" s="1">
        <f>IFERROR(__xludf.DUMMYFUNCTION("""COMPUTED_VALUE"""),131.35)</f>
        <v>131.35</v>
      </c>
      <c r="D149" s="1">
        <f>IFERROR(__xludf.DUMMYFUNCTION("""COMPUTED_VALUE"""),128.88)</f>
        <v>128.88</v>
      </c>
      <c r="E149" s="1">
        <f>IFERROR(__xludf.DUMMYFUNCTION("""COMPUTED_VALUE"""),129.0)</f>
        <v>129</v>
      </c>
      <c r="F149" s="1">
        <f>IFERROR(__xludf.DUMMYFUNCTION("""COMPUTED_VALUE"""),788113.0)</f>
        <v>788113</v>
      </c>
      <c r="G149" s="2" t="s">
        <v>6</v>
      </c>
    </row>
    <row r="150">
      <c r="A150" s="3">
        <f>IFERROR(__xludf.DUMMYFUNCTION("""COMPUTED_VALUE"""),44778.66666666667)</f>
        <v>44778.66667</v>
      </c>
      <c r="B150" s="1">
        <f>IFERROR(__xludf.DUMMYFUNCTION("""COMPUTED_VALUE"""),129.18)</f>
        <v>129.18</v>
      </c>
      <c r="C150" s="1">
        <f>IFERROR(__xludf.DUMMYFUNCTION("""COMPUTED_VALUE"""),129.21)</f>
        <v>129.21</v>
      </c>
      <c r="D150" s="1">
        <f>IFERROR(__xludf.DUMMYFUNCTION("""COMPUTED_VALUE"""),127.32)</f>
        <v>127.32</v>
      </c>
      <c r="E150" s="1">
        <f>IFERROR(__xludf.DUMMYFUNCTION("""COMPUTED_VALUE"""),129.1)</f>
        <v>129.1</v>
      </c>
      <c r="F150" s="1">
        <f>IFERROR(__xludf.DUMMYFUNCTION("""COMPUTED_VALUE"""),731710.0)</f>
        <v>731710</v>
      </c>
      <c r="G150" s="2" t="s">
        <v>6</v>
      </c>
    </row>
    <row r="151">
      <c r="A151" s="3">
        <f>IFERROR(__xludf.DUMMYFUNCTION("""COMPUTED_VALUE"""),44781.66666666667)</f>
        <v>44781.66667</v>
      </c>
      <c r="B151" s="1">
        <f>IFERROR(__xludf.DUMMYFUNCTION("""COMPUTED_VALUE"""),130.11)</f>
        <v>130.11</v>
      </c>
      <c r="C151" s="1">
        <f>IFERROR(__xludf.DUMMYFUNCTION("""COMPUTED_VALUE"""),130.74)</f>
        <v>130.74</v>
      </c>
      <c r="D151" s="1">
        <f>IFERROR(__xludf.DUMMYFUNCTION("""COMPUTED_VALUE"""),129.13)</f>
        <v>129.13</v>
      </c>
      <c r="E151" s="1">
        <f>IFERROR(__xludf.DUMMYFUNCTION("""COMPUTED_VALUE"""),129.75)</f>
        <v>129.75</v>
      </c>
      <c r="F151" s="1">
        <f>IFERROR(__xludf.DUMMYFUNCTION("""COMPUTED_VALUE"""),543066.0)</f>
        <v>543066</v>
      </c>
      <c r="G151" s="2" t="s">
        <v>6</v>
      </c>
    </row>
    <row r="152">
      <c r="A152" s="3">
        <f>IFERROR(__xludf.DUMMYFUNCTION("""COMPUTED_VALUE"""),44782.66666666667)</f>
        <v>44782.66667</v>
      </c>
      <c r="B152" s="1">
        <f>IFERROR(__xludf.DUMMYFUNCTION("""COMPUTED_VALUE"""),130.31)</f>
        <v>130.31</v>
      </c>
      <c r="C152" s="1">
        <f>IFERROR(__xludf.DUMMYFUNCTION("""COMPUTED_VALUE"""),132.85)</f>
        <v>132.85</v>
      </c>
      <c r="D152" s="1">
        <f>IFERROR(__xludf.DUMMYFUNCTION("""COMPUTED_VALUE"""),129.91)</f>
        <v>129.91</v>
      </c>
      <c r="E152" s="1">
        <f>IFERROR(__xludf.DUMMYFUNCTION("""COMPUTED_VALUE"""),132.55)</f>
        <v>132.55</v>
      </c>
      <c r="F152" s="1">
        <f>IFERROR(__xludf.DUMMYFUNCTION("""COMPUTED_VALUE"""),997275.0)</f>
        <v>997275</v>
      </c>
      <c r="G152" s="2" t="s">
        <v>6</v>
      </c>
    </row>
    <row r="153">
      <c r="A153" s="3">
        <f>IFERROR(__xludf.DUMMYFUNCTION("""COMPUTED_VALUE"""),44783.66666666667)</f>
        <v>44783.66667</v>
      </c>
      <c r="B153" s="1">
        <f>IFERROR(__xludf.DUMMYFUNCTION("""COMPUTED_VALUE"""),132.9)</f>
        <v>132.9</v>
      </c>
      <c r="C153" s="1">
        <f>IFERROR(__xludf.DUMMYFUNCTION("""COMPUTED_VALUE"""),133.35)</f>
        <v>133.35</v>
      </c>
      <c r="D153" s="1">
        <f>IFERROR(__xludf.DUMMYFUNCTION("""COMPUTED_VALUE"""),131.34)</f>
        <v>131.34</v>
      </c>
      <c r="E153" s="1">
        <f>IFERROR(__xludf.DUMMYFUNCTION("""COMPUTED_VALUE"""),132.26)</f>
        <v>132.26</v>
      </c>
      <c r="F153" s="1">
        <f>IFERROR(__xludf.DUMMYFUNCTION("""COMPUTED_VALUE"""),928814.0)</f>
        <v>928814</v>
      </c>
      <c r="G153" s="2" t="s">
        <v>6</v>
      </c>
    </row>
    <row r="154">
      <c r="A154" s="3">
        <f>IFERROR(__xludf.DUMMYFUNCTION("""COMPUTED_VALUE"""),44784.66666666667)</f>
        <v>44784.66667</v>
      </c>
      <c r="B154" s="1">
        <f>IFERROR(__xludf.DUMMYFUNCTION("""COMPUTED_VALUE"""),132.5)</f>
        <v>132.5</v>
      </c>
      <c r="C154" s="1">
        <f>IFERROR(__xludf.DUMMYFUNCTION("""COMPUTED_VALUE"""),134.02)</f>
        <v>134.02</v>
      </c>
      <c r="D154" s="1">
        <f>IFERROR(__xludf.DUMMYFUNCTION("""COMPUTED_VALUE"""),132.12)</f>
        <v>132.12</v>
      </c>
      <c r="E154" s="1">
        <f>IFERROR(__xludf.DUMMYFUNCTION("""COMPUTED_VALUE"""),133.33)</f>
        <v>133.33</v>
      </c>
      <c r="F154" s="1">
        <f>IFERROR(__xludf.DUMMYFUNCTION("""COMPUTED_VALUE"""),1765844.0)</f>
        <v>1765844</v>
      </c>
      <c r="G154" s="2" t="s">
        <v>6</v>
      </c>
    </row>
    <row r="155">
      <c r="A155" s="3">
        <f>IFERROR(__xludf.DUMMYFUNCTION("""COMPUTED_VALUE"""),44785.66666666667)</f>
        <v>44785.66667</v>
      </c>
      <c r="B155" s="1">
        <f>IFERROR(__xludf.DUMMYFUNCTION("""COMPUTED_VALUE"""),133.97)</f>
        <v>133.97</v>
      </c>
      <c r="C155" s="1">
        <f>IFERROR(__xludf.DUMMYFUNCTION("""COMPUTED_VALUE"""),135.02)</f>
        <v>135.02</v>
      </c>
      <c r="D155" s="1">
        <f>IFERROR(__xludf.DUMMYFUNCTION("""COMPUTED_VALUE"""),133.87)</f>
        <v>133.87</v>
      </c>
      <c r="E155" s="1">
        <f>IFERROR(__xludf.DUMMYFUNCTION("""COMPUTED_VALUE"""),134.91)</f>
        <v>134.91</v>
      </c>
      <c r="F155" s="1">
        <f>IFERROR(__xludf.DUMMYFUNCTION("""COMPUTED_VALUE"""),1080338.0)</f>
        <v>1080338</v>
      </c>
      <c r="G155" s="2" t="s">
        <v>6</v>
      </c>
    </row>
    <row r="156">
      <c r="A156" s="3">
        <f>IFERROR(__xludf.DUMMYFUNCTION("""COMPUTED_VALUE"""),44788.66666666667)</f>
        <v>44788.66667</v>
      </c>
      <c r="B156" s="1">
        <f>IFERROR(__xludf.DUMMYFUNCTION("""COMPUTED_VALUE"""),134.79)</f>
        <v>134.79</v>
      </c>
      <c r="C156" s="1">
        <f>IFERROR(__xludf.DUMMYFUNCTION("""COMPUTED_VALUE"""),136.26)</f>
        <v>136.26</v>
      </c>
      <c r="D156" s="1">
        <f>IFERROR(__xludf.DUMMYFUNCTION("""COMPUTED_VALUE"""),134.19)</f>
        <v>134.19</v>
      </c>
      <c r="E156" s="1">
        <f>IFERROR(__xludf.DUMMYFUNCTION("""COMPUTED_VALUE"""),136.06)</f>
        <v>136.06</v>
      </c>
      <c r="F156" s="1">
        <f>IFERROR(__xludf.DUMMYFUNCTION("""COMPUTED_VALUE"""),709124.0)</f>
        <v>709124</v>
      </c>
      <c r="G156" s="2" t="s">
        <v>6</v>
      </c>
    </row>
    <row r="157">
      <c r="A157" s="3">
        <f>IFERROR(__xludf.DUMMYFUNCTION("""COMPUTED_VALUE"""),44789.66666666667)</f>
        <v>44789.66667</v>
      </c>
      <c r="B157" s="1">
        <f>IFERROR(__xludf.DUMMYFUNCTION("""COMPUTED_VALUE"""),135.94)</f>
        <v>135.94</v>
      </c>
      <c r="C157" s="1">
        <f>IFERROR(__xludf.DUMMYFUNCTION("""COMPUTED_VALUE"""),136.77)</f>
        <v>136.77</v>
      </c>
      <c r="D157" s="1">
        <f>IFERROR(__xludf.DUMMYFUNCTION("""COMPUTED_VALUE"""),135.67)</f>
        <v>135.67</v>
      </c>
      <c r="E157" s="1">
        <f>IFERROR(__xludf.DUMMYFUNCTION("""COMPUTED_VALUE"""),136.09)</f>
        <v>136.09</v>
      </c>
      <c r="F157" s="1">
        <f>IFERROR(__xludf.DUMMYFUNCTION("""COMPUTED_VALUE"""),649669.0)</f>
        <v>649669</v>
      </c>
      <c r="G157" s="2" t="s">
        <v>6</v>
      </c>
    </row>
    <row r="158">
      <c r="A158" s="3">
        <f>IFERROR(__xludf.DUMMYFUNCTION("""COMPUTED_VALUE"""),44790.66666666667)</f>
        <v>44790.66667</v>
      </c>
      <c r="B158" s="1">
        <f>IFERROR(__xludf.DUMMYFUNCTION("""COMPUTED_VALUE"""),136.12)</f>
        <v>136.12</v>
      </c>
      <c r="C158" s="1">
        <f>IFERROR(__xludf.DUMMYFUNCTION("""COMPUTED_VALUE"""),136.41)</f>
        <v>136.41</v>
      </c>
      <c r="D158" s="1">
        <f>IFERROR(__xludf.DUMMYFUNCTION("""COMPUTED_VALUE"""),134.7)</f>
        <v>134.7</v>
      </c>
      <c r="E158" s="1">
        <f>IFERROR(__xludf.DUMMYFUNCTION("""COMPUTED_VALUE"""),134.97)</f>
        <v>134.97</v>
      </c>
      <c r="F158" s="1">
        <f>IFERROR(__xludf.DUMMYFUNCTION("""COMPUTED_VALUE"""),1169066.0)</f>
        <v>1169066</v>
      </c>
      <c r="G158" s="2" t="s">
        <v>6</v>
      </c>
    </row>
    <row r="159">
      <c r="A159" s="3">
        <f>IFERROR(__xludf.DUMMYFUNCTION("""COMPUTED_VALUE"""),44791.66666666667)</f>
        <v>44791.66667</v>
      </c>
      <c r="B159" s="1">
        <f>IFERROR(__xludf.DUMMYFUNCTION("""COMPUTED_VALUE"""),135.23)</f>
        <v>135.23</v>
      </c>
      <c r="C159" s="1">
        <f>IFERROR(__xludf.DUMMYFUNCTION("""COMPUTED_VALUE"""),135.91)</f>
        <v>135.91</v>
      </c>
      <c r="D159" s="1">
        <f>IFERROR(__xludf.DUMMYFUNCTION("""COMPUTED_VALUE"""),135.05)</f>
        <v>135.05</v>
      </c>
      <c r="E159" s="1">
        <f>IFERROR(__xludf.DUMMYFUNCTION("""COMPUTED_VALUE"""),135.44)</f>
        <v>135.44</v>
      </c>
      <c r="F159" s="1">
        <f>IFERROR(__xludf.DUMMYFUNCTION("""COMPUTED_VALUE"""),751243.0)</f>
        <v>751243</v>
      </c>
      <c r="G159" s="2" t="s">
        <v>6</v>
      </c>
    </row>
    <row r="160">
      <c r="A160" s="3">
        <f>IFERROR(__xludf.DUMMYFUNCTION("""COMPUTED_VALUE"""),44792.66666666667)</f>
        <v>44792.66667</v>
      </c>
      <c r="B160" s="1">
        <f>IFERROR(__xludf.DUMMYFUNCTION("""COMPUTED_VALUE"""),135.77)</f>
        <v>135.77</v>
      </c>
      <c r="C160" s="1">
        <f>IFERROR(__xludf.DUMMYFUNCTION("""COMPUTED_VALUE"""),136.54)</f>
        <v>136.54</v>
      </c>
      <c r="D160" s="1">
        <f>IFERROR(__xludf.DUMMYFUNCTION("""COMPUTED_VALUE"""),135.29)</f>
        <v>135.29</v>
      </c>
      <c r="E160" s="1">
        <f>IFERROR(__xludf.DUMMYFUNCTION("""COMPUTED_VALUE"""),136.14)</f>
        <v>136.14</v>
      </c>
      <c r="F160" s="1">
        <f>IFERROR(__xludf.DUMMYFUNCTION("""COMPUTED_VALUE"""),1010118.0)</f>
        <v>1010118</v>
      </c>
      <c r="G160" s="2" t="s">
        <v>6</v>
      </c>
    </row>
    <row r="161">
      <c r="A161" s="3">
        <f>IFERROR(__xludf.DUMMYFUNCTION("""COMPUTED_VALUE"""),44795.66666666667)</f>
        <v>44795.66667</v>
      </c>
      <c r="B161" s="1">
        <f>IFERROR(__xludf.DUMMYFUNCTION("""COMPUTED_VALUE"""),135.62)</f>
        <v>135.62</v>
      </c>
      <c r="C161" s="1">
        <f>IFERROR(__xludf.DUMMYFUNCTION("""COMPUTED_VALUE"""),136.05)</f>
        <v>136.05</v>
      </c>
      <c r="D161" s="1">
        <f>IFERROR(__xludf.DUMMYFUNCTION("""COMPUTED_VALUE"""),134.36)</f>
        <v>134.36</v>
      </c>
      <c r="E161" s="1">
        <f>IFERROR(__xludf.DUMMYFUNCTION("""COMPUTED_VALUE"""),134.64)</f>
        <v>134.64</v>
      </c>
      <c r="F161" s="1">
        <f>IFERROR(__xludf.DUMMYFUNCTION("""COMPUTED_VALUE"""),827303.0)</f>
        <v>827303</v>
      </c>
      <c r="G161" s="2" t="s">
        <v>6</v>
      </c>
    </row>
    <row r="162">
      <c r="A162" s="3">
        <f>IFERROR(__xludf.DUMMYFUNCTION("""COMPUTED_VALUE"""),44796.66666666667)</f>
        <v>44796.66667</v>
      </c>
      <c r="B162" s="1">
        <f>IFERROR(__xludf.DUMMYFUNCTION("""COMPUTED_VALUE"""),134.6)</f>
        <v>134.6</v>
      </c>
      <c r="C162" s="1">
        <f>IFERROR(__xludf.DUMMYFUNCTION("""COMPUTED_VALUE"""),134.6)</f>
        <v>134.6</v>
      </c>
      <c r="D162" s="1">
        <f>IFERROR(__xludf.DUMMYFUNCTION("""COMPUTED_VALUE"""),133.25)</f>
        <v>133.25</v>
      </c>
      <c r="E162" s="1">
        <f>IFERROR(__xludf.DUMMYFUNCTION("""COMPUTED_VALUE"""),133.88)</f>
        <v>133.88</v>
      </c>
      <c r="F162" s="1">
        <f>IFERROR(__xludf.DUMMYFUNCTION("""COMPUTED_VALUE"""),693370.0)</f>
        <v>693370</v>
      </c>
      <c r="G162" s="2" t="s">
        <v>6</v>
      </c>
    </row>
    <row r="163">
      <c r="A163" s="3">
        <f>IFERROR(__xludf.DUMMYFUNCTION("""COMPUTED_VALUE"""),44797.66666666667)</f>
        <v>44797.66667</v>
      </c>
      <c r="B163" s="1">
        <f>IFERROR(__xludf.DUMMYFUNCTION("""COMPUTED_VALUE"""),134.28)</f>
        <v>134.28</v>
      </c>
      <c r="C163" s="1">
        <f>IFERROR(__xludf.DUMMYFUNCTION("""COMPUTED_VALUE"""),134.53)</f>
        <v>134.53</v>
      </c>
      <c r="D163" s="1">
        <f>IFERROR(__xludf.DUMMYFUNCTION("""COMPUTED_VALUE"""),133.44)</f>
        <v>133.44</v>
      </c>
      <c r="E163" s="1">
        <f>IFERROR(__xludf.DUMMYFUNCTION("""COMPUTED_VALUE"""),134.26)</f>
        <v>134.26</v>
      </c>
      <c r="F163" s="1">
        <f>IFERROR(__xludf.DUMMYFUNCTION("""COMPUTED_VALUE"""),662112.0)</f>
        <v>662112</v>
      </c>
      <c r="G163" s="2" t="s">
        <v>6</v>
      </c>
    </row>
    <row r="164">
      <c r="A164" s="3">
        <f>IFERROR(__xludf.DUMMYFUNCTION("""COMPUTED_VALUE"""),44798.66666666667)</f>
        <v>44798.66667</v>
      </c>
      <c r="B164" s="1">
        <f>IFERROR(__xludf.DUMMYFUNCTION("""COMPUTED_VALUE"""),134.42)</f>
        <v>134.42</v>
      </c>
      <c r="C164" s="1">
        <f>IFERROR(__xludf.DUMMYFUNCTION("""COMPUTED_VALUE"""),134.83)</f>
        <v>134.83</v>
      </c>
      <c r="D164" s="1">
        <f>IFERROR(__xludf.DUMMYFUNCTION("""COMPUTED_VALUE"""),133.48)</f>
        <v>133.48</v>
      </c>
      <c r="E164" s="1">
        <f>IFERROR(__xludf.DUMMYFUNCTION("""COMPUTED_VALUE"""),134.79)</f>
        <v>134.79</v>
      </c>
      <c r="F164" s="1">
        <f>IFERROR(__xludf.DUMMYFUNCTION("""COMPUTED_VALUE"""),581806.0)</f>
        <v>581806</v>
      </c>
      <c r="G164" s="2" t="s">
        <v>6</v>
      </c>
    </row>
    <row r="165">
      <c r="A165" s="3">
        <f>IFERROR(__xludf.DUMMYFUNCTION("""COMPUTED_VALUE"""),44799.66666666667)</f>
        <v>44799.66667</v>
      </c>
      <c r="B165" s="1">
        <f>IFERROR(__xludf.DUMMYFUNCTION("""COMPUTED_VALUE"""),135.01)</f>
        <v>135.01</v>
      </c>
      <c r="C165" s="1">
        <f>IFERROR(__xludf.DUMMYFUNCTION("""COMPUTED_VALUE"""),135.19)</f>
        <v>135.19</v>
      </c>
      <c r="D165" s="1">
        <f>IFERROR(__xludf.DUMMYFUNCTION("""COMPUTED_VALUE"""),133.17)</f>
        <v>133.17</v>
      </c>
      <c r="E165" s="1">
        <f>IFERROR(__xludf.DUMMYFUNCTION("""COMPUTED_VALUE"""),133.22)</f>
        <v>133.22</v>
      </c>
      <c r="F165" s="1">
        <f>IFERROR(__xludf.DUMMYFUNCTION("""COMPUTED_VALUE"""),750768.0)</f>
        <v>750768</v>
      </c>
      <c r="G165" s="2" t="s">
        <v>6</v>
      </c>
    </row>
    <row r="166">
      <c r="A166" s="3">
        <f>IFERROR(__xludf.DUMMYFUNCTION("""COMPUTED_VALUE"""),44802.66666666667)</f>
        <v>44802.66667</v>
      </c>
      <c r="B166" s="1">
        <f>IFERROR(__xludf.DUMMYFUNCTION("""COMPUTED_VALUE"""),132.89)</f>
        <v>132.89</v>
      </c>
      <c r="C166" s="1">
        <f>IFERROR(__xludf.DUMMYFUNCTION("""COMPUTED_VALUE"""),134.53)</f>
        <v>134.53</v>
      </c>
      <c r="D166" s="1">
        <f>IFERROR(__xludf.DUMMYFUNCTION("""COMPUTED_VALUE"""),131.61)</f>
        <v>131.61</v>
      </c>
      <c r="E166" s="1">
        <f>IFERROR(__xludf.DUMMYFUNCTION("""COMPUTED_VALUE"""),133.5)</f>
        <v>133.5</v>
      </c>
      <c r="F166" s="1">
        <f>IFERROR(__xludf.DUMMYFUNCTION("""COMPUTED_VALUE"""),813991.0)</f>
        <v>813991</v>
      </c>
      <c r="G166" s="2" t="s">
        <v>6</v>
      </c>
    </row>
    <row r="167">
      <c r="A167" s="3">
        <f>IFERROR(__xludf.DUMMYFUNCTION("""COMPUTED_VALUE"""),44803.66666666667)</f>
        <v>44803.66667</v>
      </c>
      <c r="B167" s="1">
        <f>IFERROR(__xludf.DUMMYFUNCTION("""COMPUTED_VALUE"""),132.82)</f>
        <v>132.82</v>
      </c>
      <c r="C167" s="1">
        <f>IFERROR(__xludf.DUMMYFUNCTION("""COMPUTED_VALUE"""),133.49)</f>
        <v>133.49</v>
      </c>
      <c r="D167" s="1">
        <f>IFERROR(__xludf.DUMMYFUNCTION("""COMPUTED_VALUE"""),130.89)</f>
        <v>130.89</v>
      </c>
      <c r="E167" s="1">
        <f>IFERROR(__xludf.DUMMYFUNCTION("""COMPUTED_VALUE"""),131.45)</f>
        <v>131.45</v>
      </c>
      <c r="F167" s="1">
        <f>IFERROR(__xludf.DUMMYFUNCTION("""COMPUTED_VALUE"""),581331.0)</f>
        <v>581331</v>
      </c>
      <c r="G167" s="2" t="s">
        <v>6</v>
      </c>
    </row>
    <row r="168">
      <c r="A168" s="3">
        <f>IFERROR(__xludf.DUMMYFUNCTION("""COMPUTED_VALUE"""),44804.66666666667)</f>
        <v>44804.66667</v>
      </c>
      <c r="B168" s="1">
        <f>IFERROR(__xludf.DUMMYFUNCTION("""COMPUTED_VALUE"""),131.27)</f>
        <v>131.27</v>
      </c>
      <c r="C168" s="1">
        <f>IFERROR(__xludf.DUMMYFUNCTION("""COMPUTED_VALUE"""),131.77)</f>
        <v>131.77</v>
      </c>
      <c r="D168" s="1">
        <f>IFERROR(__xludf.DUMMYFUNCTION("""COMPUTED_VALUE"""),130.1)</f>
        <v>130.1</v>
      </c>
      <c r="E168" s="1">
        <f>IFERROR(__xludf.DUMMYFUNCTION("""COMPUTED_VALUE"""),130.34)</f>
        <v>130.34</v>
      </c>
      <c r="F168" s="1">
        <f>IFERROR(__xludf.DUMMYFUNCTION("""COMPUTED_VALUE"""),1007649.0)</f>
        <v>1007649</v>
      </c>
      <c r="G168" s="2" t="s">
        <v>6</v>
      </c>
    </row>
    <row r="169">
      <c r="A169" s="3">
        <f>IFERROR(__xludf.DUMMYFUNCTION("""COMPUTED_VALUE"""),44805.66666666667)</f>
        <v>44805.66667</v>
      </c>
      <c r="B169" s="1">
        <f>IFERROR(__xludf.DUMMYFUNCTION("""COMPUTED_VALUE"""),130.23)</f>
        <v>130.23</v>
      </c>
      <c r="C169" s="1">
        <f>IFERROR(__xludf.DUMMYFUNCTION("""COMPUTED_VALUE"""),133.06)</f>
        <v>133.06</v>
      </c>
      <c r="D169" s="1">
        <f>IFERROR(__xludf.DUMMYFUNCTION("""COMPUTED_VALUE"""),129.69)</f>
        <v>129.69</v>
      </c>
      <c r="E169" s="1">
        <f>IFERROR(__xludf.DUMMYFUNCTION("""COMPUTED_VALUE"""),132.74)</f>
        <v>132.74</v>
      </c>
      <c r="F169" s="1">
        <f>IFERROR(__xludf.DUMMYFUNCTION("""COMPUTED_VALUE"""),1147062.0)</f>
        <v>1147062</v>
      </c>
      <c r="G169" s="2" t="s">
        <v>6</v>
      </c>
    </row>
    <row r="170">
      <c r="A170" s="3">
        <f>IFERROR(__xludf.DUMMYFUNCTION("""COMPUTED_VALUE"""),44806.66666666667)</f>
        <v>44806.66667</v>
      </c>
      <c r="B170" s="1">
        <f>IFERROR(__xludf.DUMMYFUNCTION("""COMPUTED_VALUE"""),132.82)</f>
        <v>132.82</v>
      </c>
      <c r="C170" s="1">
        <f>IFERROR(__xludf.DUMMYFUNCTION("""COMPUTED_VALUE"""),133.92)</f>
        <v>133.92</v>
      </c>
      <c r="D170" s="1">
        <f>IFERROR(__xludf.DUMMYFUNCTION("""COMPUTED_VALUE"""),130.73)</f>
        <v>130.73</v>
      </c>
      <c r="E170" s="1">
        <f>IFERROR(__xludf.DUMMYFUNCTION("""COMPUTED_VALUE"""),131.14)</f>
        <v>131.14</v>
      </c>
      <c r="F170" s="1">
        <f>IFERROR(__xludf.DUMMYFUNCTION("""COMPUTED_VALUE"""),765677.0)</f>
        <v>765677</v>
      </c>
      <c r="G170" s="2" t="s">
        <v>6</v>
      </c>
    </row>
    <row r="171">
      <c r="A171" s="3">
        <f>IFERROR(__xludf.DUMMYFUNCTION("""COMPUTED_VALUE"""),44810.66666666667)</f>
        <v>44810.66667</v>
      </c>
      <c r="B171" s="1">
        <f>IFERROR(__xludf.DUMMYFUNCTION("""COMPUTED_VALUE"""),131.56)</f>
        <v>131.56</v>
      </c>
      <c r="C171" s="1">
        <f>IFERROR(__xludf.DUMMYFUNCTION("""COMPUTED_VALUE"""),132.83)</f>
        <v>132.83</v>
      </c>
      <c r="D171" s="1">
        <f>IFERROR(__xludf.DUMMYFUNCTION("""COMPUTED_VALUE"""),131.0)</f>
        <v>131</v>
      </c>
      <c r="E171" s="1">
        <f>IFERROR(__xludf.DUMMYFUNCTION("""COMPUTED_VALUE"""),131.2)</f>
        <v>131.2</v>
      </c>
      <c r="F171" s="1">
        <f>IFERROR(__xludf.DUMMYFUNCTION("""COMPUTED_VALUE"""),796896.0)</f>
        <v>796896</v>
      </c>
      <c r="G171" s="2" t="s">
        <v>6</v>
      </c>
    </row>
    <row r="172">
      <c r="A172" s="3">
        <f>IFERROR(__xludf.DUMMYFUNCTION("""COMPUTED_VALUE"""),44811.66666666667)</f>
        <v>44811.66667</v>
      </c>
      <c r="B172" s="1">
        <f>IFERROR(__xludf.DUMMYFUNCTION("""COMPUTED_VALUE"""),131.98)</f>
        <v>131.98</v>
      </c>
      <c r="C172" s="1">
        <f>IFERROR(__xludf.DUMMYFUNCTION("""COMPUTED_VALUE"""),135.37)</f>
        <v>135.37</v>
      </c>
      <c r="D172" s="1">
        <f>IFERROR(__xludf.DUMMYFUNCTION("""COMPUTED_VALUE"""),131.98)</f>
        <v>131.98</v>
      </c>
      <c r="E172" s="1">
        <f>IFERROR(__xludf.DUMMYFUNCTION("""COMPUTED_VALUE"""),135.29)</f>
        <v>135.29</v>
      </c>
      <c r="F172" s="1">
        <f>IFERROR(__xludf.DUMMYFUNCTION("""COMPUTED_VALUE"""),947142.0)</f>
        <v>947142</v>
      </c>
      <c r="G172" s="2" t="s">
        <v>6</v>
      </c>
    </row>
    <row r="173">
      <c r="A173" s="3">
        <f>IFERROR(__xludf.DUMMYFUNCTION("""COMPUTED_VALUE"""),44812.66666666667)</f>
        <v>44812.66667</v>
      </c>
      <c r="B173" s="1">
        <f>IFERROR(__xludf.DUMMYFUNCTION("""COMPUTED_VALUE"""),134.84)</f>
        <v>134.84</v>
      </c>
      <c r="C173" s="1">
        <f>IFERROR(__xludf.DUMMYFUNCTION("""COMPUTED_VALUE"""),135.74)</f>
        <v>135.74</v>
      </c>
      <c r="D173" s="1">
        <f>IFERROR(__xludf.DUMMYFUNCTION("""COMPUTED_VALUE"""),134.09)</f>
        <v>134.09</v>
      </c>
      <c r="E173" s="1">
        <f>IFERROR(__xludf.DUMMYFUNCTION("""COMPUTED_VALUE"""),134.68)</f>
        <v>134.68</v>
      </c>
      <c r="F173" s="1">
        <f>IFERROR(__xludf.DUMMYFUNCTION("""COMPUTED_VALUE"""),922207.0)</f>
        <v>922207</v>
      </c>
      <c r="G173" s="2" t="s">
        <v>6</v>
      </c>
    </row>
    <row r="174">
      <c r="A174" s="3">
        <f>IFERROR(__xludf.DUMMYFUNCTION("""COMPUTED_VALUE"""),44813.66666666667)</f>
        <v>44813.66667</v>
      </c>
      <c r="B174" s="1">
        <f>IFERROR(__xludf.DUMMYFUNCTION("""COMPUTED_VALUE"""),134.59)</f>
        <v>134.59</v>
      </c>
      <c r="C174" s="1">
        <f>IFERROR(__xludf.DUMMYFUNCTION("""COMPUTED_VALUE"""),135.79)</f>
        <v>135.79</v>
      </c>
      <c r="D174" s="1">
        <f>IFERROR(__xludf.DUMMYFUNCTION("""COMPUTED_VALUE"""),134.0)</f>
        <v>134</v>
      </c>
      <c r="E174" s="1">
        <f>IFERROR(__xludf.DUMMYFUNCTION("""COMPUTED_VALUE"""),135.5)</f>
        <v>135.5</v>
      </c>
      <c r="F174" s="1">
        <f>IFERROR(__xludf.DUMMYFUNCTION("""COMPUTED_VALUE"""),781789.0)</f>
        <v>781789</v>
      </c>
      <c r="G174" s="2" t="s">
        <v>6</v>
      </c>
    </row>
    <row r="175">
      <c r="A175" s="3">
        <f>IFERROR(__xludf.DUMMYFUNCTION("""COMPUTED_VALUE"""),44816.66666666667)</f>
        <v>44816.66667</v>
      </c>
      <c r="B175" s="1">
        <f>IFERROR(__xludf.DUMMYFUNCTION("""COMPUTED_VALUE"""),135.75)</f>
        <v>135.75</v>
      </c>
      <c r="C175" s="1">
        <f>IFERROR(__xludf.DUMMYFUNCTION("""COMPUTED_VALUE"""),136.63)</f>
        <v>136.63</v>
      </c>
      <c r="D175" s="1">
        <f>IFERROR(__xludf.DUMMYFUNCTION("""COMPUTED_VALUE"""),135.21)</f>
        <v>135.21</v>
      </c>
      <c r="E175" s="1">
        <f>IFERROR(__xludf.DUMMYFUNCTION("""COMPUTED_VALUE"""),135.97)</f>
        <v>135.97</v>
      </c>
      <c r="F175" s="1">
        <f>IFERROR(__xludf.DUMMYFUNCTION("""COMPUTED_VALUE"""),824059.0)</f>
        <v>824059</v>
      </c>
      <c r="G175" s="2" t="s">
        <v>6</v>
      </c>
    </row>
    <row r="176">
      <c r="A176" s="3">
        <f>IFERROR(__xludf.DUMMYFUNCTION("""COMPUTED_VALUE"""),44817.66666666667)</f>
        <v>44817.66667</v>
      </c>
      <c r="B176" s="1">
        <f>IFERROR(__xludf.DUMMYFUNCTION("""COMPUTED_VALUE"""),135.13)</f>
        <v>135.13</v>
      </c>
      <c r="C176" s="1">
        <f>IFERROR(__xludf.DUMMYFUNCTION("""COMPUTED_VALUE"""),135.51)</f>
        <v>135.51</v>
      </c>
      <c r="D176" s="1">
        <f>IFERROR(__xludf.DUMMYFUNCTION("""COMPUTED_VALUE"""),132.07)</f>
        <v>132.07</v>
      </c>
      <c r="E176" s="1">
        <f>IFERROR(__xludf.DUMMYFUNCTION("""COMPUTED_VALUE"""),132.98)</f>
        <v>132.98</v>
      </c>
      <c r="F176" s="1">
        <f>IFERROR(__xludf.DUMMYFUNCTION("""COMPUTED_VALUE"""),1144993.0)</f>
        <v>1144993</v>
      </c>
      <c r="G176" s="2" t="s">
        <v>6</v>
      </c>
    </row>
    <row r="177">
      <c r="A177" s="3">
        <f>IFERROR(__xludf.DUMMYFUNCTION("""COMPUTED_VALUE"""),44818.66666666667)</f>
        <v>44818.66667</v>
      </c>
      <c r="B177" s="1">
        <f>IFERROR(__xludf.DUMMYFUNCTION("""COMPUTED_VALUE"""),133.42)</f>
        <v>133.42</v>
      </c>
      <c r="C177" s="1">
        <f>IFERROR(__xludf.DUMMYFUNCTION("""COMPUTED_VALUE"""),135.21)</f>
        <v>135.21</v>
      </c>
      <c r="D177" s="1">
        <f>IFERROR(__xludf.DUMMYFUNCTION("""COMPUTED_VALUE"""),133.15)</f>
        <v>133.15</v>
      </c>
      <c r="E177" s="1">
        <f>IFERROR(__xludf.DUMMYFUNCTION("""COMPUTED_VALUE"""),134.05)</f>
        <v>134.05</v>
      </c>
      <c r="F177" s="1">
        <f>IFERROR(__xludf.DUMMYFUNCTION("""COMPUTED_VALUE"""),1042358.0)</f>
        <v>1042358</v>
      </c>
      <c r="G177" s="2" t="s">
        <v>6</v>
      </c>
    </row>
    <row r="178">
      <c r="A178" s="3">
        <f>IFERROR(__xludf.DUMMYFUNCTION("""COMPUTED_VALUE"""),44819.66666666667)</f>
        <v>44819.66667</v>
      </c>
      <c r="B178" s="1">
        <f>IFERROR(__xludf.DUMMYFUNCTION("""COMPUTED_VALUE"""),133.38)</f>
        <v>133.38</v>
      </c>
      <c r="C178" s="1">
        <f>IFERROR(__xludf.DUMMYFUNCTION("""COMPUTED_VALUE"""),133.38)</f>
        <v>133.38</v>
      </c>
      <c r="D178" s="1">
        <f>IFERROR(__xludf.DUMMYFUNCTION("""COMPUTED_VALUE"""),130.48)</f>
        <v>130.48</v>
      </c>
      <c r="E178" s="1">
        <f>IFERROR(__xludf.DUMMYFUNCTION("""COMPUTED_VALUE"""),130.6)</f>
        <v>130.6</v>
      </c>
      <c r="F178" s="1">
        <f>IFERROR(__xludf.DUMMYFUNCTION("""COMPUTED_VALUE"""),1991919.0)</f>
        <v>1991919</v>
      </c>
      <c r="G178" s="2" t="s">
        <v>6</v>
      </c>
    </row>
    <row r="179">
      <c r="A179" s="3">
        <f>IFERROR(__xludf.DUMMYFUNCTION("""COMPUTED_VALUE"""),44820.66666666667)</f>
        <v>44820.66667</v>
      </c>
      <c r="B179" s="1">
        <f>IFERROR(__xludf.DUMMYFUNCTION("""COMPUTED_VALUE"""),129.27)</f>
        <v>129.27</v>
      </c>
      <c r="C179" s="1">
        <f>IFERROR(__xludf.DUMMYFUNCTION("""COMPUTED_VALUE"""),130.6)</f>
        <v>130.6</v>
      </c>
      <c r="D179" s="1">
        <f>IFERROR(__xludf.DUMMYFUNCTION("""COMPUTED_VALUE"""),129.27)</f>
        <v>129.27</v>
      </c>
      <c r="E179" s="1">
        <f>IFERROR(__xludf.DUMMYFUNCTION("""COMPUTED_VALUE"""),129.9)</f>
        <v>129.9</v>
      </c>
      <c r="F179" s="1">
        <f>IFERROR(__xludf.DUMMYFUNCTION("""COMPUTED_VALUE"""),2116860.0)</f>
        <v>2116860</v>
      </c>
      <c r="G179" s="2" t="s">
        <v>6</v>
      </c>
    </row>
    <row r="180">
      <c r="A180" s="3">
        <f>IFERROR(__xludf.DUMMYFUNCTION("""COMPUTED_VALUE"""),44823.66666666667)</f>
        <v>44823.66667</v>
      </c>
      <c r="B180" s="1">
        <f>IFERROR(__xludf.DUMMYFUNCTION("""COMPUTED_VALUE"""),129.27)</f>
        <v>129.27</v>
      </c>
      <c r="C180" s="1">
        <f>IFERROR(__xludf.DUMMYFUNCTION("""COMPUTED_VALUE"""),131.13)</f>
        <v>131.13</v>
      </c>
      <c r="D180" s="1">
        <f>IFERROR(__xludf.DUMMYFUNCTION("""COMPUTED_VALUE"""),128.98)</f>
        <v>128.98</v>
      </c>
      <c r="E180" s="1">
        <f>IFERROR(__xludf.DUMMYFUNCTION("""COMPUTED_VALUE"""),130.9)</f>
        <v>130.9</v>
      </c>
      <c r="F180" s="1">
        <f>IFERROR(__xludf.DUMMYFUNCTION("""COMPUTED_VALUE"""),1187304.0)</f>
        <v>1187304</v>
      </c>
      <c r="G180" s="2" t="s">
        <v>6</v>
      </c>
    </row>
    <row r="181">
      <c r="A181" s="3">
        <f>IFERROR(__xludf.DUMMYFUNCTION("""COMPUTED_VALUE"""),44824.66666666667)</f>
        <v>44824.66667</v>
      </c>
      <c r="B181" s="1">
        <f>IFERROR(__xludf.DUMMYFUNCTION("""COMPUTED_VALUE"""),130.1)</f>
        <v>130.1</v>
      </c>
      <c r="C181" s="1">
        <f>IFERROR(__xludf.DUMMYFUNCTION("""COMPUTED_VALUE"""),130.29)</f>
        <v>130.29</v>
      </c>
      <c r="D181" s="1">
        <f>IFERROR(__xludf.DUMMYFUNCTION("""COMPUTED_VALUE"""),127.69)</f>
        <v>127.69</v>
      </c>
      <c r="E181" s="1">
        <f>IFERROR(__xludf.DUMMYFUNCTION("""COMPUTED_VALUE"""),128.67)</f>
        <v>128.67</v>
      </c>
      <c r="F181" s="1">
        <f>IFERROR(__xludf.DUMMYFUNCTION("""COMPUTED_VALUE"""),2130431.0)</f>
        <v>2130431</v>
      </c>
      <c r="G181" s="2" t="s">
        <v>6</v>
      </c>
    </row>
    <row r="182">
      <c r="A182" s="3">
        <f>IFERROR(__xludf.DUMMYFUNCTION("""COMPUTED_VALUE"""),44825.66666666667)</f>
        <v>44825.66667</v>
      </c>
      <c r="B182" s="1">
        <f>IFERROR(__xludf.DUMMYFUNCTION("""COMPUTED_VALUE"""),129.48)</f>
        <v>129.48</v>
      </c>
      <c r="C182" s="1">
        <f>IFERROR(__xludf.DUMMYFUNCTION("""COMPUTED_VALUE"""),130.26)</f>
        <v>130.26</v>
      </c>
      <c r="D182" s="1">
        <f>IFERROR(__xludf.DUMMYFUNCTION("""COMPUTED_VALUE"""),126.57)</f>
        <v>126.57</v>
      </c>
      <c r="E182" s="1">
        <f>IFERROR(__xludf.DUMMYFUNCTION("""COMPUTED_VALUE"""),126.59)</f>
        <v>126.59</v>
      </c>
      <c r="F182" s="1">
        <f>IFERROR(__xludf.DUMMYFUNCTION("""COMPUTED_VALUE"""),1766136.0)</f>
        <v>1766136</v>
      </c>
      <c r="G182" s="2" t="s">
        <v>6</v>
      </c>
    </row>
    <row r="183">
      <c r="A183" s="3">
        <f>IFERROR(__xludf.DUMMYFUNCTION("""COMPUTED_VALUE"""),44826.66666666667)</f>
        <v>44826.66667</v>
      </c>
      <c r="B183" s="1">
        <f>IFERROR(__xludf.DUMMYFUNCTION("""COMPUTED_VALUE"""),126.34)</f>
        <v>126.34</v>
      </c>
      <c r="C183" s="1">
        <f>IFERROR(__xludf.DUMMYFUNCTION("""COMPUTED_VALUE"""),127.55)</f>
        <v>127.55</v>
      </c>
      <c r="D183" s="1">
        <f>IFERROR(__xludf.DUMMYFUNCTION("""COMPUTED_VALUE"""),125.88)</f>
        <v>125.88</v>
      </c>
      <c r="E183" s="1">
        <f>IFERROR(__xludf.DUMMYFUNCTION("""COMPUTED_VALUE"""),126.58)</f>
        <v>126.58</v>
      </c>
      <c r="F183" s="1">
        <f>IFERROR(__xludf.DUMMYFUNCTION("""COMPUTED_VALUE"""),1288046.0)</f>
        <v>1288046</v>
      </c>
      <c r="G183" s="2" t="s">
        <v>6</v>
      </c>
    </row>
    <row r="184">
      <c r="A184" s="3">
        <f>IFERROR(__xludf.DUMMYFUNCTION("""COMPUTED_VALUE"""),44827.66666666667)</f>
        <v>44827.66667</v>
      </c>
      <c r="B184" s="1">
        <f>IFERROR(__xludf.DUMMYFUNCTION("""COMPUTED_VALUE"""),125.34)</f>
        <v>125.34</v>
      </c>
      <c r="C184" s="1">
        <f>IFERROR(__xludf.DUMMYFUNCTION("""COMPUTED_VALUE"""),126.07)</f>
        <v>126.07</v>
      </c>
      <c r="D184" s="1">
        <f>IFERROR(__xludf.DUMMYFUNCTION("""COMPUTED_VALUE"""),124.08)</f>
        <v>124.08</v>
      </c>
      <c r="E184" s="1">
        <f>IFERROR(__xludf.DUMMYFUNCTION("""COMPUTED_VALUE"""),125.66)</f>
        <v>125.66</v>
      </c>
      <c r="F184" s="1">
        <f>IFERROR(__xludf.DUMMYFUNCTION("""COMPUTED_VALUE"""),938943.0)</f>
        <v>938943</v>
      </c>
      <c r="G184" s="2" t="s">
        <v>6</v>
      </c>
    </row>
    <row r="185">
      <c r="A185" s="3">
        <f>IFERROR(__xludf.DUMMYFUNCTION("""COMPUTED_VALUE"""),44830.66666666667)</f>
        <v>44830.66667</v>
      </c>
      <c r="B185" s="1">
        <f>IFERROR(__xludf.DUMMYFUNCTION("""COMPUTED_VALUE"""),125.13)</f>
        <v>125.13</v>
      </c>
      <c r="C185" s="1">
        <f>IFERROR(__xludf.DUMMYFUNCTION("""COMPUTED_VALUE"""),125.34)</f>
        <v>125.34</v>
      </c>
      <c r="D185" s="1">
        <f>IFERROR(__xludf.DUMMYFUNCTION("""COMPUTED_VALUE"""),121.81)</f>
        <v>121.81</v>
      </c>
      <c r="E185" s="1">
        <f>IFERROR(__xludf.DUMMYFUNCTION("""COMPUTED_VALUE"""),123.01)</f>
        <v>123.01</v>
      </c>
      <c r="F185" s="1">
        <f>IFERROR(__xludf.DUMMYFUNCTION("""COMPUTED_VALUE"""),1326799.0)</f>
        <v>1326799</v>
      </c>
      <c r="G185" s="2" t="s">
        <v>6</v>
      </c>
    </row>
    <row r="186">
      <c r="A186" s="3">
        <f>IFERROR(__xludf.DUMMYFUNCTION("""COMPUTED_VALUE"""),44831.66666666667)</f>
        <v>44831.66667</v>
      </c>
      <c r="B186" s="1">
        <f>IFERROR(__xludf.DUMMYFUNCTION("""COMPUTED_VALUE"""),123.54)</f>
        <v>123.54</v>
      </c>
      <c r="C186" s="1">
        <f>IFERROR(__xludf.DUMMYFUNCTION("""COMPUTED_VALUE"""),123.96)</f>
        <v>123.96</v>
      </c>
      <c r="D186" s="1">
        <f>IFERROR(__xludf.DUMMYFUNCTION("""COMPUTED_VALUE"""),121.02)</f>
        <v>121.02</v>
      </c>
      <c r="E186" s="1">
        <f>IFERROR(__xludf.DUMMYFUNCTION("""COMPUTED_VALUE"""),121.7)</f>
        <v>121.7</v>
      </c>
      <c r="F186" s="1">
        <f>IFERROR(__xludf.DUMMYFUNCTION("""COMPUTED_VALUE"""),1333473.0)</f>
        <v>1333473</v>
      </c>
      <c r="G186" s="2" t="s">
        <v>6</v>
      </c>
    </row>
    <row r="187">
      <c r="A187" s="3">
        <f>IFERROR(__xludf.DUMMYFUNCTION("""COMPUTED_VALUE"""),44832.66666666667)</f>
        <v>44832.66667</v>
      </c>
      <c r="B187" s="1">
        <f>IFERROR(__xludf.DUMMYFUNCTION("""COMPUTED_VALUE"""),123.17)</f>
        <v>123.17</v>
      </c>
      <c r="C187" s="1">
        <f>IFERROR(__xludf.DUMMYFUNCTION("""COMPUTED_VALUE"""),123.89)</f>
        <v>123.89</v>
      </c>
      <c r="D187" s="1">
        <f>IFERROR(__xludf.DUMMYFUNCTION("""COMPUTED_VALUE"""),121.21)</f>
        <v>121.21</v>
      </c>
      <c r="E187" s="1">
        <f>IFERROR(__xludf.DUMMYFUNCTION("""COMPUTED_VALUE"""),123.16)</f>
        <v>123.16</v>
      </c>
      <c r="F187" s="1">
        <f>IFERROR(__xludf.DUMMYFUNCTION("""COMPUTED_VALUE"""),986084.0)</f>
        <v>986084</v>
      </c>
      <c r="G187" s="2" t="s">
        <v>6</v>
      </c>
    </row>
    <row r="188">
      <c r="A188" s="3">
        <f>IFERROR(__xludf.DUMMYFUNCTION("""COMPUTED_VALUE"""),44833.66666666667)</f>
        <v>44833.66667</v>
      </c>
      <c r="B188" s="1">
        <f>IFERROR(__xludf.DUMMYFUNCTION("""COMPUTED_VALUE"""),122.61)</f>
        <v>122.61</v>
      </c>
      <c r="C188" s="1">
        <f>IFERROR(__xludf.DUMMYFUNCTION("""COMPUTED_VALUE"""),122.81)</f>
        <v>122.81</v>
      </c>
      <c r="D188" s="1">
        <f>IFERROR(__xludf.DUMMYFUNCTION("""COMPUTED_VALUE"""),118.08)</f>
        <v>118.08</v>
      </c>
      <c r="E188" s="1">
        <f>IFERROR(__xludf.DUMMYFUNCTION("""COMPUTED_VALUE"""),118.22)</f>
        <v>118.22</v>
      </c>
      <c r="F188" s="1">
        <f>IFERROR(__xludf.DUMMYFUNCTION("""COMPUTED_VALUE"""),1259658.0)</f>
        <v>1259658</v>
      </c>
      <c r="G188" s="2" t="s">
        <v>6</v>
      </c>
    </row>
    <row r="189">
      <c r="A189" s="3">
        <f>IFERROR(__xludf.DUMMYFUNCTION("""COMPUTED_VALUE"""),44834.66666666667)</f>
        <v>44834.66667</v>
      </c>
      <c r="B189" s="1">
        <f>IFERROR(__xludf.DUMMYFUNCTION("""COMPUTED_VALUE"""),118.85)</f>
        <v>118.85</v>
      </c>
      <c r="C189" s="1">
        <f>IFERROR(__xludf.DUMMYFUNCTION("""COMPUTED_VALUE"""),119.34)</f>
        <v>119.34</v>
      </c>
      <c r="D189" s="1">
        <f>IFERROR(__xludf.DUMMYFUNCTION("""COMPUTED_VALUE"""),115.04)</f>
        <v>115.04</v>
      </c>
      <c r="E189" s="1">
        <f>IFERROR(__xludf.DUMMYFUNCTION("""COMPUTED_VALUE"""),115.05)</f>
        <v>115.05</v>
      </c>
      <c r="F189" s="1">
        <f>IFERROR(__xludf.DUMMYFUNCTION("""COMPUTED_VALUE"""),2392399.0)</f>
        <v>2392399</v>
      </c>
      <c r="G189" s="2" t="s">
        <v>6</v>
      </c>
    </row>
    <row r="190">
      <c r="A190" s="3">
        <f>IFERROR(__xludf.DUMMYFUNCTION("""COMPUTED_VALUE"""),44837.66666666667)</f>
        <v>44837.66667</v>
      </c>
      <c r="B190" s="1">
        <f>IFERROR(__xludf.DUMMYFUNCTION("""COMPUTED_VALUE"""),117.3)</f>
        <v>117.3</v>
      </c>
      <c r="C190" s="1">
        <f>IFERROR(__xludf.DUMMYFUNCTION("""COMPUTED_VALUE"""),118.0)</f>
        <v>118</v>
      </c>
      <c r="D190" s="1">
        <f>IFERROR(__xludf.DUMMYFUNCTION("""COMPUTED_VALUE"""),115.12)</f>
        <v>115.12</v>
      </c>
      <c r="E190" s="1">
        <f>IFERROR(__xludf.DUMMYFUNCTION("""COMPUTED_VALUE"""),116.93)</f>
        <v>116.93</v>
      </c>
      <c r="F190" s="1">
        <f>IFERROR(__xludf.DUMMYFUNCTION("""COMPUTED_VALUE"""),2087555.0)</f>
        <v>2087555</v>
      </c>
      <c r="G190" s="2" t="s">
        <v>6</v>
      </c>
    </row>
    <row r="191">
      <c r="A191" s="3">
        <f>IFERROR(__xludf.DUMMYFUNCTION("""COMPUTED_VALUE"""),44838.66666666667)</f>
        <v>44838.66667</v>
      </c>
      <c r="B191" s="1">
        <f>IFERROR(__xludf.DUMMYFUNCTION("""COMPUTED_VALUE"""),116.95)</f>
        <v>116.95</v>
      </c>
      <c r="C191" s="1">
        <f>IFERROR(__xludf.DUMMYFUNCTION("""COMPUTED_VALUE"""),119.37)</f>
        <v>119.37</v>
      </c>
      <c r="D191" s="1">
        <f>IFERROR(__xludf.DUMMYFUNCTION("""COMPUTED_VALUE"""),116.2)</f>
        <v>116.2</v>
      </c>
      <c r="E191" s="1">
        <f>IFERROR(__xludf.DUMMYFUNCTION("""COMPUTED_VALUE"""),118.63)</f>
        <v>118.63</v>
      </c>
      <c r="F191" s="1">
        <f>IFERROR(__xludf.DUMMYFUNCTION("""COMPUTED_VALUE"""),1209136.0)</f>
        <v>1209136</v>
      </c>
      <c r="G191" s="2" t="s">
        <v>6</v>
      </c>
    </row>
    <row r="192">
      <c r="A192" s="3">
        <f>IFERROR(__xludf.DUMMYFUNCTION("""COMPUTED_VALUE"""),44839.66666666667)</f>
        <v>44839.66667</v>
      </c>
      <c r="B192" s="1">
        <f>IFERROR(__xludf.DUMMYFUNCTION("""COMPUTED_VALUE"""),117.37)</f>
        <v>117.37</v>
      </c>
      <c r="C192" s="1">
        <f>IFERROR(__xludf.DUMMYFUNCTION("""COMPUTED_VALUE"""),117.37)</f>
        <v>117.37</v>
      </c>
      <c r="D192" s="1">
        <f>IFERROR(__xludf.DUMMYFUNCTION("""COMPUTED_VALUE"""),114.78)</f>
        <v>114.78</v>
      </c>
      <c r="E192" s="1">
        <f>IFERROR(__xludf.DUMMYFUNCTION("""COMPUTED_VALUE"""),116.11)</f>
        <v>116.11</v>
      </c>
      <c r="F192" s="1">
        <f>IFERROR(__xludf.DUMMYFUNCTION("""COMPUTED_VALUE"""),1415434.0)</f>
        <v>1415434</v>
      </c>
      <c r="G192" s="2" t="s">
        <v>6</v>
      </c>
    </row>
    <row r="193">
      <c r="A193" s="3">
        <f>IFERROR(__xludf.DUMMYFUNCTION("""COMPUTED_VALUE"""),44840.66666666667)</f>
        <v>44840.66667</v>
      </c>
      <c r="B193" s="1">
        <f>IFERROR(__xludf.DUMMYFUNCTION("""COMPUTED_VALUE"""),115.49)</f>
        <v>115.49</v>
      </c>
      <c r="C193" s="1">
        <f>IFERROR(__xludf.DUMMYFUNCTION("""COMPUTED_VALUE"""),115.59)</f>
        <v>115.59</v>
      </c>
      <c r="D193" s="1">
        <f>IFERROR(__xludf.DUMMYFUNCTION("""COMPUTED_VALUE"""),110.66)</f>
        <v>110.66</v>
      </c>
      <c r="E193" s="1">
        <f>IFERROR(__xludf.DUMMYFUNCTION("""COMPUTED_VALUE"""),110.71)</f>
        <v>110.71</v>
      </c>
      <c r="F193" s="1">
        <f>IFERROR(__xludf.DUMMYFUNCTION("""COMPUTED_VALUE"""),1981477.0)</f>
        <v>1981477</v>
      </c>
      <c r="G193" s="2" t="s">
        <v>6</v>
      </c>
    </row>
    <row r="194">
      <c r="A194" s="3">
        <f>IFERROR(__xludf.DUMMYFUNCTION("""COMPUTED_VALUE"""),44841.66666666667)</f>
        <v>44841.66667</v>
      </c>
      <c r="B194" s="1">
        <f>IFERROR(__xludf.DUMMYFUNCTION("""COMPUTED_VALUE"""),110.71)</f>
        <v>110.71</v>
      </c>
      <c r="C194" s="1">
        <f>IFERROR(__xludf.DUMMYFUNCTION("""COMPUTED_VALUE"""),110.87)</f>
        <v>110.87</v>
      </c>
      <c r="D194" s="1">
        <f>IFERROR(__xludf.DUMMYFUNCTION("""COMPUTED_VALUE"""),106.68)</f>
        <v>106.68</v>
      </c>
      <c r="E194" s="1">
        <f>IFERROR(__xludf.DUMMYFUNCTION("""COMPUTED_VALUE"""),107.49)</f>
        <v>107.49</v>
      </c>
      <c r="F194" s="1">
        <f>IFERROR(__xludf.DUMMYFUNCTION("""COMPUTED_VALUE"""),2693706.0)</f>
        <v>2693706</v>
      </c>
      <c r="G194" s="2" t="s">
        <v>6</v>
      </c>
    </row>
    <row r="195">
      <c r="A195" s="3">
        <f>IFERROR(__xludf.DUMMYFUNCTION("""COMPUTED_VALUE"""),44844.66666666667)</f>
        <v>44844.66667</v>
      </c>
      <c r="B195" s="1">
        <f>IFERROR(__xludf.DUMMYFUNCTION("""COMPUTED_VALUE"""),107.7)</f>
        <v>107.7</v>
      </c>
      <c r="C195" s="1">
        <f>IFERROR(__xludf.DUMMYFUNCTION("""COMPUTED_VALUE"""),108.41)</f>
        <v>108.41</v>
      </c>
      <c r="D195" s="1">
        <f>IFERROR(__xludf.DUMMYFUNCTION("""COMPUTED_VALUE"""),106.28)</f>
        <v>106.28</v>
      </c>
      <c r="E195" s="1">
        <f>IFERROR(__xludf.DUMMYFUNCTION("""COMPUTED_VALUE"""),106.36)</f>
        <v>106.36</v>
      </c>
      <c r="F195" s="1">
        <f>IFERROR(__xludf.DUMMYFUNCTION("""COMPUTED_VALUE"""),3428418.0)</f>
        <v>3428418</v>
      </c>
      <c r="G195" s="2" t="s">
        <v>6</v>
      </c>
    </row>
    <row r="196">
      <c r="A196" s="3">
        <f>IFERROR(__xludf.DUMMYFUNCTION("""COMPUTED_VALUE"""),44845.66666666667)</f>
        <v>44845.66667</v>
      </c>
      <c r="B196" s="1">
        <f>IFERROR(__xludf.DUMMYFUNCTION("""COMPUTED_VALUE"""),106.15)</f>
        <v>106.15</v>
      </c>
      <c r="C196" s="1">
        <f>IFERROR(__xludf.DUMMYFUNCTION("""COMPUTED_VALUE"""),107.52)</f>
        <v>107.52</v>
      </c>
      <c r="D196" s="1">
        <f>IFERROR(__xludf.DUMMYFUNCTION("""COMPUTED_VALUE"""),105.46)</f>
        <v>105.46</v>
      </c>
      <c r="E196" s="1">
        <f>IFERROR(__xludf.DUMMYFUNCTION("""COMPUTED_VALUE"""),106.3)</f>
        <v>106.3</v>
      </c>
      <c r="F196" s="1">
        <f>IFERROR(__xludf.DUMMYFUNCTION("""COMPUTED_VALUE"""),2613824.0)</f>
        <v>2613824</v>
      </c>
      <c r="G196" s="2" t="s">
        <v>6</v>
      </c>
    </row>
    <row r="197">
      <c r="A197" s="3">
        <f>IFERROR(__xludf.DUMMYFUNCTION("""COMPUTED_VALUE"""),44846.66666666667)</f>
        <v>44846.66667</v>
      </c>
      <c r="B197" s="1">
        <f>IFERROR(__xludf.DUMMYFUNCTION("""COMPUTED_VALUE"""),106.22)</f>
        <v>106.22</v>
      </c>
      <c r="C197" s="1">
        <f>IFERROR(__xludf.DUMMYFUNCTION("""COMPUTED_VALUE"""),106.34)</f>
        <v>106.34</v>
      </c>
      <c r="D197" s="1">
        <f>IFERROR(__xludf.DUMMYFUNCTION("""COMPUTED_VALUE"""),102.97)</f>
        <v>102.97</v>
      </c>
      <c r="E197" s="1">
        <f>IFERROR(__xludf.DUMMYFUNCTION("""COMPUTED_VALUE"""),103.01)</f>
        <v>103.01</v>
      </c>
      <c r="F197" s="1">
        <f>IFERROR(__xludf.DUMMYFUNCTION("""COMPUTED_VALUE"""),2153005.0)</f>
        <v>2153005</v>
      </c>
      <c r="G197" s="2" t="s">
        <v>6</v>
      </c>
    </row>
    <row r="198">
      <c r="A198" s="3">
        <f>IFERROR(__xludf.DUMMYFUNCTION("""COMPUTED_VALUE"""),44847.66666666667)</f>
        <v>44847.66667</v>
      </c>
      <c r="B198" s="1">
        <f>IFERROR(__xludf.DUMMYFUNCTION("""COMPUTED_VALUE"""),101.87)</f>
        <v>101.87</v>
      </c>
      <c r="C198" s="1">
        <f>IFERROR(__xludf.DUMMYFUNCTION("""COMPUTED_VALUE"""),106.81)</f>
        <v>106.81</v>
      </c>
      <c r="D198" s="1">
        <f>IFERROR(__xludf.DUMMYFUNCTION("""COMPUTED_VALUE"""),100.64)</f>
        <v>100.64</v>
      </c>
      <c r="E198" s="1">
        <f>IFERROR(__xludf.DUMMYFUNCTION("""COMPUTED_VALUE"""),106.51)</f>
        <v>106.51</v>
      </c>
      <c r="F198" s="1">
        <f>IFERROR(__xludf.DUMMYFUNCTION("""COMPUTED_VALUE"""),3531035.0)</f>
        <v>3531035</v>
      </c>
      <c r="G198" s="2" t="s">
        <v>6</v>
      </c>
    </row>
    <row r="199">
      <c r="A199" s="3">
        <f>IFERROR(__xludf.DUMMYFUNCTION("""COMPUTED_VALUE"""),44848.66666666667)</f>
        <v>44848.66667</v>
      </c>
      <c r="B199" s="1">
        <f>IFERROR(__xludf.DUMMYFUNCTION("""COMPUTED_VALUE"""),107.52)</f>
        <v>107.52</v>
      </c>
      <c r="C199" s="1">
        <f>IFERROR(__xludf.DUMMYFUNCTION("""COMPUTED_VALUE"""),108.19)</f>
        <v>108.19</v>
      </c>
      <c r="D199" s="1">
        <f>IFERROR(__xludf.DUMMYFUNCTION("""COMPUTED_VALUE"""),103.69)</f>
        <v>103.69</v>
      </c>
      <c r="E199" s="1">
        <f>IFERROR(__xludf.DUMMYFUNCTION("""COMPUTED_VALUE"""),104.5)</f>
        <v>104.5</v>
      </c>
      <c r="F199" s="1">
        <f>IFERROR(__xludf.DUMMYFUNCTION("""COMPUTED_VALUE"""),2768629.0)</f>
        <v>2768629</v>
      </c>
      <c r="G199" s="2" t="s">
        <v>6</v>
      </c>
    </row>
    <row r="200">
      <c r="A200" s="3">
        <f>IFERROR(__xludf.DUMMYFUNCTION("""COMPUTED_VALUE"""),44851.66666666667)</f>
        <v>44851.66667</v>
      </c>
      <c r="B200" s="1">
        <f>IFERROR(__xludf.DUMMYFUNCTION("""COMPUTED_VALUE"""),105.91)</f>
        <v>105.91</v>
      </c>
      <c r="C200" s="1">
        <f>IFERROR(__xludf.DUMMYFUNCTION("""COMPUTED_VALUE"""),107.8)</f>
        <v>107.8</v>
      </c>
      <c r="D200" s="1">
        <f>IFERROR(__xludf.DUMMYFUNCTION("""COMPUTED_VALUE"""),105.88)</f>
        <v>105.88</v>
      </c>
      <c r="E200" s="1">
        <f>IFERROR(__xludf.DUMMYFUNCTION("""COMPUTED_VALUE"""),107.0)</f>
        <v>107</v>
      </c>
      <c r="F200" s="1">
        <f>IFERROR(__xludf.DUMMYFUNCTION("""COMPUTED_VALUE"""),1947359.0)</f>
        <v>1947359</v>
      </c>
      <c r="G200" s="2" t="s">
        <v>6</v>
      </c>
    </row>
    <row r="201">
      <c r="A201" s="3">
        <f>IFERROR(__xludf.DUMMYFUNCTION("""COMPUTED_VALUE"""),44852.66666666667)</f>
        <v>44852.66667</v>
      </c>
      <c r="B201" s="1">
        <f>IFERROR(__xludf.DUMMYFUNCTION("""COMPUTED_VALUE"""),108.48)</f>
        <v>108.48</v>
      </c>
      <c r="C201" s="1">
        <f>IFERROR(__xludf.DUMMYFUNCTION("""COMPUTED_VALUE"""),110.13)</f>
        <v>110.13</v>
      </c>
      <c r="D201" s="1">
        <f>IFERROR(__xludf.DUMMYFUNCTION("""COMPUTED_VALUE"""),108.19)</f>
        <v>108.19</v>
      </c>
      <c r="E201" s="1">
        <f>IFERROR(__xludf.DUMMYFUNCTION("""COMPUTED_VALUE"""),109.89)</f>
        <v>109.89</v>
      </c>
      <c r="F201" s="1">
        <f>IFERROR(__xludf.DUMMYFUNCTION("""COMPUTED_VALUE"""),2536425.0)</f>
        <v>2536425</v>
      </c>
      <c r="G201" s="2" t="s">
        <v>6</v>
      </c>
    </row>
    <row r="202">
      <c r="A202" s="3">
        <f>IFERROR(__xludf.DUMMYFUNCTION("""COMPUTED_VALUE"""),44853.66666666667)</f>
        <v>44853.66667</v>
      </c>
      <c r="B202" s="1">
        <f>IFERROR(__xludf.DUMMYFUNCTION("""COMPUTED_VALUE"""),108.48)</f>
        <v>108.48</v>
      </c>
      <c r="C202" s="1">
        <f>IFERROR(__xludf.DUMMYFUNCTION("""COMPUTED_VALUE"""),109.47)</f>
        <v>109.47</v>
      </c>
      <c r="D202" s="1">
        <f>IFERROR(__xludf.DUMMYFUNCTION("""COMPUTED_VALUE"""),107.77)</f>
        <v>107.77</v>
      </c>
      <c r="E202" s="1">
        <f>IFERROR(__xludf.DUMMYFUNCTION("""COMPUTED_VALUE"""),108.63)</f>
        <v>108.63</v>
      </c>
      <c r="F202" s="1">
        <f>IFERROR(__xludf.DUMMYFUNCTION("""COMPUTED_VALUE"""),1606518.0)</f>
        <v>1606518</v>
      </c>
      <c r="G202" s="2" t="s">
        <v>6</v>
      </c>
    </row>
    <row r="203">
      <c r="A203" s="3">
        <f>IFERROR(__xludf.DUMMYFUNCTION("""COMPUTED_VALUE"""),44854.66666666667)</f>
        <v>44854.66667</v>
      </c>
      <c r="B203" s="1">
        <f>IFERROR(__xludf.DUMMYFUNCTION("""COMPUTED_VALUE"""),108.53)</f>
        <v>108.53</v>
      </c>
      <c r="C203" s="1">
        <f>IFERROR(__xludf.DUMMYFUNCTION("""COMPUTED_VALUE"""),108.53)</f>
        <v>108.53</v>
      </c>
      <c r="D203" s="1">
        <f>IFERROR(__xludf.DUMMYFUNCTION("""COMPUTED_VALUE"""),105.39)</f>
        <v>105.39</v>
      </c>
      <c r="E203" s="1">
        <f>IFERROR(__xludf.DUMMYFUNCTION("""COMPUTED_VALUE"""),105.89)</f>
        <v>105.89</v>
      </c>
      <c r="F203" s="1">
        <f>IFERROR(__xludf.DUMMYFUNCTION("""COMPUTED_VALUE"""),2015212.0)</f>
        <v>2015212</v>
      </c>
      <c r="G203" s="2" t="s">
        <v>6</v>
      </c>
    </row>
    <row r="204">
      <c r="A204" s="3">
        <f>IFERROR(__xludf.DUMMYFUNCTION("""COMPUTED_VALUE"""),44855.66666666667)</f>
        <v>44855.66667</v>
      </c>
      <c r="B204" s="1">
        <f>IFERROR(__xludf.DUMMYFUNCTION("""COMPUTED_VALUE"""),106.24)</f>
        <v>106.24</v>
      </c>
      <c r="C204" s="1">
        <f>IFERROR(__xludf.DUMMYFUNCTION("""COMPUTED_VALUE"""),107.86)</f>
        <v>107.86</v>
      </c>
      <c r="D204" s="1">
        <f>IFERROR(__xludf.DUMMYFUNCTION("""COMPUTED_VALUE"""),105.07)</f>
        <v>105.07</v>
      </c>
      <c r="E204" s="1">
        <f>IFERROR(__xludf.DUMMYFUNCTION("""COMPUTED_VALUE"""),107.45)</f>
        <v>107.45</v>
      </c>
      <c r="F204" s="1">
        <f>IFERROR(__xludf.DUMMYFUNCTION("""COMPUTED_VALUE"""),2774847.0)</f>
        <v>2774847</v>
      </c>
      <c r="G204" s="2" t="s">
        <v>6</v>
      </c>
    </row>
    <row r="205">
      <c r="A205" s="3">
        <f>IFERROR(__xludf.DUMMYFUNCTION("""COMPUTED_VALUE"""),44858.66666666667)</f>
        <v>44858.66667</v>
      </c>
      <c r="B205" s="1">
        <f>IFERROR(__xludf.DUMMYFUNCTION("""COMPUTED_VALUE"""),107.95)</f>
        <v>107.95</v>
      </c>
      <c r="C205" s="1">
        <f>IFERROR(__xludf.DUMMYFUNCTION("""COMPUTED_VALUE"""),108.67)</f>
        <v>108.67</v>
      </c>
      <c r="D205" s="1">
        <f>IFERROR(__xludf.DUMMYFUNCTION("""COMPUTED_VALUE"""),106.24)</f>
        <v>106.24</v>
      </c>
      <c r="E205" s="1">
        <f>IFERROR(__xludf.DUMMYFUNCTION("""COMPUTED_VALUE"""),107.5)</f>
        <v>107.5</v>
      </c>
      <c r="F205" s="1">
        <f>IFERROR(__xludf.DUMMYFUNCTION("""COMPUTED_VALUE"""),2037085.0)</f>
        <v>2037085</v>
      </c>
      <c r="G205" s="2" t="s">
        <v>6</v>
      </c>
    </row>
    <row r="206">
      <c r="A206" s="3">
        <f>IFERROR(__xludf.DUMMYFUNCTION("""COMPUTED_VALUE"""),44859.66666666667)</f>
        <v>44859.66667</v>
      </c>
      <c r="B206" s="1">
        <f>IFERROR(__xludf.DUMMYFUNCTION("""COMPUTED_VALUE"""),107.54)</f>
        <v>107.54</v>
      </c>
      <c r="C206" s="1">
        <f>IFERROR(__xludf.DUMMYFUNCTION("""COMPUTED_VALUE"""),109.37)</f>
        <v>109.37</v>
      </c>
      <c r="D206" s="1">
        <f>IFERROR(__xludf.DUMMYFUNCTION("""COMPUTED_VALUE"""),107.21)</f>
        <v>107.21</v>
      </c>
      <c r="E206" s="1">
        <f>IFERROR(__xludf.DUMMYFUNCTION("""COMPUTED_VALUE"""),109.13)</f>
        <v>109.13</v>
      </c>
      <c r="F206" s="1">
        <f>IFERROR(__xludf.DUMMYFUNCTION("""COMPUTED_VALUE"""),2279899.0)</f>
        <v>2279899</v>
      </c>
      <c r="G206" s="2" t="s">
        <v>6</v>
      </c>
    </row>
    <row r="207">
      <c r="A207" s="3">
        <f>IFERROR(__xludf.DUMMYFUNCTION("""COMPUTED_VALUE"""),44860.66666666667)</f>
        <v>44860.66667</v>
      </c>
      <c r="B207" s="1">
        <f>IFERROR(__xludf.DUMMYFUNCTION("""COMPUTED_VALUE"""),109.87)</f>
        <v>109.87</v>
      </c>
      <c r="C207" s="1">
        <f>IFERROR(__xludf.DUMMYFUNCTION("""COMPUTED_VALUE"""),110.02)</f>
        <v>110.02</v>
      </c>
      <c r="D207" s="1">
        <f>IFERROR(__xludf.DUMMYFUNCTION("""COMPUTED_VALUE"""),108.46)</f>
        <v>108.46</v>
      </c>
      <c r="E207" s="1">
        <f>IFERROR(__xludf.DUMMYFUNCTION("""COMPUTED_VALUE"""),109.23)</f>
        <v>109.23</v>
      </c>
      <c r="F207" s="1">
        <f>IFERROR(__xludf.DUMMYFUNCTION("""COMPUTED_VALUE"""),1845050.0)</f>
        <v>1845050</v>
      </c>
      <c r="G207" s="2" t="s">
        <v>6</v>
      </c>
    </row>
    <row r="208">
      <c r="A208" s="3">
        <f>IFERROR(__xludf.DUMMYFUNCTION("""COMPUTED_VALUE"""),44861.66666666667)</f>
        <v>44861.66667</v>
      </c>
      <c r="B208" s="1">
        <f>IFERROR(__xludf.DUMMYFUNCTION("""COMPUTED_VALUE"""),109.78)</f>
        <v>109.78</v>
      </c>
      <c r="C208" s="1">
        <f>IFERROR(__xludf.DUMMYFUNCTION("""COMPUTED_VALUE"""),112.12)</f>
        <v>112.12</v>
      </c>
      <c r="D208" s="1">
        <f>IFERROR(__xludf.DUMMYFUNCTION("""COMPUTED_VALUE"""),108.94)</f>
        <v>108.94</v>
      </c>
      <c r="E208" s="1">
        <f>IFERROR(__xludf.DUMMYFUNCTION("""COMPUTED_VALUE"""),109.28)</f>
        <v>109.28</v>
      </c>
      <c r="F208" s="1">
        <f>IFERROR(__xludf.DUMMYFUNCTION("""COMPUTED_VALUE"""),2611032.0)</f>
        <v>2611032</v>
      </c>
      <c r="G208" s="2" t="s">
        <v>6</v>
      </c>
    </row>
    <row r="209">
      <c r="A209" s="3">
        <f>IFERROR(__xludf.DUMMYFUNCTION("""COMPUTED_VALUE"""),44862.66666666667)</f>
        <v>44862.66667</v>
      </c>
      <c r="B209" s="1">
        <f>IFERROR(__xludf.DUMMYFUNCTION("""COMPUTED_VALUE"""),109.64)</f>
        <v>109.64</v>
      </c>
      <c r="C209" s="1">
        <f>IFERROR(__xludf.DUMMYFUNCTION("""COMPUTED_VALUE"""),113.88)</f>
        <v>113.88</v>
      </c>
      <c r="D209" s="1">
        <f>IFERROR(__xludf.DUMMYFUNCTION("""COMPUTED_VALUE"""),109.33)</f>
        <v>109.33</v>
      </c>
      <c r="E209" s="1">
        <f>IFERROR(__xludf.DUMMYFUNCTION("""COMPUTED_VALUE"""),113.64)</f>
        <v>113.64</v>
      </c>
      <c r="F209" s="1">
        <f>IFERROR(__xludf.DUMMYFUNCTION("""COMPUTED_VALUE"""),1584751.0)</f>
        <v>1584751</v>
      </c>
      <c r="G209" s="2" t="s">
        <v>6</v>
      </c>
    </row>
    <row r="210">
      <c r="A210" s="3">
        <f>IFERROR(__xludf.DUMMYFUNCTION("""COMPUTED_VALUE"""),44865.66666666667)</f>
        <v>44865.66667</v>
      </c>
      <c r="B210" s="1">
        <f>IFERROR(__xludf.DUMMYFUNCTION("""COMPUTED_VALUE"""),113.31)</f>
        <v>113.31</v>
      </c>
      <c r="C210" s="1">
        <f>IFERROR(__xludf.DUMMYFUNCTION("""COMPUTED_VALUE"""),113.35)</f>
        <v>113.35</v>
      </c>
      <c r="D210" s="1">
        <f>IFERROR(__xludf.DUMMYFUNCTION("""COMPUTED_VALUE"""),111.34)</f>
        <v>111.34</v>
      </c>
      <c r="E210" s="1">
        <f>IFERROR(__xludf.DUMMYFUNCTION("""COMPUTED_VALUE"""),112.11)</f>
        <v>112.11</v>
      </c>
      <c r="F210" s="1">
        <f>IFERROR(__xludf.DUMMYFUNCTION("""COMPUTED_VALUE"""),2481298.0)</f>
        <v>2481298</v>
      </c>
      <c r="G210" s="2" t="s">
        <v>6</v>
      </c>
    </row>
    <row r="211">
      <c r="A211" s="3">
        <f>IFERROR(__xludf.DUMMYFUNCTION("""COMPUTED_VALUE"""),44866.66666666667)</f>
        <v>44866.66667</v>
      </c>
      <c r="B211" s="1">
        <f>IFERROR(__xludf.DUMMYFUNCTION("""COMPUTED_VALUE"""),112.67)</f>
        <v>112.67</v>
      </c>
      <c r="C211" s="1">
        <f>IFERROR(__xludf.DUMMYFUNCTION("""COMPUTED_VALUE"""),113.53)</f>
        <v>113.53</v>
      </c>
      <c r="D211" s="1">
        <f>IFERROR(__xludf.DUMMYFUNCTION("""COMPUTED_VALUE"""),111.79)</f>
        <v>111.79</v>
      </c>
      <c r="E211" s="1">
        <f>IFERROR(__xludf.DUMMYFUNCTION("""COMPUTED_VALUE"""),112.53)</f>
        <v>112.53</v>
      </c>
      <c r="F211" s="1">
        <f>IFERROR(__xludf.DUMMYFUNCTION("""COMPUTED_VALUE"""),1221604.0)</f>
        <v>1221604</v>
      </c>
      <c r="G211" s="2" t="s">
        <v>6</v>
      </c>
    </row>
    <row r="212">
      <c r="A212" s="3">
        <f>IFERROR(__xludf.DUMMYFUNCTION("""COMPUTED_VALUE"""),44867.66666666667)</f>
        <v>44867.66667</v>
      </c>
      <c r="B212" s="1">
        <f>IFERROR(__xludf.DUMMYFUNCTION("""COMPUTED_VALUE"""),112.23)</f>
        <v>112.23</v>
      </c>
      <c r="C212" s="1">
        <f>IFERROR(__xludf.DUMMYFUNCTION("""COMPUTED_VALUE"""),113.69)</f>
        <v>113.69</v>
      </c>
      <c r="D212" s="1">
        <f>IFERROR(__xludf.DUMMYFUNCTION("""COMPUTED_VALUE"""),110.87)</f>
        <v>110.87</v>
      </c>
      <c r="E212" s="1">
        <f>IFERROR(__xludf.DUMMYFUNCTION("""COMPUTED_VALUE"""),111.02)</f>
        <v>111.02</v>
      </c>
      <c r="F212" s="1">
        <f>IFERROR(__xludf.DUMMYFUNCTION("""COMPUTED_VALUE"""),1854366.0)</f>
        <v>1854366</v>
      </c>
      <c r="G212" s="2" t="s">
        <v>6</v>
      </c>
    </row>
    <row r="213">
      <c r="A213" s="3">
        <f>IFERROR(__xludf.DUMMYFUNCTION("""COMPUTED_VALUE"""),44868.66666666667)</f>
        <v>44868.66667</v>
      </c>
      <c r="B213" s="1">
        <f>IFERROR(__xludf.DUMMYFUNCTION("""COMPUTED_VALUE"""),110.24)</f>
        <v>110.24</v>
      </c>
      <c r="C213" s="1">
        <f>IFERROR(__xludf.DUMMYFUNCTION("""COMPUTED_VALUE"""),112.75)</f>
        <v>112.75</v>
      </c>
      <c r="D213" s="1">
        <f>IFERROR(__xludf.DUMMYFUNCTION("""COMPUTED_VALUE"""),109.12)</f>
        <v>109.12</v>
      </c>
      <c r="E213" s="1">
        <f>IFERROR(__xludf.DUMMYFUNCTION("""COMPUTED_VALUE"""),111.86)</f>
        <v>111.86</v>
      </c>
      <c r="F213" s="1">
        <f>IFERROR(__xludf.DUMMYFUNCTION("""COMPUTED_VALUE"""),978348.0)</f>
        <v>978348</v>
      </c>
      <c r="G213" s="2" t="s">
        <v>6</v>
      </c>
    </row>
    <row r="214">
      <c r="A214" s="3">
        <f>IFERROR(__xludf.DUMMYFUNCTION("""COMPUTED_VALUE"""),44869.66666666667)</f>
        <v>44869.66667</v>
      </c>
      <c r="B214" s="1">
        <f>IFERROR(__xludf.DUMMYFUNCTION("""COMPUTED_VALUE"""),112.06)</f>
        <v>112.06</v>
      </c>
      <c r="C214" s="1">
        <f>IFERROR(__xludf.DUMMYFUNCTION("""COMPUTED_VALUE"""),113.07)</f>
        <v>113.07</v>
      </c>
      <c r="D214" s="1">
        <f>IFERROR(__xludf.DUMMYFUNCTION("""COMPUTED_VALUE"""),110.93)</f>
        <v>110.93</v>
      </c>
      <c r="E214" s="1">
        <f>IFERROR(__xludf.DUMMYFUNCTION("""COMPUTED_VALUE"""),112.39)</f>
        <v>112.39</v>
      </c>
      <c r="F214" s="1">
        <f>IFERROR(__xludf.DUMMYFUNCTION("""COMPUTED_VALUE"""),2148923.0)</f>
        <v>2148923</v>
      </c>
      <c r="G214" s="2" t="s">
        <v>6</v>
      </c>
    </row>
    <row r="215">
      <c r="A215" s="3">
        <f>IFERROR(__xludf.DUMMYFUNCTION("""COMPUTED_VALUE"""),44872.66666666667)</f>
        <v>44872.66667</v>
      </c>
      <c r="B215" s="1">
        <f>IFERROR(__xludf.DUMMYFUNCTION("""COMPUTED_VALUE"""),112.47)</f>
        <v>112.47</v>
      </c>
      <c r="C215" s="1">
        <f>IFERROR(__xludf.DUMMYFUNCTION("""COMPUTED_VALUE"""),112.74)</f>
        <v>112.74</v>
      </c>
      <c r="D215" s="1">
        <f>IFERROR(__xludf.DUMMYFUNCTION("""COMPUTED_VALUE"""),109.28)</f>
        <v>109.28</v>
      </c>
      <c r="E215" s="1">
        <f>IFERROR(__xludf.DUMMYFUNCTION("""COMPUTED_VALUE"""),110.67)</f>
        <v>110.67</v>
      </c>
      <c r="F215" s="1">
        <f>IFERROR(__xludf.DUMMYFUNCTION("""COMPUTED_VALUE"""),939620.0)</f>
        <v>939620</v>
      </c>
      <c r="G215" s="2" t="s">
        <v>6</v>
      </c>
    </row>
    <row r="216">
      <c r="A216" s="3">
        <f>IFERROR(__xludf.DUMMYFUNCTION("""COMPUTED_VALUE"""),44873.66666666667)</f>
        <v>44873.66667</v>
      </c>
      <c r="B216" s="1">
        <f>IFERROR(__xludf.DUMMYFUNCTION("""COMPUTED_VALUE"""),111.38)</f>
        <v>111.38</v>
      </c>
      <c r="C216" s="1">
        <f>IFERROR(__xludf.DUMMYFUNCTION("""COMPUTED_VALUE"""),112.15)</f>
        <v>112.15</v>
      </c>
      <c r="D216" s="1">
        <f>IFERROR(__xludf.DUMMYFUNCTION("""COMPUTED_VALUE"""),110.6)</f>
        <v>110.6</v>
      </c>
      <c r="E216" s="1">
        <f>IFERROR(__xludf.DUMMYFUNCTION("""COMPUTED_VALUE"""),111.25)</f>
        <v>111.25</v>
      </c>
      <c r="F216" s="1">
        <f>IFERROR(__xludf.DUMMYFUNCTION("""COMPUTED_VALUE"""),1471808.0)</f>
        <v>1471808</v>
      </c>
      <c r="G216" s="2" t="s">
        <v>6</v>
      </c>
    </row>
    <row r="217">
      <c r="A217" s="3">
        <f>IFERROR(__xludf.DUMMYFUNCTION("""COMPUTED_VALUE"""),44874.66666666667)</f>
        <v>44874.66667</v>
      </c>
      <c r="B217" s="1">
        <f>IFERROR(__xludf.DUMMYFUNCTION("""COMPUTED_VALUE"""),111.25)</f>
        <v>111.25</v>
      </c>
      <c r="C217" s="1">
        <f>IFERROR(__xludf.DUMMYFUNCTION("""COMPUTED_VALUE"""),111.57)</f>
        <v>111.57</v>
      </c>
      <c r="D217" s="1">
        <f>IFERROR(__xludf.DUMMYFUNCTION("""COMPUTED_VALUE"""),110.51)</f>
        <v>110.51</v>
      </c>
      <c r="E217" s="1">
        <f>IFERROR(__xludf.DUMMYFUNCTION("""COMPUTED_VALUE"""),110.77)</f>
        <v>110.77</v>
      </c>
      <c r="F217" s="1">
        <f>IFERROR(__xludf.DUMMYFUNCTION("""COMPUTED_VALUE"""),1252911.0)</f>
        <v>1252911</v>
      </c>
      <c r="G217" s="2" t="s">
        <v>6</v>
      </c>
    </row>
    <row r="218">
      <c r="A218" s="3">
        <f>IFERROR(__xludf.DUMMYFUNCTION("""COMPUTED_VALUE"""),44875.66666666667)</f>
        <v>44875.66667</v>
      </c>
      <c r="B218" s="1">
        <f>IFERROR(__xludf.DUMMYFUNCTION("""COMPUTED_VALUE"""),113.6)</f>
        <v>113.6</v>
      </c>
      <c r="C218" s="1">
        <f>IFERROR(__xludf.DUMMYFUNCTION("""COMPUTED_VALUE"""),115.77)</f>
        <v>115.77</v>
      </c>
      <c r="D218" s="1">
        <f>IFERROR(__xludf.DUMMYFUNCTION("""COMPUTED_VALUE"""),111.38)</f>
        <v>111.38</v>
      </c>
      <c r="E218" s="1">
        <f>IFERROR(__xludf.DUMMYFUNCTION("""COMPUTED_VALUE"""),115.54)</f>
        <v>115.54</v>
      </c>
      <c r="F218" s="1">
        <f>IFERROR(__xludf.DUMMYFUNCTION("""COMPUTED_VALUE"""),1872303.0)</f>
        <v>1872303</v>
      </c>
      <c r="G218" s="2" t="s">
        <v>6</v>
      </c>
    </row>
    <row r="219">
      <c r="A219" s="3">
        <f>IFERROR(__xludf.DUMMYFUNCTION("""COMPUTED_VALUE"""),44876.66666666667)</f>
        <v>44876.66667</v>
      </c>
      <c r="B219" s="1">
        <f>IFERROR(__xludf.DUMMYFUNCTION("""COMPUTED_VALUE"""),116.1)</f>
        <v>116.1</v>
      </c>
      <c r="C219" s="1">
        <f>IFERROR(__xludf.DUMMYFUNCTION("""COMPUTED_VALUE"""),116.64)</f>
        <v>116.64</v>
      </c>
      <c r="D219" s="1">
        <f>IFERROR(__xludf.DUMMYFUNCTION("""COMPUTED_VALUE"""),113.18)</f>
        <v>113.18</v>
      </c>
      <c r="E219" s="1">
        <f>IFERROR(__xludf.DUMMYFUNCTION("""COMPUTED_VALUE"""),114.26)</f>
        <v>114.26</v>
      </c>
      <c r="F219" s="1">
        <f>IFERROR(__xludf.DUMMYFUNCTION("""COMPUTED_VALUE"""),1434031.0)</f>
        <v>1434031</v>
      </c>
      <c r="G219" s="2" t="s">
        <v>6</v>
      </c>
    </row>
    <row r="220">
      <c r="A220" s="3">
        <f>IFERROR(__xludf.DUMMYFUNCTION("""COMPUTED_VALUE"""),44879.66666666667)</f>
        <v>44879.66667</v>
      </c>
      <c r="B220" s="1">
        <f>IFERROR(__xludf.DUMMYFUNCTION("""COMPUTED_VALUE"""),114.57)</f>
        <v>114.57</v>
      </c>
      <c r="C220" s="1">
        <f>IFERROR(__xludf.DUMMYFUNCTION("""COMPUTED_VALUE"""),115.63)</f>
        <v>115.63</v>
      </c>
      <c r="D220" s="1">
        <f>IFERROR(__xludf.DUMMYFUNCTION("""COMPUTED_VALUE"""),112.88)</f>
        <v>112.88</v>
      </c>
      <c r="E220" s="1">
        <f>IFERROR(__xludf.DUMMYFUNCTION("""COMPUTED_VALUE"""),113.05)</f>
        <v>113.05</v>
      </c>
      <c r="F220" s="1">
        <f>IFERROR(__xludf.DUMMYFUNCTION("""COMPUTED_VALUE"""),1859659.0)</f>
        <v>1859659</v>
      </c>
      <c r="G220" s="2" t="s">
        <v>6</v>
      </c>
    </row>
    <row r="221">
      <c r="A221" s="3">
        <f>IFERROR(__xludf.DUMMYFUNCTION("""COMPUTED_VALUE"""),44880.66666666667)</f>
        <v>44880.66667</v>
      </c>
      <c r="B221" s="1">
        <f>IFERROR(__xludf.DUMMYFUNCTION("""COMPUTED_VALUE"""),114.2)</f>
        <v>114.2</v>
      </c>
      <c r="C221" s="1">
        <f>IFERROR(__xludf.DUMMYFUNCTION("""COMPUTED_VALUE"""),115.22)</f>
        <v>115.22</v>
      </c>
      <c r="D221" s="1">
        <f>IFERROR(__xludf.DUMMYFUNCTION("""COMPUTED_VALUE"""),113.05)</f>
        <v>113.05</v>
      </c>
      <c r="E221" s="1">
        <f>IFERROR(__xludf.DUMMYFUNCTION("""COMPUTED_VALUE"""),114.48)</f>
        <v>114.48</v>
      </c>
      <c r="F221" s="1">
        <f>IFERROR(__xludf.DUMMYFUNCTION("""COMPUTED_VALUE"""),1260126.0)</f>
        <v>1260126</v>
      </c>
      <c r="G221" s="2" t="s">
        <v>6</v>
      </c>
    </row>
    <row r="222">
      <c r="A222" s="3">
        <f>IFERROR(__xludf.DUMMYFUNCTION("""COMPUTED_VALUE"""),44881.66666666667)</f>
        <v>44881.66667</v>
      </c>
      <c r="B222" s="1">
        <f>IFERROR(__xludf.DUMMYFUNCTION("""COMPUTED_VALUE"""),114.48)</f>
        <v>114.48</v>
      </c>
      <c r="C222" s="1">
        <f>IFERROR(__xludf.DUMMYFUNCTION("""COMPUTED_VALUE"""),115.99)</f>
        <v>115.99</v>
      </c>
      <c r="D222" s="1">
        <f>IFERROR(__xludf.DUMMYFUNCTION("""COMPUTED_VALUE"""),114.43)</f>
        <v>114.43</v>
      </c>
      <c r="E222" s="1">
        <f>IFERROR(__xludf.DUMMYFUNCTION("""COMPUTED_VALUE"""),115.18)</f>
        <v>115.18</v>
      </c>
      <c r="F222" s="1">
        <f>IFERROR(__xludf.DUMMYFUNCTION("""COMPUTED_VALUE"""),1618451.0)</f>
        <v>1618451</v>
      </c>
      <c r="G222" s="2" t="s">
        <v>6</v>
      </c>
    </row>
    <row r="223">
      <c r="A223" s="3">
        <f>IFERROR(__xludf.DUMMYFUNCTION("""COMPUTED_VALUE"""),44882.66666666667)</f>
        <v>44882.66667</v>
      </c>
      <c r="B223" s="1">
        <f>IFERROR(__xludf.DUMMYFUNCTION("""COMPUTED_VALUE"""),114.02)</f>
        <v>114.02</v>
      </c>
      <c r="C223" s="1">
        <f>IFERROR(__xludf.DUMMYFUNCTION("""COMPUTED_VALUE"""),114.41)</f>
        <v>114.41</v>
      </c>
      <c r="D223" s="1">
        <f>IFERROR(__xludf.DUMMYFUNCTION("""COMPUTED_VALUE"""),112.8)</f>
        <v>112.8</v>
      </c>
      <c r="E223" s="1">
        <f>IFERROR(__xludf.DUMMYFUNCTION("""COMPUTED_VALUE"""),113.24)</f>
        <v>113.24</v>
      </c>
      <c r="F223" s="1">
        <f>IFERROR(__xludf.DUMMYFUNCTION("""COMPUTED_VALUE"""),1464159.0)</f>
        <v>1464159</v>
      </c>
      <c r="G223" s="2" t="s">
        <v>6</v>
      </c>
    </row>
    <row r="224">
      <c r="A224" s="3">
        <f>IFERROR(__xludf.DUMMYFUNCTION("""COMPUTED_VALUE"""),44883.66666666667)</f>
        <v>44883.66667</v>
      </c>
      <c r="B224" s="1">
        <f>IFERROR(__xludf.DUMMYFUNCTION("""COMPUTED_VALUE"""),114.5)</f>
        <v>114.5</v>
      </c>
      <c r="C224" s="1">
        <f>IFERROR(__xludf.DUMMYFUNCTION("""COMPUTED_VALUE"""),116.5)</f>
        <v>116.5</v>
      </c>
      <c r="D224" s="1">
        <f>IFERROR(__xludf.DUMMYFUNCTION("""COMPUTED_VALUE"""),114.39)</f>
        <v>114.39</v>
      </c>
      <c r="E224" s="1">
        <f>IFERROR(__xludf.DUMMYFUNCTION("""COMPUTED_VALUE"""),114.6)</f>
        <v>114.6</v>
      </c>
      <c r="F224" s="1">
        <f>IFERROR(__xludf.DUMMYFUNCTION("""COMPUTED_VALUE"""),2300303.0)</f>
        <v>2300303</v>
      </c>
      <c r="G224" s="2" t="s">
        <v>6</v>
      </c>
    </row>
    <row r="225">
      <c r="A225" s="3">
        <f>IFERROR(__xludf.DUMMYFUNCTION("""COMPUTED_VALUE"""),44886.66666666667)</f>
        <v>44886.66667</v>
      </c>
      <c r="B225" s="1">
        <f>IFERROR(__xludf.DUMMYFUNCTION("""COMPUTED_VALUE"""),114.89)</f>
        <v>114.89</v>
      </c>
      <c r="C225" s="1">
        <f>IFERROR(__xludf.DUMMYFUNCTION("""COMPUTED_VALUE"""),114.89)</f>
        <v>114.89</v>
      </c>
      <c r="D225" s="1">
        <f>IFERROR(__xludf.DUMMYFUNCTION("""COMPUTED_VALUE"""),112.0)</f>
        <v>112</v>
      </c>
      <c r="E225" s="1">
        <f>IFERROR(__xludf.DUMMYFUNCTION("""COMPUTED_VALUE"""),113.0)</f>
        <v>113</v>
      </c>
      <c r="F225" s="1">
        <f>IFERROR(__xludf.DUMMYFUNCTION("""COMPUTED_VALUE"""),2967287.0)</f>
        <v>2967287</v>
      </c>
      <c r="G225" s="2" t="s">
        <v>6</v>
      </c>
    </row>
    <row r="226">
      <c r="A226" s="3">
        <f>IFERROR(__xludf.DUMMYFUNCTION("""COMPUTED_VALUE"""),44887.66666666667)</f>
        <v>44887.66667</v>
      </c>
      <c r="B226" s="1">
        <f>IFERROR(__xludf.DUMMYFUNCTION("""COMPUTED_VALUE"""),113.68)</f>
        <v>113.68</v>
      </c>
      <c r="C226" s="1">
        <f>IFERROR(__xludf.DUMMYFUNCTION("""COMPUTED_VALUE"""),114.9)</f>
        <v>114.9</v>
      </c>
      <c r="D226" s="1">
        <f>IFERROR(__xludf.DUMMYFUNCTION("""COMPUTED_VALUE"""),113.1)</f>
        <v>113.1</v>
      </c>
      <c r="E226" s="1">
        <f>IFERROR(__xludf.DUMMYFUNCTION("""COMPUTED_VALUE"""),113.67)</f>
        <v>113.67</v>
      </c>
      <c r="F226" s="1">
        <f>IFERROR(__xludf.DUMMYFUNCTION("""COMPUTED_VALUE"""),1425478.0)</f>
        <v>1425478</v>
      </c>
      <c r="G226" s="2" t="s">
        <v>6</v>
      </c>
    </row>
    <row r="227">
      <c r="A227" s="3">
        <f>IFERROR(__xludf.DUMMYFUNCTION("""COMPUTED_VALUE"""),44888.66666666667)</f>
        <v>44888.66667</v>
      </c>
      <c r="B227" s="1">
        <f>IFERROR(__xludf.DUMMYFUNCTION("""COMPUTED_VALUE"""),112.83)</f>
        <v>112.83</v>
      </c>
      <c r="C227" s="1">
        <f>IFERROR(__xludf.DUMMYFUNCTION("""COMPUTED_VALUE"""),114.53)</f>
        <v>114.53</v>
      </c>
      <c r="D227" s="1">
        <f>IFERROR(__xludf.DUMMYFUNCTION("""COMPUTED_VALUE"""),112.66)</f>
        <v>112.66</v>
      </c>
      <c r="E227" s="1">
        <f>IFERROR(__xludf.DUMMYFUNCTION("""COMPUTED_VALUE"""),114.49)</f>
        <v>114.49</v>
      </c>
      <c r="F227" s="1">
        <f>IFERROR(__xludf.DUMMYFUNCTION("""COMPUTED_VALUE"""),965979.0)</f>
        <v>965979</v>
      </c>
      <c r="G227" s="2" t="s">
        <v>6</v>
      </c>
    </row>
    <row r="228">
      <c r="A228" s="3">
        <f>IFERROR(__xludf.DUMMYFUNCTION("""COMPUTED_VALUE"""),44890.54166666667)</f>
        <v>44890.54167</v>
      </c>
      <c r="B228" s="1">
        <f>IFERROR(__xludf.DUMMYFUNCTION("""COMPUTED_VALUE"""),114.91)</f>
        <v>114.91</v>
      </c>
      <c r="C228" s="1">
        <f>IFERROR(__xludf.DUMMYFUNCTION("""COMPUTED_VALUE"""),115.42)</f>
        <v>115.42</v>
      </c>
      <c r="D228" s="1">
        <f>IFERROR(__xludf.DUMMYFUNCTION("""COMPUTED_VALUE"""),114.6)</f>
        <v>114.6</v>
      </c>
      <c r="E228" s="1">
        <f>IFERROR(__xludf.DUMMYFUNCTION("""COMPUTED_VALUE"""),114.78)</f>
        <v>114.78</v>
      </c>
      <c r="F228" s="1">
        <f>IFERROR(__xludf.DUMMYFUNCTION("""COMPUTED_VALUE"""),386971.0)</f>
        <v>386971</v>
      </c>
      <c r="G228" s="2" t="s">
        <v>6</v>
      </c>
    </row>
    <row r="229">
      <c r="A229" s="3">
        <f>IFERROR(__xludf.DUMMYFUNCTION("""COMPUTED_VALUE"""),44893.66666666667)</f>
        <v>44893.66667</v>
      </c>
      <c r="B229" s="1">
        <f>IFERROR(__xludf.DUMMYFUNCTION("""COMPUTED_VALUE"""),113.91)</f>
        <v>113.91</v>
      </c>
      <c r="C229" s="1">
        <f>IFERROR(__xludf.DUMMYFUNCTION("""COMPUTED_VALUE"""),115.72)</f>
        <v>115.72</v>
      </c>
      <c r="D229" s="1">
        <f>IFERROR(__xludf.DUMMYFUNCTION("""COMPUTED_VALUE"""),113.88)</f>
        <v>113.88</v>
      </c>
      <c r="E229" s="1">
        <f>IFERROR(__xludf.DUMMYFUNCTION("""COMPUTED_VALUE"""),115.3)</f>
        <v>115.3</v>
      </c>
      <c r="F229" s="1">
        <f>IFERROR(__xludf.DUMMYFUNCTION("""COMPUTED_VALUE"""),1965673.0)</f>
        <v>1965673</v>
      </c>
      <c r="G229" s="2" t="s">
        <v>6</v>
      </c>
    </row>
    <row r="230">
      <c r="A230" s="3">
        <f>IFERROR(__xludf.DUMMYFUNCTION("""COMPUTED_VALUE"""),44894.66666666667)</f>
        <v>44894.66667</v>
      </c>
      <c r="B230" s="1">
        <f>IFERROR(__xludf.DUMMYFUNCTION("""COMPUTED_VALUE"""),114.76)</f>
        <v>114.76</v>
      </c>
      <c r="C230" s="1">
        <f>IFERROR(__xludf.DUMMYFUNCTION("""COMPUTED_VALUE"""),115.29)</f>
        <v>115.29</v>
      </c>
      <c r="D230" s="1">
        <f>IFERROR(__xludf.DUMMYFUNCTION("""COMPUTED_VALUE"""),113.46)</f>
        <v>113.46</v>
      </c>
      <c r="E230" s="1">
        <f>IFERROR(__xludf.DUMMYFUNCTION("""COMPUTED_VALUE"""),114.13)</f>
        <v>114.13</v>
      </c>
      <c r="F230" s="1">
        <f>IFERROR(__xludf.DUMMYFUNCTION("""COMPUTED_VALUE"""),1209214.0)</f>
        <v>1209214</v>
      </c>
      <c r="G230" s="2" t="s">
        <v>6</v>
      </c>
    </row>
    <row r="231">
      <c r="A231" s="3">
        <f>IFERROR(__xludf.DUMMYFUNCTION("""COMPUTED_VALUE"""),44895.66666666667)</f>
        <v>44895.66667</v>
      </c>
      <c r="B231" s="1">
        <f>IFERROR(__xludf.DUMMYFUNCTION("""COMPUTED_VALUE"""),113.7)</f>
        <v>113.7</v>
      </c>
      <c r="C231" s="1">
        <f>IFERROR(__xludf.DUMMYFUNCTION("""COMPUTED_VALUE"""),116.5)</f>
        <v>116.5</v>
      </c>
      <c r="D231" s="1">
        <f>IFERROR(__xludf.DUMMYFUNCTION("""COMPUTED_VALUE"""),113.41)</f>
        <v>113.41</v>
      </c>
      <c r="E231" s="1">
        <f>IFERROR(__xludf.DUMMYFUNCTION("""COMPUTED_VALUE"""),116.01)</f>
        <v>116.01</v>
      </c>
      <c r="F231" s="1">
        <f>IFERROR(__xludf.DUMMYFUNCTION("""COMPUTED_VALUE"""),3527473.0)</f>
        <v>3527473</v>
      </c>
      <c r="G231" s="2" t="s">
        <v>6</v>
      </c>
    </row>
    <row r="232">
      <c r="A232" s="3">
        <f>IFERROR(__xludf.DUMMYFUNCTION("""COMPUTED_VALUE"""),44896.66666666667)</f>
        <v>44896.66667</v>
      </c>
      <c r="B232" s="1">
        <f>IFERROR(__xludf.DUMMYFUNCTION("""COMPUTED_VALUE"""),117.08)</f>
        <v>117.08</v>
      </c>
      <c r="C232" s="1">
        <f>IFERROR(__xludf.DUMMYFUNCTION("""COMPUTED_VALUE"""),118.25)</f>
        <v>118.25</v>
      </c>
      <c r="D232" s="1">
        <f>IFERROR(__xludf.DUMMYFUNCTION("""COMPUTED_VALUE"""),116.07)</f>
        <v>116.07</v>
      </c>
      <c r="E232" s="1">
        <f>IFERROR(__xludf.DUMMYFUNCTION("""COMPUTED_VALUE"""),116.12)</f>
        <v>116.12</v>
      </c>
      <c r="F232" s="1">
        <f>IFERROR(__xludf.DUMMYFUNCTION("""COMPUTED_VALUE"""),1971134.0)</f>
        <v>1971134</v>
      </c>
      <c r="G232" s="2" t="s">
        <v>6</v>
      </c>
    </row>
    <row r="233">
      <c r="A233" s="3">
        <f>IFERROR(__xludf.DUMMYFUNCTION("""COMPUTED_VALUE"""),44897.66666666667)</f>
        <v>44897.66667</v>
      </c>
      <c r="B233" s="1">
        <f>IFERROR(__xludf.DUMMYFUNCTION("""COMPUTED_VALUE"""),115.0)</f>
        <v>115</v>
      </c>
      <c r="C233" s="1">
        <f>IFERROR(__xludf.DUMMYFUNCTION("""COMPUTED_VALUE"""),115.3)</f>
        <v>115.3</v>
      </c>
      <c r="D233" s="1">
        <f>IFERROR(__xludf.DUMMYFUNCTION("""COMPUTED_VALUE"""),114.18)</f>
        <v>114.18</v>
      </c>
      <c r="E233" s="1">
        <f>IFERROR(__xludf.DUMMYFUNCTION("""COMPUTED_VALUE"""),115.06)</f>
        <v>115.06</v>
      </c>
      <c r="F233" s="1">
        <f>IFERROR(__xludf.DUMMYFUNCTION("""COMPUTED_VALUE"""),1320542.0)</f>
        <v>1320542</v>
      </c>
      <c r="G233" s="2" t="s">
        <v>6</v>
      </c>
    </row>
    <row r="234">
      <c r="A234" s="3">
        <f>IFERROR(__xludf.DUMMYFUNCTION("""COMPUTED_VALUE"""),44900.66666666667)</f>
        <v>44900.66667</v>
      </c>
      <c r="B234" s="1">
        <f>IFERROR(__xludf.DUMMYFUNCTION("""COMPUTED_VALUE"""),114.2)</f>
        <v>114.2</v>
      </c>
      <c r="C234" s="1">
        <f>IFERROR(__xludf.DUMMYFUNCTION("""COMPUTED_VALUE"""),115.2)</f>
        <v>115.2</v>
      </c>
      <c r="D234" s="1">
        <f>IFERROR(__xludf.DUMMYFUNCTION("""COMPUTED_VALUE"""),113.8)</f>
        <v>113.8</v>
      </c>
      <c r="E234" s="1">
        <f>IFERROR(__xludf.DUMMYFUNCTION("""COMPUTED_VALUE"""),114.06)</f>
        <v>114.06</v>
      </c>
      <c r="F234" s="1">
        <f>IFERROR(__xludf.DUMMYFUNCTION("""COMPUTED_VALUE"""),1798042.0)</f>
        <v>1798042</v>
      </c>
      <c r="G234" s="2" t="s">
        <v>6</v>
      </c>
    </row>
    <row r="235">
      <c r="A235" s="3">
        <f>IFERROR(__xludf.DUMMYFUNCTION("""COMPUTED_VALUE"""),44901.66666666667)</f>
        <v>44901.66667</v>
      </c>
      <c r="B235" s="1">
        <f>IFERROR(__xludf.DUMMYFUNCTION("""COMPUTED_VALUE"""),113.99)</f>
        <v>113.99</v>
      </c>
      <c r="C235" s="1">
        <f>IFERROR(__xludf.DUMMYFUNCTION("""COMPUTED_VALUE"""),115.98)</f>
        <v>115.98</v>
      </c>
      <c r="D235" s="1">
        <f>IFERROR(__xludf.DUMMYFUNCTION("""COMPUTED_VALUE"""),113.77)</f>
        <v>113.77</v>
      </c>
      <c r="E235" s="1">
        <f>IFERROR(__xludf.DUMMYFUNCTION("""COMPUTED_VALUE"""),115.87)</f>
        <v>115.87</v>
      </c>
      <c r="F235" s="1">
        <f>IFERROR(__xludf.DUMMYFUNCTION("""COMPUTED_VALUE"""),1325318.0)</f>
        <v>1325318</v>
      </c>
      <c r="G235" s="2" t="s">
        <v>6</v>
      </c>
    </row>
    <row r="236">
      <c r="A236" s="3">
        <f>IFERROR(__xludf.DUMMYFUNCTION("""COMPUTED_VALUE"""),44902.66666666667)</f>
        <v>44902.66667</v>
      </c>
      <c r="B236" s="1">
        <f>IFERROR(__xludf.DUMMYFUNCTION("""COMPUTED_VALUE"""),115.71)</f>
        <v>115.71</v>
      </c>
      <c r="C236" s="1">
        <f>IFERROR(__xludf.DUMMYFUNCTION("""COMPUTED_VALUE"""),116.72)</f>
        <v>116.72</v>
      </c>
      <c r="D236" s="1">
        <f>IFERROR(__xludf.DUMMYFUNCTION("""COMPUTED_VALUE"""),114.15)</f>
        <v>114.15</v>
      </c>
      <c r="E236" s="1">
        <f>IFERROR(__xludf.DUMMYFUNCTION("""COMPUTED_VALUE"""),114.41)</f>
        <v>114.41</v>
      </c>
      <c r="F236" s="1">
        <f>IFERROR(__xludf.DUMMYFUNCTION("""COMPUTED_VALUE"""),982087.0)</f>
        <v>982087</v>
      </c>
      <c r="G236" s="2" t="s">
        <v>6</v>
      </c>
    </row>
    <row r="237">
      <c r="A237" s="3">
        <f>IFERROR(__xludf.DUMMYFUNCTION("""COMPUTED_VALUE"""),44903.66666666667)</f>
        <v>44903.66667</v>
      </c>
      <c r="B237" s="1">
        <f>IFERROR(__xludf.DUMMYFUNCTION("""COMPUTED_VALUE"""),115.85)</f>
        <v>115.85</v>
      </c>
      <c r="C237" s="1">
        <f>IFERROR(__xludf.DUMMYFUNCTION("""COMPUTED_VALUE"""),117.91)</f>
        <v>117.91</v>
      </c>
      <c r="D237" s="1">
        <f>IFERROR(__xludf.DUMMYFUNCTION("""COMPUTED_VALUE"""),115.16)</f>
        <v>115.16</v>
      </c>
      <c r="E237" s="1">
        <f>IFERROR(__xludf.DUMMYFUNCTION("""COMPUTED_VALUE"""),117.66)</f>
        <v>117.66</v>
      </c>
      <c r="F237" s="1">
        <f>IFERROR(__xludf.DUMMYFUNCTION("""COMPUTED_VALUE"""),1692138.0)</f>
        <v>1692138</v>
      </c>
      <c r="G237" s="2" t="s">
        <v>6</v>
      </c>
    </row>
    <row r="238">
      <c r="A238" s="3">
        <f>IFERROR(__xludf.DUMMYFUNCTION("""COMPUTED_VALUE"""),44904.66666666667)</f>
        <v>44904.66667</v>
      </c>
      <c r="B238" s="1">
        <f>IFERROR(__xludf.DUMMYFUNCTION("""COMPUTED_VALUE"""),117.3)</f>
        <v>117.3</v>
      </c>
      <c r="C238" s="1">
        <f>IFERROR(__xludf.DUMMYFUNCTION("""COMPUTED_VALUE"""),118.22)</f>
        <v>118.22</v>
      </c>
      <c r="D238" s="1">
        <f>IFERROR(__xludf.DUMMYFUNCTION("""COMPUTED_VALUE"""),116.88)</f>
        <v>116.88</v>
      </c>
      <c r="E238" s="1">
        <f>IFERROR(__xludf.DUMMYFUNCTION("""COMPUTED_VALUE"""),117.19)</f>
        <v>117.19</v>
      </c>
      <c r="F238" s="1">
        <f>IFERROR(__xludf.DUMMYFUNCTION("""COMPUTED_VALUE"""),1456423.0)</f>
        <v>1456423</v>
      </c>
      <c r="G238" s="2" t="s">
        <v>6</v>
      </c>
    </row>
    <row r="239">
      <c r="A239" s="3">
        <f>IFERROR(__xludf.DUMMYFUNCTION("""COMPUTED_VALUE"""),44907.66666666667)</f>
        <v>44907.66667</v>
      </c>
      <c r="B239" s="1">
        <f>IFERROR(__xludf.DUMMYFUNCTION("""COMPUTED_VALUE"""),118.14)</f>
        <v>118.14</v>
      </c>
      <c r="C239" s="1">
        <f>IFERROR(__xludf.DUMMYFUNCTION("""COMPUTED_VALUE"""),120.19)</f>
        <v>120.19</v>
      </c>
      <c r="D239" s="1">
        <f>IFERROR(__xludf.DUMMYFUNCTION("""COMPUTED_VALUE"""),117.48)</f>
        <v>117.48</v>
      </c>
      <c r="E239" s="1">
        <f>IFERROR(__xludf.DUMMYFUNCTION("""COMPUTED_VALUE"""),120.15)</f>
        <v>120.15</v>
      </c>
      <c r="F239" s="1">
        <f>IFERROR(__xludf.DUMMYFUNCTION("""COMPUTED_VALUE"""),1056700.0)</f>
        <v>1056700</v>
      </c>
      <c r="G239" s="2" t="s">
        <v>6</v>
      </c>
    </row>
    <row r="240">
      <c r="A240" s="3">
        <f>IFERROR(__xludf.DUMMYFUNCTION("""COMPUTED_VALUE"""),44908.66666666667)</f>
        <v>44908.66667</v>
      </c>
      <c r="B240" s="1">
        <f>IFERROR(__xludf.DUMMYFUNCTION("""COMPUTED_VALUE"""),121.73)</f>
        <v>121.73</v>
      </c>
      <c r="C240" s="1">
        <f>IFERROR(__xludf.DUMMYFUNCTION("""COMPUTED_VALUE"""),122.41)</f>
        <v>122.41</v>
      </c>
      <c r="D240" s="1">
        <f>IFERROR(__xludf.DUMMYFUNCTION("""COMPUTED_VALUE"""),119.08)</f>
        <v>119.08</v>
      </c>
      <c r="E240" s="1">
        <f>IFERROR(__xludf.DUMMYFUNCTION("""COMPUTED_VALUE"""),120.46)</f>
        <v>120.46</v>
      </c>
      <c r="F240" s="1">
        <f>IFERROR(__xludf.DUMMYFUNCTION("""COMPUTED_VALUE"""),1587397.0)</f>
        <v>1587397</v>
      </c>
      <c r="G240" s="2" t="s">
        <v>6</v>
      </c>
    </row>
    <row r="241">
      <c r="A241" s="3">
        <f>IFERROR(__xludf.DUMMYFUNCTION("""COMPUTED_VALUE"""),44909.66666666667)</f>
        <v>44909.66667</v>
      </c>
      <c r="B241" s="1">
        <f>IFERROR(__xludf.DUMMYFUNCTION("""COMPUTED_VALUE"""),120.92)</f>
        <v>120.92</v>
      </c>
      <c r="C241" s="1">
        <f>IFERROR(__xludf.DUMMYFUNCTION("""COMPUTED_VALUE"""),122.18)</f>
        <v>122.18</v>
      </c>
      <c r="D241" s="1">
        <f>IFERROR(__xludf.DUMMYFUNCTION("""COMPUTED_VALUE"""),119.76)</f>
        <v>119.76</v>
      </c>
      <c r="E241" s="1">
        <f>IFERROR(__xludf.DUMMYFUNCTION("""COMPUTED_VALUE"""),120.6)</f>
        <v>120.6</v>
      </c>
      <c r="F241" s="1">
        <f>IFERROR(__xludf.DUMMYFUNCTION("""COMPUTED_VALUE"""),2148186.0)</f>
        <v>2148186</v>
      </c>
      <c r="G241" s="2" t="s">
        <v>6</v>
      </c>
    </row>
    <row r="242">
      <c r="A242" s="3">
        <f>IFERROR(__xludf.DUMMYFUNCTION("""COMPUTED_VALUE"""),44910.66666666667)</f>
        <v>44910.66667</v>
      </c>
      <c r="B242" s="1">
        <f>IFERROR(__xludf.DUMMYFUNCTION("""COMPUTED_VALUE"""),120.19)</f>
        <v>120.19</v>
      </c>
      <c r="C242" s="1">
        <f>IFERROR(__xludf.DUMMYFUNCTION("""COMPUTED_VALUE"""),120.68)</f>
        <v>120.68</v>
      </c>
      <c r="D242" s="1">
        <f>IFERROR(__xludf.DUMMYFUNCTION("""COMPUTED_VALUE"""),118.36)</f>
        <v>118.36</v>
      </c>
      <c r="E242" s="1">
        <f>IFERROR(__xludf.DUMMYFUNCTION("""COMPUTED_VALUE"""),119.11)</f>
        <v>119.11</v>
      </c>
      <c r="F242" s="1">
        <f>IFERROR(__xludf.DUMMYFUNCTION("""COMPUTED_VALUE"""),1419612.0)</f>
        <v>1419612</v>
      </c>
      <c r="G242" s="2" t="s">
        <v>6</v>
      </c>
    </row>
    <row r="243">
      <c r="A243" s="3">
        <f>IFERROR(__xludf.DUMMYFUNCTION("""COMPUTED_VALUE"""),44911.66666666667)</f>
        <v>44911.66667</v>
      </c>
      <c r="B243" s="1">
        <f>IFERROR(__xludf.DUMMYFUNCTION("""COMPUTED_VALUE"""),116.82)</f>
        <v>116.82</v>
      </c>
      <c r="C243" s="1">
        <f>IFERROR(__xludf.DUMMYFUNCTION("""COMPUTED_VALUE"""),117.16)</f>
        <v>117.16</v>
      </c>
      <c r="D243" s="1">
        <f>IFERROR(__xludf.DUMMYFUNCTION("""COMPUTED_VALUE"""),114.64)</f>
        <v>114.64</v>
      </c>
      <c r="E243" s="1">
        <f>IFERROR(__xludf.DUMMYFUNCTION("""COMPUTED_VALUE"""),115.82)</f>
        <v>115.82</v>
      </c>
      <c r="F243" s="1">
        <f>IFERROR(__xludf.DUMMYFUNCTION("""COMPUTED_VALUE"""),3118397.0)</f>
        <v>3118397</v>
      </c>
      <c r="G243" s="2" t="s">
        <v>6</v>
      </c>
    </row>
    <row r="244">
      <c r="A244" s="3">
        <f>IFERROR(__xludf.DUMMYFUNCTION("""COMPUTED_VALUE"""),44914.66666666667)</f>
        <v>44914.66667</v>
      </c>
      <c r="B244" s="1">
        <f>IFERROR(__xludf.DUMMYFUNCTION("""COMPUTED_VALUE"""),115.67)</f>
        <v>115.67</v>
      </c>
      <c r="C244" s="1">
        <f>IFERROR(__xludf.DUMMYFUNCTION("""COMPUTED_VALUE"""),116.46)</f>
        <v>116.46</v>
      </c>
      <c r="D244" s="1">
        <f>IFERROR(__xludf.DUMMYFUNCTION("""COMPUTED_VALUE"""),114.66)</f>
        <v>114.66</v>
      </c>
      <c r="E244" s="1">
        <f>IFERROR(__xludf.DUMMYFUNCTION("""COMPUTED_VALUE"""),115.18)</f>
        <v>115.18</v>
      </c>
      <c r="F244" s="1">
        <f>IFERROR(__xludf.DUMMYFUNCTION("""COMPUTED_VALUE"""),885437.0)</f>
        <v>885437</v>
      </c>
      <c r="G244" s="2" t="s">
        <v>6</v>
      </c>
    </row>
    <row r="245">
      <c r="A245" s="3">
        <f>IFERROR(__xludf.DUMMYFUNCTION("""COMPUTED_VALUE"""),44915.66666666667)</f>
        <v>44915.66667</v>
      </c>
      <c r="B245" s="1">
        <f>IFERROR(__xludf.DUMMYFUNCTION("""COMPUTED_VALUE"""),115.1)</f>
        <v>115.1</v>
      </c>
      <c r="C245" s="1">
        <f>IFERROR(__xludf.DUMMYFUNCTION("""COMPUTED_VALUE"""),116.05)</f>
        <v>116.05</v>
      </c>
      <c r="D245" s="1">
        <f>IFERROR(__xludf.DUMMYFUNCTION("""COMPUTED_VALUE"""),114.25)</f>
        <v>114.25</v>
      </c>
      <c r="E245" s="1">
        <f>IFERROR(__xludf.DUMMYFUNCTION("""COMPUTED_VALUE"""),115.47)</f>
        <v>115.47</v>
      </c>
      <c r="F245" s="1">
        <f>IFERROR(__xludf.DUMMYFUNCTION("""COMPUTED_VALUE"""),1338991.0)</f>
        <v>1338991</v>
      </c>
      <c r="G245" s="2" t="s">
        <v>6</v>
      </c>
    </row>
    <row r="246">
      <c r="A246" s="3">
        <f>IFERROR(__xludf.DUMMYFUNCTION("""COMPUTED_VALUE"""),44916.66666666667)</f>
        <v>44916.66667</v>
      </c>
      <c r="B246" s="1">
        <f>IFERROR(__xludf.DUMMYFUNCTION("""COMPUTED_VALUE"""),116.09)</f>
        <v>116.09</v>
      </c>
      <c r="C246" s="1">
        <f>IFERROR(__xludf.DUMMYFUNCTION("""COMPUTED_VALUE"""),117.45)</f>
        <v>117.45</v>
      </c>
      <c r="D246" s="1">
        <f>IFERROR(__xludf.DUMMYFUNCTION("""COMPUTED_VALUE"""),115.85)</f>
        <v>115.85</v>
      </c>
      <c r="E246" s="1">
        <f>IFERROR(__xludf.DUMMYFUNCTION("""COMPUTED_VALUE"""),117.43)</f>
        <v>117.43</v>
      </c>
      <c r="F246" s="1">
        <f>IFERROR(__xludf.DUMMYFUNCTION("""COMPUTED_VALUE"""),1013089.0)</f>
        <v>1013089</v>
      </c>
      <c r="G246" s="2" t="s">
        <v>6</v>
      </c>
    </row>
    <row r="247">
      <c r="A247" s="3">
        <f>IFERROR(__xludf.DUMMYFUNCTION("""COMPUTED_VALUE"""),44917.66666666667)</f>
        <v>44917.66667</v>
      </c>
      <c r="B247" s="1">
        <f>IFERROR(__xludf.DUMMYFUNCTION("""COMPUTED_VALUE"""),117.33)</f>
        <v>117.33</v>
      </c>
      <c r="C247" s="1">
        <f>IFERROR(__xludf.DUMMYFUNCTION("""COMPUTED_VALUE"""),117.33)</f>
        <v>117.33</v>
      </c>
      <c r="D247" s="1">
        <f>IFERROR(__xludf.DUMMYFUNCTION("""COMPUTED_VALUE"""),114.75)</f>
        <v>114.75</v>
      </c>
      <c r="E247" s="1">
        <f>IFERROR(__xludf.DUMMYFUNCTION("""COMPUTED_VALUE"""),116.75)</f>
        <v>116.75</v>
      </c>
      <c r="F247" s="1">
        <f>IFERROR(__xludf.DUMMYFUNCTION("""COMPUTED_VALUE"""),1518626.0)</f>
        <v>1518626</v>
      </c>
      <c r="G247" s="2" t="s">
        <v>6</v>
      </c>
    </row>
    <row r="248">
      <c r="A248" s="3">
        <f>IFERROR(__xludf.DUMMYFUNCTION("""COMPUTED_VALUE"""),44918.66666666667)</f>
        <v>44918.66667</v>
      </c>
      <c r="B248" s="1">
        <f>IFERROR(__xludf.DUMMYFUNCTION("""COMPUTED_VALUE"""),116.34)</f>
        <v>116.34</v>
      </c>
      <c r="C248" s="1">
        <f>IFERROR(__xludf.DUMMYFUNCTION("""COMPUTED_VALUE"""),118.57)</f>
        <v>118.57</v>
      </c>
      <c r="D248" s="1">
        <f>IFERROR(__xludf.DUMMYFUNCTION("""COMPUTED_VALUE"""),116.34)</f>
        <v>116.34</v>
      </c>
      <c r="E248" s="1">
        <f>IFERROR(__xludf.DUMMYFUNCTION("""COMPUTED_VALUE"""),118.54)</f>
        <v>118.54</v>
      </c>
      <c r="F248" s="1">
        <f>IFERROR(__xludf.DUMMYFUNCTION("""COMPUTED_VALUE"""),710801.0)</f>
        <v>710801</v>
      </c>
      <c r="G248" s="2" t="s">
        <v>6</v>
      </c>
    </row>
    <row r="249">
      <c r="A249" s="3">
        <f>IFERROR(__xludf.DUMMYFUNCTION("""COMPUTED_VALUE"""),44922.66666666667)</f>
        <v>44922.66667</v>
      </c>
      <c r="B249" s="1">
        <f>IFERROR(__xludf.DUMMYFUNCTION("""COMPUTED_VALUE"""),118.9)</f>
        <v>118.9</v>
      </c>
      <c r="C249" s="1">
        <f>IFERROR(__xludf.DUMMYFUNCTION("""COMPUTED_VALUE"""),119.6)</f>
        <v>119.6</v>
      </c>
      <c r="D249" s="1">
        <f>IFERROR(__xludf.DUMMYFUNCTION("""COMPUTED_VALUE"""),118.31)</f>
        <v>118.31</v>
      </c>
      <c r="E249" s="1">
        <f>IFERROR(__xludf.DUMMYFUNCTION("""COMPUTED_VALUE"""),119.23)</f>
        <v>119.23</v>
      </c>
      <c r="F249" s="1">
        <f>IFERROR(__xludf.DUMMYFUNCTION("""COMPUTED_VALUE"""),579459.0)</f>
        <v>579459</v>
      </c>
      <c r="G249" s="2" t="s">
        <v>6</v>
      </c>
    </row>
    <row r="250">
      <c r="A250" s="3">
        <f>IFERROR(__xludf.DUMMYFUNCTION("""COMPUTED_VALUE"""),44923.66666666667)</f>
        <v>44923.66667</v>
      </c>
      <c r="B250" s="1">
        <f>IFERROR(__xludf.DUMMYFUNCTION("""COMPUTED_VALUE"""),119.39)</f>
        <v>119.39</v>
      </c>
      <c r="C250" s="1">
        <f>IFERROR(__xludf.DUMMYFUNCTION("""COMPUTED_VALUE"""),120.16)</f>
        <v>120.16</v>
      </c>
      <c r="D250" s="1">
        <f>IFERROR(__xludf.DUMMYFUNCTION("""COMPUTED_VALUE"""),118.06)</f>
        <v>118.06</v>
      </c>
      <c r="E250" s="1">
        <f>IFERROR(__xludf.DUMMYFUNCTION("""COMPUTED_VALUE"""),118.22)</f>
        <v>118.22</v>
      </c>
      <c r="F250" s="1">
        <f>IFERROR(__xludf.DUMMYFUNCTION("""COMPUTED_VALUE"""),603401.0)</f>
        <v>603401</v>
      </c>
      <c r="G250" s="2" t="s">
        <v>6</v>
      </c>
    </row>
    <row r="251">
      <c r="A251" s="3">
        <f>IFERROR(__xludf.DUMMYFUNCTION("""COMPUTED_VALUE"""),44924.66666666667)</f>
        <v>44924.66667</v>
      </c>
      <c r="B251" s="1">
        <f>IFERROR(__xludf.DUMMYFUNCTION("""COMPUTED_VALUE"""),118.67)</f>
        <v>118.67</v>
      </c>
      <c r="C251" s="1">
        <f>IFERROR(__xludf.DUMMYFUNCTION("""COMPUTED_VALUE"""),119.76)</f>
        <v>119.76</v>
      </c>
      <c r="D251" s="1">
        <f>IFERROR(__xludf.DUMMYFUNCTION("""COMPUTED_VALUE"""),118.6)</f>
        <v>118.6</v>
      </c>
      <c r="E251" s="1">
        <f>IFERROR(__xludf.DUMMYFUNCTION("""COMPUTED_VALUE"""),119.18)</f>
        <v>119.18</v>
      </c>
      <c r="F251" s="1">
        <f>IFERROR(__xludf.DUMMYFUNCTION("""COMPUTED_VALUE"""),530509.0)</f>
        <v>530509</v>
      </c>
      <c r="G251" s="2" t="s">
        <v>6</v>
      </c>
    </row>
    <row r="252">
      <c r="A252" s="3">
        <f>IFERROR(__xludf.DUMMYFUNCTION("""COMPUTED_VALUE"""),44925.66666666667)</f>
        <v>44925.66667</v>
      </c>
      <c r="B252" s="1">
        <f>IFERROR(__xludf.DUMMYFUNCTION("""COMPUTED_VALUE"""),119.07)</f>
        <v>119.07</v>
      </c>
      <c r="C252" s="1">
        <f>IFERROR(__xludf.DUMMYFUNCTION("""COMPUTED_VALUE"""),119.16)</f>
        <v>119.16</v>
      </c>
      <c r="D252" s="1">
        <f>IFERROR(__xludf.DUMMYFUNCTION("""COMPUTED_VALUE"""),116.51)</f>
        <v>116.51</v>
      </c>
      <c r="E252" s="1">
        <f>IFERROR(__xludf.DUMMYFUNCTION("""COMPUTED_VALUE"""),117.53)</f>
        <v>117.53</v>
      </c>
      <c r="F252" s="1">
        <f>IFERROR(__xludf.DUMMYFUNCTION("""COMPUTED_VALUE"""),550543.0)</f>
        <v>550543</v>
      </c>
      <c r="G252" s="2" t="s">
        <v>6</v>
      </c>
    </row>
    <row r="253">
      <c r="A253" s="3">
        <f>IFERROR(__xludf.DUMMYFUNCTION("""COMPUTED_VALUE"""),44929.66666666667)</f>
        <v>44929.66667</v>
      </c>
      <c r="B253" s="1">
        <f>IFERROR(__xludf.DUMMYFUNCTION("""COMPUTED_VALUE"""),117.75)</f>
        <v>117.75</v>
      </c>
      <c r="C253" s="1">
        <f>IFERROR(__xludf.DUMMYFUNCTION("""COMPUTED_VALUE"""),118.34)</f>
        <v>118.34</v>
      </c>
      <c r="D253" s="1">
        <f>IFERROR(__xludf.DUMMYFUNCTION("""COMPUTED_VALUE"""),116.21)</f>
        <v>116.21</v>
      </c>
      <c r="E253" s="1">
        <f>IFERROR(__xludf.DUMMYFUNCTION("""COMPUTED_VALUE"""),117.86)</f>
        <v>117.86</v>
      </c>
      <c r="F253" s="1">
        <f>IFERROR(__xludf.DUMMYFUNCTION("""COMPUTED_VALUE"""),810852.0)</f>
        <v>810852</v>
      </c>
      <c r="G253" s="2" t="s">
        <v>6</v>
      </c>
    </row>
    <row r="254">
      <c r="A254" s="3">
        <f>IFERROR(__xludf.DUMMYFUNCTION("""COMPUTED_VALUE"""),44930.66666666667)</f>
        <v>44930.66667</v>
      </c>
      <c r="B254" s="1">
        <f>IFERROR(__xludf.DUMMYFUNCTION("""COMPUTED_VALUE"""),118.4)</f>
        <v>118.4</v>
      </c>
      <c r="C254" s="1">
        <f>IFERROR(__xludf.DUMMYFUNCTION("""COMPUTED_VALUE"""),120.39)</f>
        <v>120.39</v>
      </c>
      <c r="D254" s="1">
        <f>IFERROR(__xludf.DUMMYFUNCTION("""COMPUTED_VALUE"""),118.25)</f>
        <v>118.25</v>
      </c>
      <c r="E254" s="1">
        <f>IFERROR(__xludf.DUMMYFUNCTION("""COMPUTED_VALUE"""),119.56)</f>
        <v>119.56</v>
      </c>
      <c r="F254" s="1">
        <f>IFERROR(__xludf.DUMMYFUNCTION("""COMPUTED_VALUE"""),971059.0)</f>
        <v>971059</v>
      </c>
      <c r="G254" s="2" t="s">
        <v>6</v>
      </c>
    </row>
    <row r="255">
      <c r="A255" s="3">
        <f>IFERROR(__xludf.DUMMYFUNCTION("""COMPUTED_VALUE"""),44931.66666666667)</f>
        <v>44931.66667</v>
      </c>
      <c r="B255" s="1">
        <f>IFERROR(__xludf.DUMMYFUNCTION("""COMPUTED_VALUE"""),118.74)</f>
        <v>118.74</v>
      </c>
      <c r="C255" s="1">
        <f>IFERROR(__xludf.DUMMYFUNCTION("""COMPUTED_VALUE"""),119.41)</f>
        <v>119.41</v>
      </c>
      <c r="D255" s="1">
        <f>IFERROR(__xludf.DUMMYFUNCTION("""COMPUTED_VALUE"""),116.41)</f>
        <v>116.41</v>
      </c>
      <c r="E255" s="1">
        <f>IFERROR(__xludf.DUMMYFUNCTION("""COMPUTED_VALUE"""),116.58)</f>
        <v>116.58</v>
      </c>
      <c r="F255" s="1">
        <f>IFERROR(__xludf.DUMMYFUNCTION("""COMPUTED_VALUE"""),838946.0)</f>
        <v>838946</v>
      </c>
      <c r="G255" s="2" t="s">
        <v>6</v>
      </c>
    </row>
    <row r="256">
      <c r="A256" s="3">
        <f>IFERROR(__xludf.DUMMYFUNCTION("""COMPUTED_VALUE"""),44932.66666666667)</f>
        <v>44932.66667</v>
      </c>
      <c r="B256" s="1">
        <f>IFERROR(__xludf.DUMMYFUNCTION("""COMPUTED_VALUE"""),117.76)</f>
        <v>117.76</v>
      </c>
      <c r="C256" s="1">
        <f>IFERROR(__xludf.DUMMYFUNCTION("""COMPUTED_VALUE"""),119.84)</f>
        <v>119.84</v>
      </c>
      <c r="D256" s="1">
        <f>IFERROR(__xludf.DUMMYFUNCTION("""COMPUTED_VALUE"""),117.15)</f>
        <v>117.15</v>
      </c>
      <c r="E256" s="1">
        <f>IFERROR(__xludf.DUMMYFUNCTION("""COMPUTED_VALUE"""),119.44)</f>
        <v>119.44</v>
      </c>
      <c r="F256" s="1">
        <f>IFERROR(__xludf.DUMMYFUNCTION("""COMPUTED_VALUE"""),817454.0)</f>
        <v>817454</v>
      </c>
      <c r="G256" s="2" t="s">
        <v>6</v>
      </c>
    </row>
    <row r="257">
      <c r="A257" s="3">
        <f>IFERROR(__xludf.DUMMYFUNCTION("""COMPUTED_VALUE"""),44935.66666666667)</f>
        <v>44935.66667</v>
      </c>
      <c r="B257" s="1">
        <f>IFERROR(__xludf.DUMMYFUNCTION("""COMPUTED_VALUE"""),119.17)</f>
        <v>119.17</v>
      </c>
      <c r="C257" s="1">
        <f>IFERROR(__xludf.DUMMYFUNCTION("""COMPUTED_VALUE"""),121.22)</f>
        <v>121.22</v>
      </c>
      <c r="D257" s="1">
        <f>IFERROR(__xludf.DUMMYFUNCTION("""COMPUTED_VALUE"""),119.17)</f>
        <v>119.17</v>
      </c>
      <c r="E257" s="1">
        <f>IFERROR(__xludf.DUMMYFUNCTION("""COMPUTED_VALUE"""),120.46)</f>
        <v>120.46</v>
      </c>
      <c r="F257" s="1">
        <f>IFERROR(__xludf.DUMMYFUNCTION("""COMPUTED_VALUE"""),899829.0)</f>
        <v>899829</v>
      </c>
      <c r="G257" s="2" t="s">
        <v>6</v>
      </c>
    </row>
    <row r="258">
      <c r="A258" s="3">
        <f>IFERROR(__xludf.DUMMYFUNCTION("""COMPUTED_VALUE"""),44936.66666666667)</f>
        <v>44936.66667</v>
      </c>
      <c r="B258" s="1">
        <f>IFERROR(__xludf.DUMMYFUNCTION("""COMPUTED_VALUE"""),120.1)</f>
        <v>120.1</v>
      </c>
      <c r="C258" s="1">
        <f>IFERROR(__xludf.DUMMYFUNCTION("""COMPUTED_VALUE"""),120.19)</f>
        <v>120.19</v>
      </c>
      <c r="D258" s="1">
        <f>IFERROR(__xludf.DUMMYFUNCTION("""COMPUTED_VALUE"""),119.02)</f>
        <v>119.02</v>
      </c>
      <c r="E258" s="1">
        <f>IFERROR(__xludf.DUMMYFUNCTION("""COMPUTED_VALUE"""),120.02)</f>
        <v>120.02</v>
      </c>
      <c r="F258" s="1">
        <f>IFERROR(__xludf.DUMMYFUNCTION("""COMPUTED_VALUE"""),661709.0)</f>
        <v>661709</v>
      </c>
      <c r="G258" s="2" t="s">
        <v>6</v>
      </c>
    </row>
    <row r="259">
      <c r="A259" s="3">
        <f>IFERROR(__xludf.DUMMYFUNCTION("""COMPUTED_VALUE"""),44937.66666666667)</f>
        <v>44937.66667</v>
      </c>
      <c r="B259" s="1">
        <f>IFERROR(__xludf.DUMMYFUNCTION("""COMPUTED_VALUE"""),119.84)</f>
        <v>119.84</v>
      </c>
      <c r="C259" s="1">
        <f>IFERROR(__xludf.DUMMYFUNCTION("""COMPUTED_VALUE"""),121.32)</f>
        <v>121.32</v>
      </c>
      <c r="D259" s="1">
        <f>IFERROR(__xludf.DUMMYFUNCTION("""COMPUTED_VALUE"""),119.84)</f>
        <v>119.84</v>
      </c>
      <c r="E259" s="1">
        <f>IFERROR(__xludf.DUMMYFUNCTION("""COMPUTED_VALUE"""),120.72)</f>
        <v>120.72</v>
      </c>
      <c r="F259" s="1">
        <f>IFERROR(__xludf.DUMMYFUNCTION("""COMPUTED_VALUE"""),669423.0)</f>
        <v>669423</v>
      </c>
      <c r="G259" s="2" t="s">
        <v>6</v>
      </c>
    </row>
    <row r="260">
      <c r="A260" s="3">
        <f>IFERROR(__xludf.DUMMYFUNCTION("""COMPUTED_VALUE"""),44938.66666666667)</f>
        <v>44938.66667</v>
      </c>
      <c r="B260" s="1">
        <f>IFERROR(__xludf.DUMMYFUNCTION("""COMPUTED_VALUE"""),120.95)</f>
        <v>120.95</v>
      </c>
      <c r="C260" s="1">
        <f>IFERROR(__xludf.DUMMYFUNCTION("""COMPUTED_VALUE"""),121.25)</f>
        <v>121.25</v>
      </c>
      <c r="D260" s="1">
        <f>IFERROR(__xludf.DUMMYFUNCTION("""COMPUTED_VALUE"""),119.1)</f>
        <v>119.1</v>
      </c>
      <c r="E260" s="1">
        <f>IFERROR(__xludf.DUMMYFUNCTION("""COMPUTED_VALUE"""),119.39)</f>
        <v>119.39</v>
      </c>
      <c r="F260" s="1">
        <f>IFERROR(__xludf.DUMMYFUNCTION("""COMPUTED_VALUE"""),947508.0)</f>
        <v>947508</v>
      </c>
      <c r="G260" s="2" t="s">
        <v>6</v>
      </c>
    </row>
    <row r="261">
      <c r="A261" s="3">
        <f>IFERROR(__xludf.DUMMYFUNCTION("""COMPUTED_VALUE"""),44939.66666666667)</f>
        <v>44939.66667</v>
      </c>
      <c r="B261" s="1">
        <f>IFERROR(__xludf.DUMMYFUNCTION("""COMPUTED_VALUE"""),118.73)</f>
        <v>118.73</v>
      </c>
      <c r="C261" s="1">
        <f>IFERROR(__xludf.DUMMYFUNCTION("""COMPUTED_VALUE"""),118.94)</f>
        <v>118.94</v>
      </c>
      <c r="D261" s="1">
        <f>IFERROR(__xludf.DUMMYFUNCTION("""COMPUTED_VALUE"""),117.13)</f>
        <v>117.13</v>
      </c>
      <c r="E261" s="1">
        <f>IFERROR(__xludf.DUMMYFUNCTION("""COMPUTED_VALUE"""),117.93)</f>
        <v>117.93</v>
      </c>
      <c r="F261" s="1">
        <f>IFERROR(__xludf.DUMMYFUNCTION("""COMPUTED_VALUE"""),870690.0)</f>
        <v>870690</v>
      </c>
      <c r="G261" s="2" t="s">
        <v>6</v>
      </c>
    </row>
    <row r="262">
      <c r="A262" s="3">
        <f>IFERROR(__xludf.DUMMYFUNCTION("""COMPUTED_VALUE"""),44943.66666666667)</f>
        <v>44943.66667</v>
      </c>
      <c r="B262" s="1">
        <f>IFERROR(__xludf.DUMMYFUNCTION("""COMPUTED_VALUE"""),118.21)</f>
        <v>118.21</v>
      </c>
      <c r="C262" s="1">
        <f>IFERROR(__xludf.DUMMYFUNCTION("""COMPUTED_VALUE"""),118.9)</f>
        <v>118.9</v>
      </c>
      <c r="D262" s="1">
        <f>IFERROR(__xludf.DUMMYFUNCTION("""COMPUTED_VALUE"""),116.97)</f>
        <v>116.97</v>
      </c>
      <c r="E262" s="1">
        <f>IFERROR(__xludf.DUMMYFUNCTION("""COMPUTED_VALUE"""),117.31)</f>
        <v>117.31</v>
      </c>
      <c r="F262" s="1">
        <f>IFERROR(__xludf.DUMMYFUNCTION("""COMPUTED_VALUE"""),1192426.0)</f>
        <v>1192426</v>
      </c>
      <c r="G262" s="2" t="s">
        <v>6</v>
      </c>
    </row>
    <row r="263">
      <c r="A263" s="3">
        <f>IFERROR(__xludf.DUMMYFUNCTION("""COMPUTED_VALUE"""),44944.66666666667)</f>
        <v>44944.66667</v>
      </c>
      <c r="B263" s="1">
        <f>IFERROR(__xludf.DUMMYFUNCTION("""COMPUTED_VALUE"""),117.79)</f>
        <v>117.79</v>
      </c>
      <c r="C263" s="1">
        <f>IFERROR(__xludf.DUMMYFUNCTION("""COMPUTED_VALUE"""),117.79)</f>
        <v>117.79</v>
      </c>
      <c r="D263" s="1">
        <f>IFERROR(__xludf.DUMMYFUNCTION("""COMPUTED_VALUE"""),113.77)</f>
        <v>113.77</v>
      </c>
      <c r="E263" s="1">
        <f>IFERROR(__xludf.DUMMYFUNCTION("""COMPUTED_VALUE"""),113.9)</f>
        <v>113.9</v>
      </c>
      <c r="F263" s="1">
        <f>IFERROR(__xludf.DUMMYFUNCTION("""COMPUTED_VALUE"""),1313141.0)</f>
        <v>1313141</v>
      </c>
      <c r="G263" s="2" t="s">
        <v>6</v>
      </c>
    </row>
    <row r="264">
      <c r="A264" s="3">
        <f>IFERROR(__xludf.DUMMYFUNCTION("""COMPUTED_VALUE"""),44945.66666666667)</f>
        <v>44945.66667</v>
      </c>
      <c r="B264" s="1">
        <f>IFERROR(__xludf.DUMMYFUNCTION("""COMPUTED_VALUE"""),113.88)</f>
        <v>113.88</v>
      </c>
      <c r="C264" s="1">
        <f>IFERROR(__xludf.DUMMYFUNCTION("""COMPUTED_VALUE"""),113.94)</f>
        <v>113.94</v>
      </c>
      <c r="D264" s="1">
        <f>IFERROR(__xludf.DUMMYFUNCTION("""COMPUTED_VALUE"""),112.26)</f>
        <v>112.26</v>
      </c>
      <c r="E264" s="1">
        <f>IFERROR(__xludf.DUMMYFUNCTION("""COMPUTED_VALUE"""),112.56)</f>
        <v>112.56</v>
      </c>
      <c r="F264" s="1">
        <f>IFERROR(__xludf.DUMMYFUNCTION("""COMPUTED_VALUE"""),823741.0)</f>
        <v>823741</v>
      </c>
      <c r="G264" s="2" t="s">
        <v>6</v>
      </c>
    </row>
    <row r="265">
      <c r="A265" s="3">
        <f>IFERROR(__xludf.DUMMYFUNCTION("""COMPUTED_VALUE"""),44946.66666666667)</f>
        <v>44946.66667</v>
      </c>
      <c r="B265" s="1">
        <f>IFERROR(__xludf.DUMMYFUNCTION("""COMPUTED_VALUE"""),112.46)</f>
        <v>112.46</v>
      </c>
      <c r="C265" s="1">
        <f>IFERROR(__xludf.DUMMYFUNCTION("""COMPUTED_VALUE"""),114.06)</f>
        <v>114.06</v>
      </c>
      <c r="D265" s="1">
        <f>IFERROR(__xludf.DUMMYFUNCTION("""COMPUTED_VALUE"""),110.45)</f>
        <v>110.45</v>
      </c>
      <c r="E265" s="1">
        <f>IFERROR(__xludf.DUMMYFUNCTION("""COMPUTED_VALUE"""),113.97)</f>
        <v>113.97</v>
      </c>
      <c r="F265" s="1">
        <f>IFERROR(__xludf.DUMMYFUNCTION("""COMPUTED_VALUE"""),1566919.0)</f>
        <v>1566919</v>
      </c>
      <c r="G265" s="2" t="s">
        <v>6</v>
      </c>
    </row>
    <row r="266">
      <c r="A266" s="3">
        <f>IFERROR(__xludf.DUMMYFUNCTION("""COMPUTED_VALUE"""),44949.66666666667)</f>
        <v>44949.66667</v>
      </c>
      <c r="B266" s="1">
        <f>IFERROR(__xludf.DUMMYFUNCTION("""COMPUTED_VALUE"""),114.06)</f>
        <v>114.06</v>
      </c>
      <c r="C266" s="1">
        <f>IFERROR(__xludf.DUMMYFUNCTION("""COMPUTED_VALUE"""),114.85)</f>
        <v>114.85</v>
      </c>
      <c r="D266" s="1">
        <f>IFERROR(__xludf.DUMMYFUNCTION("""COMPUTED_VALUE"""),113.11)</f>
        <v>113.11</v>
      </c>
      <c r="E266" s="1">
        <f>IFERROR(__xludf.DUMMYFUNCTION("""COMPUTED_VALUE"""),113.77)</f>
        <v>113.77</v>
      </c>
      <c r="F266" s="1">
        <f>IFERROR(__xludf.DUMMYFUNCTION("""COMPUTED_VALUE"""),1032282.0)</f>
        <v>1032282</v>
      </c>
      <c r="G266" s="2" t="s">
        <v>6</v>
      </c>
    </row>
    <row r="267">
      <c r="A267" s="3">
        <f>IFERROR(__xludf.DUMMYFUNCTION("""COMPUTED_VALUE"""),44950.66666666667)</f>
        <v>44950.66667</v>
      </c>
      <c r="B267" s="1">
        <f>IFERROR(__xludf.DUMMYFUNCTION("""COMPUTED_VALUE"""),114.32)</f>
        <v>114.32</v>
      </c>
      <c r="C267" s="1">
        <f>IFERROR(__xludf.DUMMYFUNCTION("""COMPUTED_VALUE"""),114.32)</f>
        <v>114.32</v>
      </c>
      <c r="D267" s="1">
        <f>IFERROR(__xludf.DUMMYFUNCTION("""COMPUTED_VALUE"""),112.3)</f>
        <v>112.3</v>
      </c>
      <c r="E267" s="1">
        <f>IFERROR(__xludf.DUMMYFUNCTION("""COMPUTED_VALUE"""),113.43)</f>
        <v>113.43</v>
      </c>
      <c r="F267" s="1">
        <f>IFERROR(__xludf.DUMMYFUNCTION("""COMPUTED_VALUE"""),743944.0)</f>
        <v>743944</v>
      </c>
      <c r="G267" s="2" t="s">
        <v>6</v>
      </c>
    </row>
    <row r="268">
      <c r="A268" s="3">
        <f>IFERROR(__xludf.DUMMYFUNCTION("""COMPUTED_VALUE"""),44951.66666666667)</f>
        <v>44951.66667</v>
      </c>
      <c r="B268" s="1">
        <f>IFERROR(__xludf.DUMMYFUNCTION("""COMPUTED_VALUE"""),112.84)</f>
        <v>112.84</v>
      </c>
      <c r="C268" s="1">
        <f>IFERROR(__xludf.DUMMYFUNCTION("""COMPUTED_VALUE"""),113.44)</f>
        <v>113.44</v>
      </c>
      <c r="D268" s="1">
        <f>IFERROR(__xludf.DUMMYFUNCTION("""COMPUTED_VALUE"""),112.31)</f>
        <v>112.31</v>
      </c>
      <c r="E268" s="1">
        <f>IFERROR(__xludf.DUMMYFUNCTION("""COMPUTED_VALUE"""),113.41)</f>
        <v>113.41</v>
      </c>
      <c r="F268" s="1">
        <f>IFERROR(__xludf.DUMMYFUNCTION("""COMPUTED_VALUE"""),884448.0)</f>
        <v>884448</v>
      </c>
      <c r="G268" s="2" t="s">
        <v>6</v>
      </c>
    </row>
    <row r="269">
      <c r="A269" s="3">
        <f>IFERROR(__xludf.DUMMYFUNCTION("""COMPUTED_VALUE"""),44952.66666666667)</f>
        <v>44952.66667</v>
      </c>
      <c r="B269" s="1">
        <f>IFERROR(__xludf.DUMMYFUNCTION("""COMPUTED_VALUE"""),112.97)</f>
        <v>112.97</v>
      </c>
      <c r="C269" s="1">
        <f>IFERROR(__xludf.DUMMYFUNCTION("""COMPUTED_VALUE"""),113.78)</f>
        <v>113.78</v>
      </c>
      <c r="D269" s="1">
        <f>IFERROR(__xludf.DUMMYFUNCTION("""COMPUTED_VALUE"""),112.51)</f>
        <v>112.51</v>
      </c>
      <c r="E269" s="1">
        <f>IFERROR(__xludf.DUMMYFUNCTION("""COMPUTED_VALUE"""),113.35)</f>
        <v>113.35</v>
      </c>
      <c r="F269" s="1">
        <f>IFERROR(__xludf.DUMMYFUNCTION("""COMPUTED_VALUE"""),723394.0)</f>
        <v>723394</v>
      </c>
      <c r="G269" s="2" t="s">
        <v>6</v>
      </c>
    </row>
    <row r="270">
      <c r="A270" s="3">
        <f>IFERROR(__xludf.DUMMYFUNCTION("""COMPUTED_VALUE"""),44953.66666666667)</f>
        <v>44953.66667</v>
      </c>
      <c r="B270" s="1">
        <f>IFERROR(__xludf.DUMMYFUNCTION("""COMPUTED_VALUE"""),113.14)</f>
        <v>113.14</v>
      </c>
      <c r="C270" s="1">
        <f>IFERROR(__xludf.DUMMYFUNCTION("""COMPUTED_VALUE"""),114.01)</f>
        <v>114.01</v>
      </c>
      <c r="D270" s="1">
        <f>IFERROR(__xludf.DUMMYFUNCTION("""COMPUTED_VALUE"""),112.47)</f>
        <v>112.47</v>
      </c>
      <c r="E270" s="1">
        <f>IFERROR(__xludf.DUMMYFUNCTION("""COMPUTED_VALUE"""),113.59)</f>
        <v>113.59</v>
      </c>
      <c r="F270" s="1">
        <f>IFERROR(__xludf.DUMMYFUNCTION("""COMPUTED_VALUE"""),891121.0)</f>
        <v>891121</v>
      </c>
      <c r="G270" s="2" t="s">
        <v>6</v>
      </c>
    </row>
    <row r="271">
      <c r="A271" s="3">
        <f>IFERROR(__xludf.DUMMYFUNCTION("""COMPUTED_VALUE"""),44956.66666666667)</f>
        <v>44956.66667</v>
      </c>
      <c r="B271" s="1">
        <f>IFERROR(__xludf.DUMMYFUNCTION("""COMPUTED_VALUE"""),113.36)</f>
        <v>113.36</v>
      </c>
      <c r="C271" s="1">
        <f>IFERROR(__xludf.DUMMYFUNCTION("""COMPUTED_VALUE"""),115.26)</f>
        <v>115.26</v>
      </c>
      <c r="D271" s="1">
        <f>IFERROR(__xludf.DUMMYFUNCTION("""COMPUTED_VALUE"""),113.15)</f>
        <v>113.15</v>
      </c>
      <c r="E271" s="1">
        <f>IFERROR(__xludf.DUMMYFUNCTION("""COMPUTED_VALUE"""),114.33)</f>
        <v>114.33</v>
      </c>
      <c r="F271" s="1">
        <f>IFERROR(__xludf.DUMMYFUNCTION("""COMPUTED_VALUE"""),888770.0)</f>
        <v>888770</v>
      </c>
      <c r="G271" s="2" t="s">
        <v>6</v>
      </c>
    </row>
    <row r="272">
      <c r="A272" s="3">
        <f>IFERROR(__xludf.DUMMYFUNCTION("""COMPUTED_VALUE"""),44957.66666666667)</f>
        <v>44957.66667</v>
      </c>
      <c r="B272" s="1">
        <f>IFERROR(__xludf.DUMMYFUNCTION("""COMPUTED_VALUE"""),115.1)</f>
        <v>115.1</v>
      </c>
      <c r="C272" s="1">
        <f>IFERROR(__xludf.DUMMYFUNCTION("""COMPUTED_VALUE"""),116.38)</f>
        <v>116.38</v>
      </c>
      <c r="D272" s="1">
        <f>IFERROR(__xludf.DUMMYFUNCTION("""COMPUTED_VALUE"""),114.0)</f>
        <v>114</v>
      </c>
      <c r="E272" s="1">
        <f>IFERROR(__xludf.DUMMYFUNCTION("""COMPUTED_VALUE"""),116.37)</f>
        <v>116.37</v>
      </c>
      <c r="F272" s="1">
        <f>IFERROR(__xludf.DUMMYFUNCTION("""COMPUTED_VALUE"""),1168502.0)</f>
        <v>1168502</v>
      </c>
      <c r="G272" s="2" t="s">
        <v>6</v>
      </c>
    </row>
    <row r="273">
      <c r="A273" s="3">
        <f>IFERROR(__xludf.DUMMYFUNCTION("""COMPUTED_VALUE"""),44958.66666666667)</f>
        <v>44958.66667</v>
      </c>
      <c r="B273" s="1">
        <f>IFERROR(__xludf.DUMMYFUNCTION("""COMPUTED_VALUE"""),115.66)</f>
        <v>115.66</v>
      </c>
      <c r="C273" s="1">
        <f>IFERROR(__xludf.DUMMYFUNCTION("""COMPUTED_VALUE"""),116.87)</f>
        <v>116.87</v>
      </c>
      <c r="D273" s="1">
        <f>IFERROR(__xludf.DUMMYFUNCTION("""COMPUTED_VALUE"""),115.03)</f>
        <v>115.03</v>
      </c>
      <c r="E273" s="1">
        <f>IFERROR(__xludf.DUMMYFUNCTION("""COMPUTED_VALUE"""),116.19)</f>
        <v>116.19</v>
      </c>
      <c r="F273" s="1">
        <f>IFERROR(__xludf.DUMMYFUNCTION("""COMPUTED_VALUE"""),1491219.0)</f>
        <v>1491219</v>
      </c>
      <c r="G273" s="2" t="s">
        <v>6</v>
      </c>
    </row>
    <row r="274">
      <c r="A274" s="3">
        <f>IFERROR(__xludf.DUMMYFUNCTION("""COMPUTED_VALUE"""),44959.66666666667)</f>
        <v>44959.66667</v>
      </c>
      <c r="B274" s="1">
        <f>IFERROR(__xludf.DUMMYFUNCTION("""COMPUTED_VALUE"""),116.37)</f>
        <v>116.37</v>
      </c>
      <c r="C274" s="1">
        <f>IFERROR(__xludf.DUMMYFUNCTION("""COMPUTED_VALUE"""),117.19)</f>
        <v>117.19</v>
      </c>
      <c r="D274" s="1">
        <f>IFERROR(__xludf.DUMMYFUNCTION("""COMPUTED_VALUE"""),114.53)</f>
        <v>114.53</v>
      </c>
      <c r="E274" s="1">
        <f>IFERROR(__xludf.DUMMYFUNCTION("""COMPUTED_VALUE"""),114.71)</f>
        <v>114.71</v>
      </c>
      <c r="F274" s="1">
        <f>IFERROR(__xludf.DUMMYFUNCTION("""COMPUTED_VALUE"""),1707829.0)</f>
        <v>1707829</v>
      </c>
      <c r="G274" s="2" t="s">
        <v>6</v>
      </c>
    </row>
    <row r="275">
      <c r="A275" s="3">
        <f>IFERROR(__xludf.DUMMYFUNCTION("""COMPUTED_VALUE"""),44960.66666666667)</f>
        <v>44960.66667</v>
      </c>
      <c r="B275" s="1">
        <f>IFERROR(__xludf.DUMMYFUNCTION("""COMPUTED_VALUE"""),113.72)</f>
        <v>113.72</v>
      </c>
      <c r="C275" s="1">
        <f>IFERROR(__xludf.DUMMYFUNCTION("""COMPUTED_VALUE"""),114.08)</f>
        <v>114.08</v>
      </c>
      <c r="D275" s="1">
        <f>IFERROR(__xludf.DUMMYFUNCTION("""COMPUTED_VALUE"""),110.73)</f>
        <v>110.73</v>
      </c>
      <c r="E275" s="1">
        <f>IFERROR(__xludf.DUMMYFUNCTION("""COMPUTED_VALUE"""),112.76)</f>
        <v>112.76</v>
      </c>
      <c r="F275" s="1">
        <f>IFERROR(__xludf.DUMMYFUNCTION("""COMPUTED_VALUE"""),1423746.0)</f>
        <v>1423746</v>
      </c>
      <c r="G275" s="2" t="s">
        <v>6</v>
      </c>
    </row>
    <row r="276">
      <c r="A276" s="3">
        <f>IFERROR(__xludf.DUMMYFUNCTION("""COMPUTED_VALUE"""),44963.66666666667)</f>
        <v>44963.66667</v>
      </c>
      <c r="B276" s="1">
        <f>IFERROR(__xludf.DUMMYFUNCTION("""COMPUTED_VALUE"""),112.52)</f>
        <v>112.52</v>
      </c>
      <c r="C276" s="1">
        <f>IFERROR(__xludf.DUMMYFUNCTION("""COMPUTED_VALUE"""),113.88)</f>
        <v>113.88</v>
      </c>
      <c r="D276" s="1">
        <f>IFERROR(__xludf.DUMMYFUNCTION("""COMPUTED_VALUE"""),112.13)</f>
        <v>112.13</v>
      </c>
      <c r="E276" s="1">
        <f>IFERROR(__xludf.DUMMYFUNCTION("""COMPUTED_VALUE"""),113.82)</f>
        <v>113.82</v>
      </c>
      <c r="F276" s="1">
        <f>IFERROR(__xludf.DUMMYFUNCTION("""COMPUTED_VALUE"""),850469.0)</f>
        <v>850469</v>
      </c>
      <c r="G276" s="2" t="s">
        <v>6</v>
      </c>
    </row>
    <row r="277">
      <c r="A277" s="3">
        <f>IFERROR(__xludf.DUMMYFUNCTION("""COMPUTED_VALUE"""),44964.66666666667)</f>
        <v>44964.66667</v>
      </c>
      <c r="B277" s="1">
        <f>IFERROR(__xludf.DUMMYFUNCTION("""COMPUTED_VALUE"""),113.14)</f>
        <v>113.14</v>
      </c>
      <c r="C277" s="1">
        <f>IFERROR(__xludf.DUMMYFUNCTION("""COMPUTED_VALUE"""),113.93)</f>
        <v>113.93</v>
      </c>
      <c r="D277" s="1">
        <f>IFERROR(__xludf.DUMMYFUNCTION("""COMPUTED_VALUE"""),111.96)</f>
        <v>111.96</v>
      </c>
      <c r="E277" s="1">
        <f>IFERROR(__xludf.DUMMYFUNCTION("""COMPUTED_VALUE"""),113.71)</f>
        <v>113.71</v>
      </c>
      <c r="F277" s="1">
        <f>IFERROR(__xludf.DUMMYFUNCTION("""COMPUTED_VALUE"""),1030772.0)</f>
        <v>1030772</v>
      </c>
      <c r="G277" s="2" t="s">
        <v>6</v>
      </c>
    </row>
    <row r="278">
      <c r="A278" s="3">
        <f>IFERROR(__xludf.DUMMYFUNCTION("""COMPUTED_VALUE"""),44965.66666666667)</f>
        <v>44965.66667</v>
      </c>
      <c r="B278" s="1">
        <f>IFERROR(__xludf.DUMMYFUNCTION("""COMPUTED_VALUE"""),112.47)</f>
        <v>112.47</v>
      </c>
      <c r="C278" s="1">
        <f>IFERROR(__xludf.DUMMYFUNCTION("""COMPUTED_VALUE"""),113.18)</f>
        <v>113.18</v>
      </c>
      <c r="D278" s="1">
        <f>IFERROR(__xludf.DUMMYFUNCTION("""COMPUTED_VALUE"""),111.43)</f>
        <v>111.43</v>
      </c>
      <c r="E278" s="1">
        <f>IFERROR(__xludf.DUMMYFUNCTION("""COMPUTED_VALUE"""),112.28)</f>
        <v>112.28</v>
      </c>
      <c r="F278" s="1">
        <f>IFERROR(__xludf.DUMMYFUNCTION("""COMPUTED_VALUE"""),1045229.0)</f>
        <v>1045229</v>
      </c>
      <c r="G278" s="2" t="s">
        <v>6</v>
      </c>
    </row>
    <row r="279">
      <c r="A279" s="3">
        <f>IFERROR(__xludf.DUMMYFUNCTION("""COMPUTED_VALUE"""),44966.66666666667)</f>
        <v>44966.66667</v>
      </c>
      <c r="B279" s="1">
        <f>IFERROR(__xludf.DUMMYFUNCTION("""COMPUTED_VALUE"""),112.53)</f>
        <v>112.53</v>
      </c>
      <c r="C279" s="1">
        <f>IFERROR(__xludf.DUMMYFUNCTION("""COMPUTED_VALUE"""),113.19)</f>
        <v>113.19</v>
      </c>
      <c r="D279" s="1">
        <f>IFERROR(__xludf.DUMMYFUNCTION("""COMPUTED_VALUE"""),111.7)</f>
        <v>111.7</v>
      </c>
      <c r="E279" s="1">
        <f>IFERROR(__xludf.DUMMYFUNCTION("""COMPUTED_VALUE"""),112.0)</f>
        <v>112</v>
      </c>
      <c r="F279" s="1">
        <f>IFERROR(__xludf.DUMMYFUNCTION("""COMPUTED_VALUE"""),1635977.0)</f>
        <v>1635977</v>
      </c>
      <c r="G279" s="2" t="s">
        <v>6</v>
      </c>
    </row>
    <row r="280">
      <c r="A280" s="3">
        <f>IFERROR(__xludf.DUMMYFUNCTION("""COMPUTED_VALUE"""),44967.66666666667)</f>
        <v>44967.66667</v>
      </c>
      <c r="B280" s="1">
        <f>IFERROR(__xludf.DUMMYFUNCTION("""COMPUTED_VALUE"""),112.31)</f>
        <v>112.31</v>
      </c>
      <c r="C280" s="1">
        <f>IFERROR(__xludf.DUMMYFUNCTION("""COMPUTED_VALUE"""),113.7)</f>
        <v>113.7</v>
      </c>
      <c r="D280" s="1">
        <f>IFERROR(__xludf.DUMMYFUNCTION("""COMPUTED_VALUE"""),112.02)</f>
        <v>112.02</v>
      </c>
      <c r="E280" s="1">
        <f>IFERROR(__xludf.DUMMYFUNCTION("""COMPUTED_VALUE"""),113.68)</f>
        <v>113.68</v>
      </c>
      <c r="F280" s="1">
        <f>IFERROR(__xludf.DUMMYFUNCTION("""COMPUTED_VALUE"""),888873.0)</f>
        <v>888873</v>
      </c>
      <c r="G280" s="2" t="s">
        <v>6</v>
      </c>
    </row>
    <row r="281">
      <c r="A281" s="3">
        <f>IFERROR(__xludf.DUMMYFUNCTION("""COMPUTED_VALUE"""),44970.66666666667)</f>
        <v>44970.66667</v>
      </c>
      <c r="B281" s="1">
        <f>IFERROR(__xludf.DUMMYFUNCTION("""COMPUTED_VALUE"""),113.68)</f>
        <v>113.68</v>
      </c>
      <c r="C281" s="1">
        <f>IFERROR(__xludf.DUMMYFUNCTION("""COMPUTED_VALUE"""),114.21)</f>
        <v>114.21</v>
      </c>
      <c r="D281" s="1">
        <f>IFERROR(__xludf.DUMMYFUNCTION("""COMPUTED_VALUE"""),113.36)</f>
        <v>113.36</v>
      </c>
      <c r="E281" s="1">
        <f>IFERROR(__xludf.DUMMYFUNCTION("""COMPUTED_VALUE"""),114.04)</f>
        <v>114.04</v>
      </c>
      <c r="F281" s="1">
        <f>IFERROR(__xludf.DUMMYFUNCTION("""COMPUTED_VALUE"""),592439.0)</f>
        <v>592439</v>
      </c>
      <c r="G281" s="2" t="s">
        <v>6</v>
      </c>
    </row>
    <row r="282">
      <c r="A282" s="3">
        <f>IFERROR(__xludf.DUMMYFUNCTION("""COMPUTED_VALUE"""),44971.66666666667)</f>
        <v>44971.66667</v>
      </c>
      <c r="B282" s="1">
        <f>IFERROR(__xludf.DUMMYFUNCTION("""COMPUTED_VALUE"""),113.98)</f>
        <v>113.98</v>
      </c>
      <c r="C282" s="1">
        <f>IFERROR(__xludf.DUMMYFUNCTION("""COMPUTED_VALUE"""),114.42)</f>
        <v>114.42</v>
      </c>
      <c r="D282" s="1">
        <f>IFERROR(__xludf.DUMMYFUNCTION("""COMPUTED_VALUE"""),113.35)</f>
        <v>113.35</v>
      </c>
      <c r="E282" s="1">
        <f>IFERROR(__xludf.DUMMYFUNCTION("""COMPUTED_VALUE"""),113.7)</f>
        <v>113.7</v>
      </c>
      <c r="F282" s="1">
        <f>IFERROR(__xludf.DUMMYFUNCTION("""COMPUTED_VALUE"""),1231909.0)</f>
        <v>1231909</v>
      </c>
      <c r="G282" s="2" t="s">
        <v>6</v>
      </c>
    </row>
    <row r="283">
      <c r="A283" s="3">
        <f>IFERROR(__xludf.DUMMYFUNCTION("""COMPUTED_VALUE"""),44972.66666666667)</f>
        <v>44972.66667</v>
      </c>
      <c r="B283" s="1">
        <f>IFERROR(__xludf.DUMMYFUNCTION("""COMPUTED_VALUE"""),113.1)</f>
        <v>113.1</v>
      </c>
      <c r="C283" s="1">
        <f>IFERROR(__xludf.DUMMYFUNCTION("""COMPUTED_VALUE"""),114.42)</f>
        <v>114.42</v>
      </c>
      <c r="D283" s="1">
        <f>IFERROR(__xludf.DUMMYFUNCTION("""COMPUTED_VALUE"""),112.91)</f>
        <v>112.91</v>
      </c>
      <c r="E283" s="1">
        <f>IFERROR(__xludf.DUMMYFUNCTION("""COMPUTED_VALUE"""),114.21)</f>
        <v>114.21</v>
      </c>
      <c r="F283" s="1">
        <f>IFERROR(__xludf.DUMMYFUNCTION("""COMPUTED_VALUE"""),996693.0)</f>
        <v>996693</v>
      </c>
      <c r="G283" s="2" t="s">
        <v>6</v>
      </c>
    </row>
    <row r="284">
      <c r="A284" s="3">
        <f>IFERROR(__xludf.DUMMYFUNCTION("""COMPUTED_VALUE"""),44973.66666666667)</f>
        <v>44973.66667</v>
      </c>
      <c r="B284" s="1">
        <f>IFERROR(__xludf.DUMMYFUNCTION("""COMPUTED_VALUE"""),113.16)</f>
        <v>113.16</v>
      </c>
      <c r="C284" s="1">
        <f>IFERROR(__xludf.DUMMYFUNCTION("""COMPUTED_VALUE"""),113.94)</f>
        <v>113.94</v>
      </c>
      <c r="D284" s="1">
        <f>IFERROR(__xludf.DUMMYFUNCTION("""COMPUTED_VALUE"""),111.92)</f>
        <v>111.92</v>
      </c>
      <c r="E284" s="1">
        <f>IFERROR(__xludf.DUMMYFUNCTION("""COMPUTED_VALUE"""),113.4)</f>
        <v>113.4</v>
      </c>
      <c r="F284" s="1">
        <f>IFERROR(__xludf.DUMMYFUNCTION("""COMPUTED_VALUE"""),1167690.0)</f>
        <v>1167690</v>
      </c>
      <c r="G284" s="2" t="s">
        <v>6</v>
      </c>
    </row>
    <row r="285">
      <c r="A285" s="3">
        <f>IFERROR(__xludf.DUMMYFUNCTION("""COMPUTED_VALUE"""),44974.66666666667)</f>
        <v>44974.66667</v>
      </c>
      <c r="B285" s="1">
        <f>IFERROR(__xludf.DUMMYFUNCTION("""COMPUTED_VALUE"""),113.67)</f>
        <v>113.67</v>
      </c>
      <c r="C285" s="1">
        <f>IFERROR(__xludf.DUMMYFUNCTION("""COMPUTED_VALUE"""),115.78)</f>
        <v>115.78</v>
      </c>
      <c r="D285" s="1">
        <f>IFERROR(__xludf.DUMMYFUNCTION("""COMPUTED_VALUE"""),113.19)</f>
        <v>113.19</v>
      </c>
      <c r="E285" s="1">
        <f>IFERROR(__xludf.DUMMYFUNCTION("""COMPUTED_VALUE"""),115.3)</f>
        <v>115.3</v>
      </c>
      <c r="F285" s="1">
        <f>IFERROR(__xludf.DUMMYFUNCTION("""COMPUTED_VALUE"""),1025839.0)</f>
        <v>1025839</v>
      </c>
      <c r="G285" s="2" t="s">
        <v>6</v>
      </c>
    </row>
    <row r="286">
      <c r="A286" s="3">
        <f>IFERROR(__xludf.DUMMYFUNCTION("""COMPUTED_VALUE"""),44978.66666666667)</f>
        <v>44978.66667</v>
      </c>
      <c r="B286" s="1">
        <f>IFERROR(__xludf.DUMMYFUNCTION("""COMPUTED_VALUE"""),114.77)</f>
        <v>114.77</v>
      </c>
      <c r="C286" s="1">
        <f>IFERROR(__xludf.DUMMYFUNCTION("""COMPUTED_VALUE"""),114.81)</f>
        <v>114.81</v>
      </c>
      <c r="D286" s="1">
        <f>IFERROR(__xludf.DUMMYFUNCTION("""COMPUTED_VALUE"""),112.92)</f>
        <v>112.92</v>
      </c>
      <c r="E286" s="1">
        <f>IFERROR(__xludf.DUMMYFUNCTION("""COMPUTED_VALUE"""),113.24)</f>
        <v>113.24</v>
      </c>
      <c r="F286" s="1">
        <f>IFERROR(__xludf.DUMMYFUNCTION("""COMPUTED_VALUE"""),1283712.0)</f>
        <v>1283712</v>
      </c>
      <c r="G286" s="2" t="s">
        <v>6</v>
      </c>
    </row>
    <row r="287">
      <c r="A287" s="3">
        <f>IFERROR(__xludf.DUMMYFUNCTION("""COMPUTED_VALUE"""),44979.66666666667)</f>
        <v>44979.66667</v>
      </c>
      <c r="B287" s="1">
        <f>IFERROR(__xludf.DUMMYFUNCTION("""COMPUTED_VALUE"""),113.58)</f>
        <v>113.58</v>
      </c>
      <c r="C287" s="1">
        <f>IFERROR(__xludf.DUMMYFUNCTION("""COMPUTED_VALUE"""),113.88)</f>
        <v>113.88</v>
      </c>
      <c r="D287" s="1">
        <f>IFERROR(__xludf.DUMMYFUNCTION("""COMPUTED_VALUE"""),112.25)</f>
        <v>112.25</v>
      </c>
      <c r="E287" s="1">
        <f>IFERROR(__xludf.DUMMYFUNCTION("""COMPUTED_VALUE"""),112.81)</f>
        <v>112.81</v>
      </c>
      <c r="F287" s="1">
        <f>IFERROR(__xludf.DUMMYFUNCTION("""COMPUTED_VALUE"""),1389262.0)</f>
        <v>1389262</v>
      </c>
      <c r="G287" s="2" t="s">
        <v>6</v>
      </c>
    </row>
    <row r="288">
      <c r="A288" s="3">
        <f>IFERROR(__xludf.DUMMYFUNCTION("""COMPUTED_VALUE"""),44980.66666666667)</f>
        <v>44980.66667</v>
      </c>
      <c r="B288" s="1">
        <f>IFERROR(__xludf.DUMMYFUNCTION("""COMPUTED_VALUE"""),114.91)</f>
        <v>114.91</v>
      </c>
      <c r="C288" s="1">
        <f>IFERROR(__xludf.DUMMYFUNCTION("""COMPUTED_VALUE"""),114.91)</f>
        <v>114.91</v>
      </c>
      <c r="D288" s="1">
        <f>IFERROR(__xludf.DUMMYFUNCTION("""COMPUTED_VALUE"""),111.48)</f>
        <v>111.48</v>
      </c>
      <c r="E288" s="1">
        <f>IFERROR(__xludf.DUMMYFUNCTION("""COMPUTED_VALUE"""),112.32)</f>
        <v>112.32</v>
      </c>
      <c r="F288" s="1">
        <f>IFERROR(__xludf.DUMMYFUNCTION("""COMPUTED_VALUE"""),1248872.0)</f>
        <v>1248872</v>
      </c>
      <c r="G288" s="2" t="s">
        <v>6</v>
      </c>
    </row>
    <row r="289">
      <c r="A289" s="3">
        <f>IFERROR(__xludf.DUMMYFUNCTION("""COMPUTED_VALUE"""),44981.66666666667)</f>
        <v>44981.66667</v>
      </c>
      <c r="B289" s="1">
        <f>IFERROR(__xludf.DUMMYFUNCTION("""COMPUTED_VALUE"""),111.4)</f>
        <v>111.4</v>
      </c>
      <c r="C289" s="1">
        <f>IFERROR(__xludf.DUMMYFUNCTION("""COMPUTED_VALUE"""),113.1)</f>
        <v>113.1</v>
      </c>
      <c r="D289" s="1">
        <f>IFERROR(__xludf.DUMMYFUNCTION("""COMPUTED_VALUE"""),110.64)</f>
        <v>110.64</v>
      </c>
      <c r="E289" s="1">
        <f>IFERROR(__xludf.DUMMYFUNCTION("""COMPUTED_VALUE"""),113.0)</f>
        <v>113</v>
      </c>
      <c r="F289" s="1">
        <f>IFERROR(__xludf.DUMMYFUNCTION("""COMPUTED_VALUE"""),1745047.0)</f>
        <v>1745047</v>
      </c>
      <c r="G289" s="2" t="s">
        <v>6</v>
      </c>
    </row>
    <row r="290">
      <c r="A290" s="3">
        <f>IFERROR(__xludf.DUMMYFUNCTION("""COMPUTED_VALUE"""),44984.66666666667)</f>
        <v>44984.66667</v>
      </c>
      <c r="B290" s="1">
        <f>IFERROR(__xludf.DUMMYFUNCTION("""COMPUTED_VALUE"""),113.55)</f>
        <v>113.55</v>
      </c>
      <c r="C290" s="1">
        <f>IFERROR(__xludf.DUMMYFUNCTION("""COMPUTED_VALUE"""),114.09)</f>
        <v>114.09</v>
      </c>
      <c r="D290" s="1">
        <f>IFERROR(__xludf.DUMMYFUNCTION("""COMPUTED_VALUE"""),111.23)</f>
        <v>111.23</v>
      </c>
      <c r="E290" s="1">
        <f>IFERROR(__xludf.DUMMYFUNCTION("""COMPUTED_VALUE"""),111.54)</f>
        <v>111.54</v>
      </c>
      <c r="F290" s="1">
        <f>IFERROR(__xludf.DUMMYFUNCTION("""COMPUTED_VALUE"""),1374277.0)</f>
        <v>1374277</v>
      </c>
      <c r="G290" s="2" t="s">
        <v>6</v>
      </c>
    </row>
    <row r="291">
      <c r="A291" s="3">
        <f>IFERROR(__xludf.DUMMYFUNCTION("""COMPUTED_VALUE"""),44985.66666666667)</f>
        <v>44985.66667</v>
      </c>
      <c r="B291" s="1">
        <f>IFERROR(__xludf.DUMMYFUNCTION("""COMPUTED_VALUE"""),111.0)</f>
        <v>111</v>
      </c>
      <c r="C291" s="1">
        <f>IFERROR(__xludf.DUMMYFUNCTION("""COMPUTED_VALUE"""),111.38)</f>
        <v>111.38</v>
      </c>
      <c r="D291" s="1">
        <f>IFERROR(__xludf.DUMMYFUNCTION("""COMPUTED_VALUE"""),109.41)</f>
        <v>109.41</v>
      </c>
      <c r="E291" s="1">
        <f>IFERROR(__xludf.DUMMYFUNCTION("""COMPUTED_VALUE"""),109.71)</f>
        <v>109.71</v>
      </c>
      <c r="F291" s="1">
        <f>IFERROR(__xludf.DUMMYFUNCTION("""COMPUTED_VALUE"""),2037891.0)</f>
        <v>2037891</v>
      </c>
      <c r="G291" s="2" t="s">
        <v>6</v>
      </c>
    </row>
    <row r="292">
      <c r="A292" s="3">
        <f>IFERROR(__xludf.DUMMYFUNCTION("""COMPUTED_VALUE"""),44986.66666666667)</f>
        <v>44986.66667</v>
      </c>
      <c r="B292" s="1">
        <f>IFERROR(__xludf.DUMMYFUNCTION("""COMPUTED_VALUE"""),108.63)</f>
        <v>108.63</v>
      </c>
      <c r="C292" s="1">
        <f>IFERROR(__xludf.DUMMYFUNCTION("""COMPUTED_VALUE"""),108.91)</f>
        <v>108.91</v>
      </c>
      <c r="D292" s="1">
        <f>IFERROR(__xludf.DUMMYFUNCTION("""COMPUTED_VALUE"""),106.11)</f>
        <v>106.11</v>
      </c>
      <c r="E292" s="1">
        <f>IFERROR(__xludf.DUMMYFUNCTION("""COMPUTED_VALUE"""),106.86)</f>
        <v>106.86</v>
      </c>
      <c r="F292" s="1">
        <f>IFERROR(__xludf.DUMMYFUNCTION("""COMPUTED_VALUE"""),1909983.0)</f>
        <v>1909983</v>
      </c>
      <c r="G292" s="2" t="s">
        <v>6</v>
      </c>
    </row>
    <row r="293">
      <c r="A293" s="3">
        <f>IFERROR(__xludf.DUMMYFUNCTION("""COMPUTED_VALUE"""),44987.66666666667)</f>
        <v>44987.66667</v>
      </c>
      <c r="B293" s="1">
        <f>IFERROR(__xludf.DUMMYFUNCTION("""COMPUTED_VALUE"""),106.68)</f>
        <v>106.68</v>
      </c>
      <c r="C293" s="1">
        <f>IFERROR(__xludf.DUMMYFUNCTION("""COMPUTED_VALUE"""),108.36)</f>
        <v>108.36</v>
      </c>
      <c r="D293" s="1">
        <f>IFERROR(__xludf.DUMMYFUNCTION("""COMPUTED_VALUE"""),106.47)</f>
        <v>106.47</v>
      </c>
      <c r="E293" s="1">
        <f>IFERROR(__xludf.DUMMYFUNCTION("""COMPUTED_VALUE"""),108.36)</f>
        <v>108.36</v>
      </c>
      <c r="F293" s="1">
        <f>IFERROR(__xludf.DUMMYFUNCTION("""COMPUTED_VALUE"""),1891453.0)</f>
        <v>1891453</v>
      </c>
      <c r="G293" s="2" t="s">
        <v>6</v>
      </c>
    </row>
    <row r="294">
      <c r="A294" s="3">
        <f>IFERROR(__xludf.DUMMYFUNCTION("""COMPUTED_VALUE"""),44988.66666666667)</f>
        <v>44988.66667</v>
      </c>
      <c r="B294" s="1">
        <f>IFERROR(__xludf.DUMMYFUNCTION("""COMPUTED_VALUE"""),108.31)</f>
        <v>108.31</v>
      </c>
      <c r="C294" s="1">
        <f>IFERROR(__xludf.DUMMYFUNCTION("""COMPUTED_VALUE"""),109.56)</f>
        <v>109.56</v>
      </c>
      <c r="D294" s="1">
        <f>IFERROR(__xludf.DUMMYFUNCTION("""COMPUTED_VALUE"""),107.5)</f>
        <v>107.5</v>
      </c>
      <c r="E294" s="1">
        <f>IFERROR(__xludf.DUMMYFUNCTION("""COMPUTED_VALUE"""),109.35)</f>
        <v>109.35</v>
      </c>
      <c r="F294" s="1">
        <f>IFERROR(__xludf.DUMMYFUNCTION("""COMPUTED_VALUE"""),1399885.0)</f>
        <v>1399885</v>
      </c>
      <c r="G294" s="2" t="s">
        <v>6</v>
      </c>
    </row>
    <row r="295">
      <c r="A295" s="3">
        <f>IFERROR(__xludf.DUMMYFUNCTION("""COMPUTED_VALUE"""),44991.66666666667)</f>
        <v>44991.66667</v>
      </c>
      <c r="B295" s="1">
        <f>IFERROR(__xludf.DUMMYFUNCTION("""COMPUTED_VALUE"""),109.21)</f>
        <v>109.21</v>
      </c>
      <c r="C295" s="1">
        <f>IFERROR(__xludf.DUMMYFUNCTION("""COMPUTED_VALUE"""),110.28)</f>
        <v>110.28</v>
      </c>
      <c r="D295" s="1">
        <f>IFERROR(__xludf.DUMMYFUNCTION("""COMPUTED_VALUE"""),108.66)</f>
        <v>108.66</v>
      </c>
      <c r="E295" s="1">
        <f>IFERROR(__xludf.DUMMYFUNCTION("""COMPUTED_VALUE"""),108.92)</f>
        <v>108.92</v>
      </c>
      <c r="F295" s="1">
        <f>IFERROR(__xludf.DUMMYFUNCTION("""COMPUTED_VALUE"""),1384272.0)</f>
        <v>1384272</v>
      </c>
      <c r="G295" s="2" t="s">
        <v>6</v>
      </c>
    </row>
    <row r="296">
      <c r="A296" s="3">
        <f>IFERROR(__xludf.DUMMYFUNCTION("""COMPUTED_VALUE"""),44992.66666666667)</f>
        <v>44992.66667</v>
      </c>
      <c r="B296" s="1">
        <f>IFERROR(__xludf.DUMMYFUNCTION("""COMPUTED_VALUE"""),108.92)</f>
        <v>108.92</v>
      </c>
      <c r="C296" s="1">
        <f>IFERROR(__xludf.DUMMYFUNCTION("""COMPUTED_VALUE"""),109.12)</f>
        <v>109.12</v>
      </c>
      <c r="D296" s="1">
        <f>IFERROR(__xludf.DUMMYFUNCTION("""COMPUTED_VALUE"""),105.56)</f>
        <v>105.56</v>
      </c>
      <c r="E296" s="1">
        <f>IFERROR(__xludf.DUMMYFUNCTION("""COMPUTED_VALUE"""),106.3)</f>
        <v>106.3</v>
      </c>
      <c r="F296" s="1">
        <f>IFERROR(__xludf.DUMMYFUNCTION("""COMPUTED_VALUE"""),2667879.0)</f>
        <v>2667879</v>
      </c>
      <c r="G296" s="2" t="s">
        <v>6</v>
      </c>
    </row>
    <row r="297">
      <c r="A297" s="3">
        <f>IFERROR(__xludf.DUMMYFUNCTION("""COMPUTED_VALUE"""),44993.66666666667)</f>
        <v>44993.66667</v>
      </c>
      <c r="B297" s="1">
        <f>IFERROR(__xludf.DUMMYFUNCTION("""COMPUTED_VALUE"""),106.29)</f>
        <v>106.29</v>
      </c>
      <c r="C297" s="1">
        <f>IFERROR(__xludf.DUMMYFUNCTION("""COMPUTED_VALUE"""),107.48)</f>
        <v>107.48</v>
      </c>
      <c r="D297" s="1">
        <f>IFERROR(__xludf.DUMMYFUNCTION("""COMPUTED_VALUE"""),105.98)</f>
        <v>105.98</v>
      </c>
      <c r="E297" s="1">
        <f>IFERROR(__xludf.DUMMYFUNCTION("""COMPUTED_VALUE"""),107.33)</f>
        <v>107.33</v>
      </c>
      <c r="F297" s="1">
        <f>IFERROR(__xludf.DUMMYFUNCTION("""COMPUTED_VALUE"""),1253523.0)</f>
        <v>1253523</v>
      </c>
      <c r="G297" s="2" t="s">
        <v>6</v>
      </c>
    </row>
    <row r="298">
      <c r="A298" s="3">
        <f>IFERROR(__xludf.DUMMYFUNCTION("""COMPUTED_VALUE"""),44994.66666666667)</f>
        <v>44994.66667</v>
      </c>
      <c r="B298" s="1">
        <f>IFERROR(__xludf.DUMMYFUNCTION("""COMPUTED_VALUE"""),107.82)</f>
        <v>107.82</v>
      </c>
      <c r="C298" s="1">
        <f>IFERROR(__xludf.DUMMYFUNCTION("""COMPUTED_VALUE"""),108.78)</f>
        <v>108.78</v>
      </c>
      <c r="D298" s="1">
        <f>IFERROR(__xludf.DUMMYFUNCTION("""COMPUTED_VALUE"""),106.28)</f>
        <v>106.28</v>
      </c>
      <c r="E298" s="1">
        <f>IFERROR(__xludf.DUMMYFUNCTION("""COMPUTED_VALUE"""),106.73)</f>
        <v>106.73</v>
      </c>
      <c r="F298" s="1">
        <f>IFERROR(__xludf.DUMMYFUNCTION("""COMPUTED_VALUE"""),1271797.0)</f>
        <v>1271797</v>
      </c>
      <c r="G298" s="2" t="s">
        <v>6</v>
      </c>
    </row>
    <row r="299">
      <c r="A299" s="3">
        <f>IFERROR(__xludf.DUMMYFUNCTION("""COMPUTED_VALUE"""),44995.66666666667)</f>
        <v>44995.66667</v>
      </c>
      <c r="B299" s="1">
        <f>IFERROR(__xludf.DUMMYFUNCTION("""COMPUTED_VALUE"""),107.05)</f>
        <v>107.05</v>
      </c>
      <c r="C299" s="1">
        <f>IFERROR(__xludf.DUMMYFUNCTION("""COMPUTED_VALUE"""),107.19)</f>
        <v>107.19</v>
      </c>
      <c r="D299" s="1">
        <f>IFERROR(__xludf.DUMMYFUNCTION("""COMPUTED_VALUE"""),103.81)</f>
        <v>103.81</v>
      </c>
      <c r="E299" s="1">
        <f>IFERROR(__xludf.DUMMYFUNCTION("""COMPUTED_VALUE"""),104.48)</f>
        <v>104.48</v>
      </c>
      <c r="F299" s="1">
        <f>IFERROR(__xludf.DUMMYFUNCTION("""COMPUTED_VALUE"""),1153478.0)</f>
        <v>1153478</v>
      </c>
      <c r="G299" s="2" t="s">
        <v>6</v>
      </c>
    </row>
    <row r="300">
      <c r="A300" s="3">
        <f>IFERROR(__xludf.DUMMYFUNCTION("""COMPUTED_VALUE"""),44998.66666666667)</f>
        <v>44998.66667</v>
      </c>
      <c r="B300" s="1">
        <f>IFERROR(__xludf.DUMMYFUNCTION("""COMPUTED_VALUE"""),104.59)</f>
        <v>104.59</v>
      </c>
      <c r="C300" s="1">
        <f>IFERROR(__xludf.DUMMYFUNCTION("""COMPUTED_VALUE"""),109.1)</f>
        <v>109.1</v>
      </c>
      <c r="D300" s="1">
        <f>IFERROR(__xludf.DUMMYFUNCTION("""COMPUTED_VALUE"""),104.25)</f>
        <v>104.25</v>
      </c>
      <c r="E300" s="1">
        <f>IFERROR(__xludf.DUMMYFUNCTION("""COMPUTED_VALUE"""),106.87)</f>
        <v>106.87</v>
      </c>
      <c r="F300" s="1">
        <f>IFERROR(__xludf.DUMMYFUNCTION("""COMPUTED_VALUE"""),1337228.0)</f>
        <v>1337228</v>
      </c>
      <c r="G300" s="2" t="s">
        <v>6</v>
      </c>
    </row>
    <row r="301">
      <c r="A301" s="3">
        <f>IFERROR(__xludf.DUMMYFUNCTION("""COMPUTED_VALUE"""),44999.66666666667)</f>
        <v>44999.66667</v>
      </c>
      <c r="B301" s="1">
        <f>IFERROR(__xludf.DUMMYFUNCTION("""COMPUTED_VALUE"""),107.73)</f>
        <v>107.73</v>
      </c>
      <c r="C301" s="1">
        <f>IFERROR(__xludf.DUMMYFUNCTION("""COMPUTED_VALUE"""),108.36)</f>
        <v>108.36</v>
      </c>
      <c r="D301" s="1">
        <f>IFERROR(__xludf.DUMMYFUNCTION("""COMPUTED_VALUE"""),106.22)</f>
        <v>106.22</v>
      </c>
      <c r="E301" s="1">
        <f>IFERROR(__xludf.DUMMYFUNCTION("""COMPUTED_VALUE"""),107.48)</f>
        <v>107.48</v>
      </c>
      <c r="F301" s="1">
        <f>IFERROR(__xludf.DUMMYFUNCTION("""COMPUTED_VALUE"""),1349242.0)</f>
        <v>1349242</v>
      </c>
      <c r="G301" s="2" t="s">
        <v>6</v>
      </c>
    </row>
    <row r="302">
      <c r="A302" s="3">
        <f>IFERROR(__xludf.DUMMYFUNCTION("""COMPUTED_VALUE"""),45000.66666666667)</f>
        <v>45000.66667</v>
      </c>
      <c r="B302" s="1">
        <f>IFERROR(__xludf.DUMMYFUNCTION("""COMPUTED_VALUE"""),107.32)</f>
        <v>107.32</v>
      </c>
      <c r="C302" s="1">
        <f>IFERROR(__xludf.DUMMYFUNCTION("""COMPUTED_VALUE"""),109.91)</f>
        <v>109.91</v>
      </c>
      <c r="D302" s="1">
        <f>IFERROR(__xludf.DUMMYFUNCTION("""COMPUTED_VALUE"""),106.58)</f>
        <v>106.58</v>
      </c>
      <c r="E302" s="1">
        <f>IFERROR(__xludf.DUMMYFUNCTION("""COMPUTED_VALUE"""),108.97)</f>
        <v>108.97</v>
      </c>
      <c r="F302" s="1">
        <f>IFERROR(__xludf.DUMMYFUNCTION("""COMPUTED_VALUE"""),1701916.0)</f>
        <v>1701916</v>
      </c>
      <c r="G302" s="2" t="s">
        <v>6</v>
      </c>
    </row>
    <row r="303">
      <c r="A303" s="3">
        <f>IFERROR(__xludf.DUMMYFUNCTION("""COMPUTED_VALUE"""),45001.66666666667)</f>
        <v>45001.66667</v>
      </c>
      <c r="B303" s="1">
        <f>IFERROR(__xludf.DUMMYFUNCTION("""COMPUTED_VALUE"""),108.61)</f>
        <v>108.61</v>
      </c>
      <c r="C303" s="1">
        <f>IFERROR(__xludf.DUMMYFUNCTION("""COMPUTED_VALUE"""),110.07)</f>
        <v>110.07</v>
      </c>
      <c r="D303" s="1">
        <f>IFERROR(__xludf.DUMMYFUNCTION("""COMPUTED_VALUE"""),108.05)</f>
        <v>108.05</v>
      </c>
      <c r="E303" s="1">
        <f>IFERROR(__xludf.DUMMYFUNCTION("""COMPUTED_VALUE"""),109.22)</f>
        <v>109.22</v>
      </c>
      <c r="F303" s="1">
        <f>IFERROR(__xludf.DUMMYFUNCTION("""COMPUTED_VALUE"""),1380900.0)</f>
        <v>1380900</v>
      </c>
      <c r="G303" s="2" t="s">
        <v>6</v>
      </c>
    </row>
    <row r="304">
      <c r="A304" s="3">
        <f>IFERROR(__xludf.DUMMYFUNCTION("""COMPUTED_VALUE"""),45002.66666666667)</f>
        <v>45002.66667</v>
      </c>
      <c r="B304" s="1">
        <f>IFERROR(__xludf.DUMMYFUNCTION("""COMPUTED_VALUE"""),108.07)</f>
        <v>108.07</v>
      </c>
      <c r="C304" s="1">
        <f>IFERROR(__xludf.DUMMYFUNCTION("""COMPUTED_VALUE"""),108.46)</f>
        <v>108.46</v>
      </c>
      <c r="D304" s="1">
        <f>IFERROR(__xludf.DUMMYFUNCTION("""COMPUTED_VALUE"""),106.44)</f>
        <v>106.44</v>
      </c>
      <c r="E304" s="1">
        <f>IFERROR(__xludf.DUMMYFUNCTION("""COMPUTED_VALUE"""),107.04)</f>
        <v>107.04</v>
      </c>
      <c r="F304" s="1">
        <f>IFERROR(__xludf.DUMMYFUNCTION("""COMPUTED_VALUE"""),2379578.0)</f>
        <v>2379578</v>
      </c>
      <c r="G304" s="2" t="s">
        <v>6</v>
      </c>
    </row>
    <row r="305">
      <c r="A305" s="3">
        <f>IFERROR(__xludf.DUMMYFUNCTION("""COMPUTED_VALUE"""),45005.66666666667)</f>
        <v>45005.66667</v>
      </c>
      <c r="B305" s="1">
        <f>IFERROR(__xludf.DUMMYFUNCTION("""COMPUTED_VALUE"""),107.33)</f>
        <v>107.33</v>
      </c>
      <c r="C305" s="1">
        <f>IFERROR(__xludf.DUMMYFUNCTION("""COMPUTED_VALUE"""),108.84)</f>
        <v>108.84</v>
      </c>
      <c r="D305" s="1">
        <f>IFERROR(__xludf.DUMMYFUNCTION("""COMPUTED_VALUE"""),107.33)</f>
        <v>107.33</v>
      </c>
      <c r="E305" s="1">
        <f>IFERROR(__xludf.DUMMYFUNCTION("""COMPUTED_VALUE"""),108.4)</f>
        <v>108.4</v>
      </c>
      <c r="F305" s="1">
        <f>IFERROR(__xludf.DUMMYFUNCTION("""COMPUTED_VALUE"""),1742140.0)</f>
        <v>1742140</v>
      </c>
      <c r="G305" s="2" t="s">
        <v>6</v>
      </c>
    </row>
    <row r="306">
      <c r="A306" s="3">
        <f>IFERROR(__xludf.DUMMYFUNCTION("""COMPUTED_VALUE"""),45006.66666666667)</f>
        <v>45006.66667</v>
      </c>
      <c r="B306" s="1">
        <f>IFERROR(__xludf.DUMMYFUNCTION("""COMPUTED_VALUE"""),108.45)</f>
        <v>108.45</v>
      </c>
      <c r="C306" s="1">
        <f>IFERROR(__xludf.DUMMYFUNCTION("""COMPUTED_VALUE"""),108.45)</f>
        <v>108.45</v>
      </c>
      <c r="D306" s="1">
        <f>IFERROR(__xludf.DUMMYFUNCTION("""COMPUTED_VALUE"""),104.76)</f>
        <v>104.76</v>
      </c>
      <c r="E306" s="1">
        <f>IFERROR(__xludf.DUMMYFUNCTION("""COMPUTED_VALUE"""),106.29)</f>
        <v>106.29</v>
      </c>
      <c r="F306" s="1">
        <f>IFERROR(__xludf.DUMMYFUNCTION("""COMPUTED_VALUE"""),1285746.0)</f>
        <v>1285746</v>
      </c>
      <c r="G306" s="2" t="s">
        <v>6</v>
      </c>
    </row>
    <row r="307">
      <c r="A307" s="3">
        <f>IFERROR(__xludf.DUMMYFUNCTION("""COMPUTED_VALUE"""),45007.66666666667)</f>
        <v>45007.66667</v>
      </c>
      <c r="B307" s="1">
        <f>IFERROR(__xludf.DUMMYFUNCTION("""COMPUTED_VALUE"""),105.83)</f>
        <v>105.83</v>
      </c>
      <c r="C307" s="1">
        <f>IFERROR(__xludf.DUMMYFUNCTION("""COMPUTED_VALUE"""),106.49)</f>
        <v>106.49</v>
      </c>
      <c r="D307" s="1">
        <f>IFERROR(__xludf.DUMMYFUNCTION("""COMPUTED_VALUE"""),103.97)</f>
        <v>103.97</v>
      </c>
      <c r="E307" s="1">
        <f>IFERROR(__xludf.DUMMYFUNCTION("""COMPUTED_VALUE"""),103.98)</f>
        <v>103.98</v>
      </c>
      <c r="F307" s="1">
        <f>IFERROR(__xludf.DUMMYFUNCTION("""COMPUTED_VALUE"""),1055109.0)</f>
        <v>1055109</v>
      </c>
      <c r="G307" s="2" t="s">
        <v>6</v>
      </c>
    </row>
    <row r="308">
      <c r="A308" s="3">
        <f>IFERROR(__xludf.DUMMYFUNCTION("""COMPUTED_VALUE"""),45008.66666666667)</f>
        <v>45008.66667</v>
      </c>
      <c r="B308" s="1">
        <f>IFERROR(__xludf.DUMMYFUNCTION("""COMPUTED_VALUE"""),103.81)</f>
        <v>103.81</v>
      </c>
      <c r="C308" s="1">
        <f>IFERROR(__xludf.DUMMYFUNCTION("""COMPUTED_VALUE"""),104.74)</f>
        <v>104.74</v>
      </c>
      <c r="D308" s="1">
        <f>IFERROR(__xludf.DUMMYFUNCTION("""COMPUTED_VALUE"""),102.27)</f>
        <v>102.27</v>
      </c>
      <c r="E308" s="1">
        <f>IFERROR(__xludf.DUMMYFUNCTION("""COMPUTED_VALUE"""),102.66)</f>
        <v>102.66</v>
      </c>
      <c r="F308" s="1">
        <f>IFERROR(__xludf.DUMMYFUNCTION("""COMPUTED_VALUE"""),912845.0)</f>
        <v>912845</v>
      </c>
      <c r="G308" s="2" t="s">
        <v>6</v>
      </c>
    </row>
    <row r="309">
      <c r="A309" s="3">
        <f>IFERROR(__xludf.DUMMYFUNCTION("""COMPUTED_VALUE"""),45009.66666666667)</f>
        <v>45009.66667</v>
      </c>
      <c r="B309" s="1">
        <f>IFERROR(__xludf.DUMMYFUNCTION("""COMPUTED_VALUE"""),102.95)</f>
        <v>102.95</v>
      </c>
      <c r="C309" s="1">
        <f>IFERROR(__xludf.DUMMYFUNCTION("""COMPUTED_VALUE"""),106.79)</f>
        <v>106.79</v>
      </c>
      <c r="D309" s="1">
        <f>IFERROR(__xludf.DUMMYFUNCTION("""COMPUTED_VALUE"""),102.86)</f>
        <v>102.86</v>
      </c>
      <c r="E309" s="1">
        <f>IFERROR(__xludf.DUMMYFUNCTION("""COMPUTED_VALUE"""),106.75)</f>
        <v>106.75</v>
      </c>
      <c r="F309" s="1">
        <f>IFERROR(__xludf.DUMMYFUNCTION("""COMPUTED_VALUE"""),1022912.0)</f>
        <v>1022912</v>
      </c>
      <c r="G309" s="2" t="s">
        <v>6</v>
      </c>
    </row>
    <row r="310">
      <c r="A310" s="3">
        <f>IFERROR(__xludf.DUMMYFUNCTION("""COMPUTED_VALUE"""),45012.66666666667)</f>
        <v>45012.66667</v>
      </c>
      <c r="B310" s="1">
        <f>IFERROR(__xludf.DUMMYFUNCTION("""COMPUTED_VALUE"""),107.44)</f>
        <v>107.44</v>
      </c>
      <c r="C310" s="1">
        <f>IFERROR(__xludf.DUMMYFUNCTION("""COMPUTED_VALUE"""),107.87)</f>
        <v>107.87</v>
      </c>
      <c r="D310" s="1">
        <f>IFERROR(__xludf.DUMMYFUNCTION("""COMPUTED_VALUE"""),105.22)</f>
        <v>105.22</v>
      </c>
      <c r="E310" s="1">
        <f>IFERROR(__xludf.DUMMYFUNCTION("""COMPUTED_VALUE"""),105.69)</f>
        <v>105.69</v>
      </c>
      <c r="F310" s="1">
        <f>IFERROR(__xludf.DUMMYFUNCTION("""COMPUTED_VALUE"""),1495872.0)</f>
        <v>1495872</v>
      </c>
      <c r="G310" s="2" t="s">
        <v>6</v>
      </c>
    </row>
    <row r="311">
      <c r="A311" s="3">
        <f>IFERROR(__xludf.DUMMYFUNCTION("""COMPUTED_VALUE"""),45013.66666666667)</f>
        <v>45013.66667</v>
      </c>
      <c r="B311" s="1">
        <f>IFERROR(__xludf.DUMMYFUNCTION("""COMPUTED_VALUE"""),105.64)</f>
        <v>105.64</v>
      </c>
      <c r="C311" s="1">
        <f>IFERROR(__xludf.DUMMYFUNCTION("""COMPUTED_VALUE"""),107.42)</f>
        <v>107.42</v>
      </c>
      <c r="D311" s="1">
        <f>IFERROR(__xludf.DUMMYFUNCTION("""COMPUTED_VALUE"""),105.3)</f>
        <v>105.3</v>
      </c>
      <c r="E311" s="1">
        <f>IFERROR(__xludf.DUMMYFUNCTION("""COMPUTED_VALUE"""),106.25)</f>
        <v>106.25</v>
      </c>
      <c r="F311" s="1">
        <f>IFERROR(__xludf.DUMMYFUNCTION("""COMPUTED_VALUE"""),919554.0)</f>
        <v>919554</v>
      </c>
      <c r="G311" s="2" t="s">
        <v>6</v>
      </c>
    </row>
    <row r="312">
      <c r="A312" s="3">
        <f>IFERROR(__xludf.DUMMYFUNCTION("""COMPUTED_VALUE"""),45014.66666666667)</f>
        <v>45014.66667</v>
      </c>
      <c r="B312" s="1">
        <f>IFERROR(__xludf.DUMMYFUNCTION("""COMPUTED_VALUE"""),106.78)</f>
        <v>106.78</v>
      </c>
      <c r="C312" s="1">
        <f>IFERROR(__xludf.DUMMYFUNCTION("""COMPUTED_VALUE"""),108.56)</f>
        <v>108.56</v>
      </c>
      <c r="D312" s="1">
        <f>IFERROR(__xludf.DUMMYFUNCTION("""COMPUTED_VALUE"""),106.78)</f>
        <v>106.78</v>
      </c>
      <c r="E312" s="1">
        <f>IFERROR(__xludf.DUMMYFUNCTION("""COMPUTED_VALUE"""),107.94)</f>
        <v>107.94</v>
      </c>
      <c r="F312" s="1">
        <f>IFERROR(__xludf.DUMMYFUNCTION("""COMPUTED_VALUE"""),935328.0)</f>
        <v>935328</v>
      </c>
      <c r="G312" s="2" t="s">
        <v>6</v>
      </c>
    </row>
    <row r="313">
      <c r="A313" s="3">
        <f>IFERROR(__xludf.DUMMYFUNCTION("""COMPUTED_VALUE"""),45015.66666666667)</f>
        <v>45015.66667</v>
      </c>
      <c r="B313" s="1">
        <f>IFERROR(__xludf.DUMMYFUNCTION("""COMPUTED_VALUE"""),108.33)</f>
        <v>108.33</v>
      </c>
      <c r="C313" s="1">
        <f>IFERROR(__xludf.DUMMYFUNCTION("""COMPUTED_VALUE"""),109.01)</f>
        <v>109.01</v>
      </c>
      <c r="D313" s="1">
        <f>IFERROR(__xludf.DUMMYFUNCTION("""COMPUTED_VALUE"""),108.18)</f>
        <v>108.18</v>
      </c>
      <c r="E313" s="1">
        <f>IFERROR(__xludf.DUMMYFUNCTION("""COMPUTED_VALUE"""),108.69)</f>
        <v>108.69</v>
      </c>
      <c r="F313" s="1">
        <f>IFERROR(__xludf.DUMMYFUNCTION("""COMPUTED_VALUE"""),840053.0)</f>
        <v>840053</v>
      </c>
      <c r="G313" s="2" t="s">
        <v>6</v>
      </c>
    </row>
    <row r="314">
      <c r="A314" s="3">
        <f>IFERROR(__xludf.DUMMYFUNCTION("""COMPUTED_VALUE"""),45016.66666666667)</f>
        <v>45016.66667</v>
      </c>
      <c r="B314" s="1">
        <f>IFERROR(__xludf.DUMMYFUNCTION("""COMPUTED_VALUE"""),108.84)</f>
        <v>108.84</v>
      </c>
      <c r="C314" s="1">
        <f>IFERROR(__xludf.DUMMYFUNCTION("""COMPUTED_VALUE"""),109.61)</f>
        <v>109.61</v>
      </c>
      <c r="D314" s="1">
        <f>IFERROR(__xludf.DUMMYFUNCTION("""COMPUTED_VALUE"""),108.25)</f>
        <v>108.25</v>
      </c>
      <c r="E314" s="1">
        <f>IFERROR(__xludf.DUMMYFUNCTION("""COMPUTED_VALUE"""),109.54)</f>
        <v>109.54</v>
      </c>
      <c r="F314" s="1">
        <f>IFERROR(__xludf.DUMMYFUNCTION("""COMPUTED_VALUE"""),1693521.0)</f>
        <v>1693521</v>
      </c>
      <c r="G314" s="2" t="s">
        <v>6</v>
      </c>
    </row>
    <row r="315">
      <c r="A315" s="3">
        <f>IFERROR(__xludf.DUMMYFUNCTION("""COMPUTED_VALUE"""),45019.66666666667)</f>
        <v>45019.66667</v>
      </c>
      <c r="B315" s="1">
        <f>IFERROR(__xludf.DUMMYFUNCTION("""COMPUTED_VALUE"""),109.12)</f>
        <v>109.12</v>
      </c>
      <c r="C315" s="1">
        <f>IFERROR(__xludf.DUMMYFUNCTION("""COMPUTED_VALUE"""),109.81)</f>
        <v>109.81</v>
      </c>
      <c r="D315" s="1">
        <f>IFERROR(__xludf.DUMMYFUNCTION("""COMPUTED_VALUE"""),107.97)</f>
        <v>107.97</v>
      </c>
      <c r="E315" s="1">
        <f>IFERROR(__xludf.DUMMYFUNCTION("""COMPUTED_VALUE"""),108.99)</f>
        <v>108.99</v>
      </c>
      <c r="F315" s="1">
        <f>IFERROR(__xludf.DUMMYFUNCTION("""COMPUTED_VALUE"""),1603401.0)</f>
        <v>1603401</v>
      </c>
      <c r="G315" s="2" t="s">
        <v>6</v>
      </c>
    </row>
    <row r="316">
      <c r="A316" s="3">
        <f>IFERROR(__xludf.DUMMYFUNCTION("""COMPUTED_VALUE"""),45020.66666666667)</f>
        <v>45020.66667</v>
      </c>
      <c r="B316" s="1">
        <f>IFERROR(__xludf.DUMMYFUNCTION("""COMPUTED_VALUE"""),109.04)</f>
        <v>109.04</v>
      </c>
      <c r="C316" s="1">
        <f>IFERROR(__xludf.DUMMYFUNCTION("""COMPUTED_VALUE"""),109.33)</f>
        <v>109.33</v>
      </c>
      <c r="D316" s="1">
        <f>IFERROR(__xludf.DUMMYFUNCTION("""COMPUTED_VALUE"""),108.3)</f>
        <v>108.3</v>
      </c>
      <c r="E316" s="1">
        <f>IFERROR(__xludf.DUMMYFUNCTION("""COMPUTED_VALUE"""),108.71)</f>
        <v>108.71</v>
      </c>
      <c r="F316" s="1">
        <f>IFERROR(__xludf.DUMMYFUNCTION("""COMPUTED_VALUE"""),1462359.0)</f>
        <v>1462359</v>
      </c>
      <c r="G316" s="2" t="s">
        <v>6</v>
      </c>
    </row>
    <row r="317">
      <c r="A317" s="3">
        <f>IFERROR(__xludf.DUMMYFUNCTION("""COMPUTED_VALUE"""),45021.66666666667)</f>
        <v>45021.66667</v>
      </c>
      <c r="B317" s="1">
        <f>IFERROR(__xludf.DUMMYFUNCTION("""COMPUTED_VALUE"""),109.13)</f>
        <v>109.13</v>
      </c>
      <c r="C317" s="1">
        <f>IFERROR(__xludf.DUMMYFUNCTION("""COMPUTED_VALUE"""),112.64)</f>
        <v>112.64</v>
      </c>
      <c r="D317" s="1">
        <f>IFERROR(__xludf.DUMMYFUNCTION("""COMPUTED_VALUE"""),109.13)</f>
        <v>109.13</v>
      </c>
      <c r="E317" s="1">
        <f>IFERROR(__xludf.DUMMYFUNCTION("""COMPUTED_VALUE"""),112.13)</f>
        <v>112.13</v>
      </c>
      <c r="F317" s="1">
        <f>IFERROR(__xludf.DUMMYFUNCTION("""COMPUTED_VALUE"""),1212227.0)</f>
        <v>1212227</v>
      </c>
      <c r="G317" s="2" t="s">
        <v>6</v>
      </c>
    </row>
    <row r="318">
      <c r="A318" s="3">
        <f>IFERROR(__xludf.DUMMYFUNCTION("""COMPUTED_VALUE"""),45022.66666666667)</f>
        <v>45022.66667</v>
      </c>
      <c r="B318" s="1">
        <f>IFERROR(__xludf.DUMMYFUNCTION("""COMPUTED_VALUE"""),112.77)</f>
        <v>112.77</v>
      </c>
      <c r="C318" s="1">
        <f>IFERROR(__xludf.DUMMYFUNCTION("""COMPUTED_VALUE"""),114.01)</f>
        <v>114.01</v>
      </c>
      <c r="D318" s="1">
        <f>IFERROR(__xludf.DUMMYFUNCTION("""COMPUTED_VALUE"""),112.45)</f>
        <v>112.45</v>
      </c>
      <c r="E318" s="1">
        <f>IFERROR(__xludf.DUMMYFUNCTION("""COMPUTED_VALUE"""),113.85)</f>
        <v>113.85</v>
      </c>
      <c r="F318" s="1">
        <f>IFERROR(__xludf.DUMMYFUNCTION("""COMPUTED_VALUE"""),1754035.0)</f>
        <v>1754035</v>
      </c>
      <c r="G318" s="2" t="s">
        <v>6</v>
      </c>
    </row>
    <row r="319">
      <c r="A319" s="3">
        <f>IFERROR(__xludf.DUMMYFUNCTION("""COMPUTED_VALUE"""),45026.66666666667)</f>
        <v>45026.66667</v>
      </c>
      <c r="B319" s="1">
        <f>IFERROR(__xludf.DUMMYFUNCTION("""COMPUTED_VALUE"""),113.14)</f>
        <v>113.14</v>
      </c>
      <c r="C319" s="1">
        <f>IFERROR(__xludf.DUMMYFUNCTION("""COMPUTED_VALUE"""),113.85)</f>
        <v>113.85</v>
      </c>
      <c r="D319" s="1">
        <f>IFERROR(__xludf.DUMMYFUNCTION("""COMPUTED_VALUE"""),112.22)</f>
        <v>112.22</v>
      </c>
      <c r="E319" s="1">
        <f>IFERROR(__xludf.DUMMYFUNCTION("""COMPUTED_VALUE"""),113.59)</f>
        <v>113.59</v>
      </c>
      <c r="F319" s="1">
        <f>IFERROR(__xludf.DUMMYFUNCTION("""COMPUTED_VALUE"""),1178966.0)</f>
        <v>1178966</v>
      </c>
      <c r="G319" s="2" t="s">
        <v>6</v>
      </c>
    </row>
    <row r="320">
      <c r="A320" s="3">
        <f>IFERROR(__xludf.DUMMYFUNCTION("""COMPUTED_VALUE"""),45027.66666666667)</f>
        <v>45027.66667</v>
      </c>
      <c r="B320" s="1">
        <f>IFERROR(__xludf.DUMMYFUNCTION("""COMPUTED_VALUE"""),113.64)</f>
        <v>113.64</v>
      </c>
      <c r="C320" s="1">
        <f>IFERROR(__xludf.DUMMYFUNCTION("""COMPUTED_VALUE"""),114.33)</f>
        <v>114.33</v>
      </c>
      <c r="D320" s="1">
        <f>IFERROR(__xludf.DUMMYFUNCTION("""COMPUTED_VALUE"""),113.12)</f>
        <v>113.12</v>
      </c>
      <c r="E320" s="1">
        <f>IFERROR(__xludf.DUMMYFUNCTION("""COMPUTED_VALUE"""),113.91)</f>
        <v>113.91</v>
      </c>
      <c r="F320" s="1">
        <f>IFERROR(__xludf.DUMMYFUNCTION("""COMPUTED_VALUE"""),997393.0)</f>
        <v>997393</v>
      </c>
      <c r="G320" s="2" t="s">
        <v>6</v>
      </c>
    </row>
    <row r="321">
      <c r="A321" s="3">
        <f>IFERROR(__xludf.DUMMYFUNCTION("""COMPUTED_VALUE"""),45028.66666666667)</f>
        <v>45028.66667</v>
      </c>
      <c r="B321" s="1">
        <f>IFERROR(__xludf.DUMMYFUNCTION("""COMPUTED_VALUE"""),114.03)</f>
        <v>114.03</v>
      </c>
      <c r="C321" s="1">
        <f>IFERROR(__xludf.DUMMYFUNCTION("""COMPUTED_VALUE"""),114.63)</f>
        <v>114.63</v>
      </c>
      <c r="D321" s="1">
        <f>IFERROR(__xludf.DUMMYFUNCTION("""COMPUTED_VALUE"""),113.23)</f>
        <v>113.23</v>
      </c>
      <c r="E321" s="1">
        <f>IFERROR(__xludf.DUMMYFUNCTION("""COMPUTED_VALUE"""),113.72)</f>
        <v>113.72</v>
      </c>
      <c r="F321" s="1">
        <f>IFERROR(__xludf.DUMMYFUNCTION("""COMPUTED_VALUE"""),1499436.0)</f>
        <v>1499436</v>
      </c>
      <c r="G321" s="2" t="s">
        <v>6</v>
      </c>
    </row>
    <row r="322">
      <c r="A322" s="3">
        <f>IFERROR(__xludf.DUMMYFUNCTION("""COMPUTED_VALUE"""),45029.66666666667)</f>
        <v>45029.66667</v>
      </c>
      <c r="B322" s="1">
        <f>IFERROR(__xludf.DUMMYFUNCTION("""COMPUTED_VALUE"""),113.13)</f>
        <v>113.13</v>
      </c>
      <c r="C322" s="1">
        <f>IFERROR(__xludf.DUMMYFUNCTION("""COMPUTED_VALUE"""),113.86)</f>
        <v>113.86</v>
      </c>
      <c r="D322" s="1">
        <f>IFERROR(__xludf.DUMMYFUNCTION("""COMPUTED_VALUE"""),111.27)</f>
        <v>111.27</v>
      </c>
      <c r="E322" s="1">
        <f>IFERROR(__xludf.DUMMYFUNCTION("""COMPUTED_VALUE"""),113.18)</f>
        <v>113.18</v>
      </c>
      <c r="F322" s="1">
        <f>IFERROR(__xludf.DUMMYFUNCTION("""COMPUTED_VALUE"""),1503982.0)</f>
        <v>1503982</v>
      </c>
      <c r="G322" s="2" t="s">
        <v>6</v>
      </c>
    </row>
    <row r="323">
      <c r="A323" s="3">
        <f>IFERROR(__xludf.DUMMYFUNCTION("""COMPUTED_VALUE"""),45030.66666666667)</f>
        <v>45030.66667</v>
      </c>
      <c r="B323" s="1">
        <f>IFERROR(__xludf.DUMMYFUNCTION("""COMPUTED_VALUE"""),112.44)</f>
        <v>112.44</v>
      </c>
      <c r="C323" s="1">
        <f>IFERROR(__xludf.DUMMYFUNCTION("""COMPUTED_VALUE"""),113.35)</f>
        <v>113.35</v>
      </c>
      <c r="D323" s="1">
        <f>IFERROR(__xludf.DUMMYFUNCTION("""COMPUTED_VALUE"""),112.03)</f>
        <v>112.03</v>
      </c>
      <c r="E323" s="1">
        <f>IFERROR(__xludf.DUMMYFUNCTION("""COMPUTED_VALUE"""),112.98)</f>
        <v>112.98</v>
      </c>
      <c r="F323" s="1">
        <f>IFERROR(__xludf.DUMMYFUNCTION("""COMPUTED_VALUE"""),1418141.0)</f>
        <v>1418141</v>
      </c>
      <c r="G323" s="2" t="s">
        <v>6</v>
      </c>
    </row>
    <row r="324">
      <c r="A324" s="3">
        <f>IFERROR(__xludf.DUMMYFUNCTION("""COMPUTED_VALUE"""),45033.66666666667)</f>
        <v>45033.66667</v>
      </c>
      <c r="B324" s="1">
        <f>IFERROR(__xludf.DUMMYFUNCTION("""COMPUTED_VALUE"""),113.29)</f>
        <v>113.29</v>
      </c>
      <c r="C324" s="1">
        <f>IFERROR(__xludf.DUMMYFUNCTION("""COMPUTED_VALUE"""),113.85)</f>
        <v>113.85</v>
      </c>
      <c r="D324" s="1">
        <f>IFERROR(__xludf.DUMMYFUNCTION("""COMPUTED_VALUE"""),111.77)</f>
        <v>111.77</v>
      </c>
      <c r="E324" s="1">
        <f>IFERROR(__xludf.DUMMYFUNCTION("""COMPUTED_VALUE"""),112.7)</f>
        <v>112.7</v>
      </c>
      <c r="F324" s="1">
        <f>IFERROR(__xludf.DUMMYFUNCTION("""COMPUTED_VALUE"""),1022194.0)</f>
        <v>1022194</v>
      </c>
      <c r="G324" s="2" t="s">
        <v>6</v>
      </c>
    </row>
    <row r="325">
      <c r="A325" s="3">
        <f>IFERROR(__xludf.DUMMYFUNCTION("""COMPUTED_VALUE"""),45034.66666666667)</f>
        <v>45034.66667</v>
      </c>
      <c r="B325" s="1">
        <f>IFERROR(__xludf.DUMMYFUNCTION("""COMPUTED_VALUE"""),112.44)</f>
        <v>112.44</v>
      </c>
      <c r="C325" s="1">
        <f>IFERROR(__xludf.DUMMYFUNCTION("""COMPUTED_VALUE"""),112.78)</f>
        <v>112.78</v>
      </c>
      <c r="D325" s="1">
        <f>IFERROR(__xludf.DUMMYFUNCTION("""COMPUTED_VALUE"""),111.6)</f>
        <v>111.6</v>
      </c>
      <c r="E325" s="1">
        <f>IFERROR(__xludf.DUMMYFUNCTION("""COMPUTED_VALUE"""),112.04)</f>
        <v>112.04</v>
      </c>
      <c r="F325" s="1">
        <f>IFERROR(__xludf.DUMMYFUNCTION("""COMPUTED_VALUE"""),1121057.0)</f>
        <v>1121057</v>
      </c>
      <c r="G325" s="2" t="s">
        <v>6</v>
      </c>
    </row>
    <row r="326">
      <c r="A326" s="3">
        <f>IFERROR(__xludf.DUMMYFUNCTION("""COMPUTED_VALUE"""),45035.66666666667)</f>
        <v>45035.66667</v>
      </c>
      <c r="B326" s="1">
        <f>IFERROR(__xludf.DUMMYFUNCTION("""COMPUTED_VALUE"""),112.63)</f>
        <v>112.63</v>
      </c>
      <c r="C326" s="1">
        <f>IFERROR(__xludf.DUMMYFUNCTION("""COMPUTED_VALUE"""),113.51)</f>
        <v>113.51</v>
      </c>
      <c r="D326" s="1">
        <f>IFERROR(__xludf.DUMMYFUNCTION("""COMPUTED_VALUE"""),112.16)</f>
        <v>112.16</v>
      </c>
      <c r="E326" s="1">
        <f>IFERROR(__xludf.DUMMYFUNCTION("""COMPUTED_VALUE"""),112.81)</f>
        <v>112.81</v>
      </c>
      <c r="F326" s="1">
        <f>IFERROR(__xludf.DUMMYFUNCTION("""COMPUTED_VALUE"""),826330.0)</f>
        <v>826330</v>
      </c>
      <c r="G326" s="2" t="s">
        <v>6</v>
      </c>
    </row>
    <row r="327">
      <c r="A327" s="3">
        <f>IFERROR(__xludf.DUMMYFUNCTION("""COMPUTED_VALUE"""),45036.66666666667)</f>
        <v>45036.66667</v>
      </c>
      <c r="B327" s="1">
        <f>IFERROR(__xludf.DUMMYFUNCTION("""COMPUTED_VALUE"""),113.0)</f>
        <v>113</v>
      </c>
      <c r="C327" s="1">
        <f>IFERROR(__xludf.DUMMYFUNCTION("""COMPUTED_VALUE"""),113.55)</f>
        <v>113.55</v>
      </c>
      <c r="D327" s="1">
        <f>IFERROR(__xludf.DUMMYFUNCTION("""COMPUTED_VALUE"""),112.24)</f>
        <v>112.24</v>
      </c>
      <c r="E327" s="1">
        <f>IFERROR(__xludf.DUMMYFUNCTION("""COMPUTED_VALUE"""),113.37)</f>
        <v>113.37</v>
      </c>
      <c r="F327" s="1">
        <f>IFERROR(__xludf.DUMMYFUNCTION("""COMPUTED_VALUE"""),1079218.0)</f>
        <v>1079218</v>
      </c>
      <c r="G327" s="2" t="s">
        <v>6</v>
      </c>
    </row>
    <row r="328">
      <c r="A328" s="3">
        <f>IFERROR(__xludf.DUMMYFUNCTION("""COMPUTED_VALUE"""),45037.66666666667)</f>
        <v>45037.66667</v>
      </c>
      <c r="B328" s="1">
        <f>IFERROR(__xludf.DUMMYFUNCTION("""COMPUTED_VALUE"""),114.31)</f>
        <v>114.31</v>
      </c>
      <c r="C328" s="1">
        <f>IFERROR(__xludf.DUMMYFUNCTION("""COMPUTED_VALUE"""),114.33)</f>
        <v>114.33</v>
      </c>
      <c r="D328" s="1">
        <f>IFERROR(__xludf.DUMMYFUNCTION("""COMPUTED_VALUE"""),112.93)</f>
        <v>112.93</v>
      </c>
      <c r="E328" s="1">
        <f>IFERROR(__xludf.DUMMYFUNCTION("""COMPUTED_VALUE"""),113.69)</f>
        <v>113.69</v>
      </c>
      <c r="F328" s="1">
        <f>IFERROR(__xludf.DUMMYFUNCTION("""COMPUTED_VALUE"""),534607.0)</f>
        <v>534607</v>
      </c>
      <c r="G328" s="2" t="s">
        <v>6</v>
      </c>
    </row>
    <row r="329">
      <c r="A329" s="3">
        <f>IFERROR(__xludf.DUMMYFUNCTION("""COMPUTED_VALUE"""),45040.66666666667)</f>
        <v>45040.66667</v>
      </c>
      <c r="B329" s="1">
        <f>IFERROR(__xludf.DUMMYFUNCTION("""COMPUTED_VALUE"""),113.72)</f>
        <v>113.72</v>
      </c>
      <c r="C329" s="1">
        <f>IFERROR(__xludf.DUMMYFUNCTION("""COMPUTED_VALUE"""),114.46)</f>
        <v>114.46</v>
      </c>
      <c r="D329" s="1">
        <f>IFERROR(__xludf.DUMMYFUNCTION("""COMPUTED_VALUE"""),112.96)</f>
        <v>112.96</v>
      </c>
      <c r="E329" s="1">
        <f>IFERROR(__xludf.DUMMYFUNCTION("""COMPUTED_VALUE"""),114.34)</f>
        <v>114.34</v>
      </c>
      <c r="F329" s="1">
        <f>IFERROR(__xludf.DUMMYFUNCTION("""COMPUTED_VALUE"""),589454.0)</f>
        <v>589454</v>
      </c>
      <c r="G329" s="2" t="s">
        <v>6</v>
      </c>
    </row>
    <row r="330">
      <c r="A330" s="3">
        <f>IFERROR(__xludf.DUMMYFUNCTION("""COMPUTED_VALUE"""),45041.66666666667)</f>
        <v>45041.66667</v>
      </c>
      <c r="B330" s="1">
        <f>IFERROR(__xludf.DUMMYFUNCTION("""COMPUTED_VALUE"""),114.35)</f>
        <v>114.35</v>
      </c>
      <c r="C330" s="1">
        <f>IFERROR(__xludf.DUMMYFUNCTION("""COMPUTED_VALUE"""),115.63)</f>
        <v>115.63</v>
      </c>
      <c r="D330" s="1">
        <f>IFERROR(__xludf.DUMMYFUNCTION("""COMPUTED_VALUE"""),113.95)</f>
        <v>113.95</v>
      </c>
      <c r="E330" s="1">
        <f>IFERROR(__xludf.DUMMYFUNCTION("""COMPUTED_VALUE"""),114.81)</f>
        <v>114.81</v>
      </c>
      <c r="F330" s="1">
        <f>IFERROR(__xludf.DUMMYFUNCTION("""COMPUTED_VALUE"""),791806.0)</f>
        <v>791806</v>
      </c>
      <c r="G330" s="2" t="s">
        <v>6</v>
      </c>
    </row>
    <row r="331">
      <c r="A331" s="3">
        <f>IFERROR(__xludf.DUMMYFUNCTION("""COMPUTED_VALUE"""),45042.66666666667)</f>
        <v>45042.66667</v>
      </c>
      <c r="B331" s="1">
        <f>IFERROR(__xludf.DUMMYFUNCTION("""COMPUTED_VALUE"""),114.08)</f>
        <v>114.08</v>
      </c>
      <c r="C331" s="1">
        <f>IFERROR(__xludf.DUMMYFUNCTION("""COMPUTED_VALUE"""),115.1)</f>
        <v>115.1</v>
      </c>
      <c r="D331" s="1">
        <f>IFERROR(__xludf.DUMMYFUNCTION("""COMPUTED_VALUE"""),112.92)</f>
        <v>112.92</v>
      </c>
      <c r="E331" s="1">
        <f>IFERROR(__xludf.DUMMYFUNCTION("""COMPUTED_VALUE"""),112.97)</f>
        <v>112.97</v>
      </c>
      <c r="F331" s="1">
        <f>IFERROR(__xludf.DUMMYFUNCTION("""COMPUTED_VALUE"""),1027691.0)</f>
        <v>1027691</v>
      </c>
      <c r="G331" s="2" t="s">
        <v>6</v>
      </c>
    </row>
    <row r="332">
      <c r="A332" s="3">
        <f>IFERROR(__xludf.DUMMYFUNCTION("""COMPUTED_VALUE"""),45043.66666666667)</f>
        <v>45043.66667</v>
      </c>
      <c r="B332" s="1">
        <f>IFERROR(__xludf.DUMMYFUNCTION("""COMPUTED_VALUE"""),112.45)</f>
        <v>112.45</v>
      </c>
      <c r="C332" s="1">
        <f>IFERROR(__xludf.DUMMYFUNCTION("""COMPUTED_VALUE"""),116.02)</f>
        <v>116.02</v>
      </c>
      <c r="D332" s="1">
        <f>IFERROR(__xludf.DUMMYFUNCTION("""COMPUTED_VALUE"""),112.45)</f>
        <v>112.45</v>
      </c>
      <c r="E332" s="1">
        <f>IFERROR(__xludf.DUMMYFUNCTION("""COMPUTED_VALUE"""),113.45)</f>
        <v>113.45</v>
      </c>
      <c r="F332" s="1">
        <f>IFERROR(__xludf.DUMMYFUNCTION("""COMPUTED_VALUE"""),1126535.0)</f>
        <v>1126535</v>
      </c>
      <c r="G332" s="2" t="s">
        <v>6</v>
      </c>
    </row>
    <row r="333">
      <c r="A333" s="3">
        <f>IFERROR(__xludf.DUMMYFUNCTION("""COMPUTED_VALUE"""),45044.66666666667)</f>
        <v>45044.66667</v>
      </c>
      <c r="B333" s="1">
        <f>IFERROR(__xludf.DUMMYFUNCTION("""COMPUTED_VALUE"""),113.4)</f>
        <v>113.4</v>
      </c>
      <c r="C333" s="1">
        <f>IFERROR(__xludf.DUMMYFUNCTION("""COMPUTED_VALUE"""),114.16)</f>
        <v>114.16</v>
      </c>
      <c r="D333" s="1">
        <f>IFERROR(__xludf.DUMMYFUNCTION("""COMPUTED_VALUE"""),111.27)</f>
        <v>111.27</v>
      </c>
      <c r="E333" s="1">
        <f>IFERROR(__xludf.DUMMYFUNCTION("""COMPUTED_VALUE"""),112.41)</f>
        <v>112.41</v>
      </c>
      <c r="F333" s="1">
        <f>IFERROR(__xludf.DUMMYFUNCTION("""COMPUTED_VALUE"""),1088405.0)</f>
        <v>1088405</v>
      </c>
      <c r="G333" s="2" t="s">
        <v>6</v>
      </c>
    </row>
    <row r="334">
      <c r="A334" s="3">
        <f>IFERROR(__xludf.DUMMYFUNCTION("""COMPUTED_VALUE"""),45047.66666666667)</f>
        <v>45047.66667</v>
      </c>
      <c r="B334" s="1">
        <f>IFERROR(__xludf.DUMMYFUNCTION("""COMPUTED_VALUE"""),112.0)</f>
        <v>112</v>
      </c>
      <c r="C334" s="1">
        <f>IFERROR(__xludf.DUMMYFUNCTION("""COMPUTED_VALUE"""),113.92)</f>
        <v>113.92</v>
      </c>
      <c r="D334" s="1">
        <f>IFERROR(__xludf.DUMMYFUNCTION("""COMPUTED_VALUE"""),111.75)</f>
        <v>111.75</v>
      </c>
      <c r="E334" s="1">
        <f>IFERROR(__xludf.DUMMYFUNCTION("""COMPUTED_VALUE"""),112.96)</f>
        <v>112.96</v>
      </c>
      <c r="F334" s="1">
        <f>IFERROR(__xludf.DUMMYFUNCTION("""COMPUTED_VALUE"""),1092026.0)</f>
        <v>1092026</v>
      </c>
      <c r="G334" s="2" t="s">
        <v>6</v>
      </c>
    </row>
    <row r="335">
      <c r="A335" s="3">
        <f>IFERROR(__xludf.DUMMYFUNCTION("""COMPUTED_VALUE"""),45048.66666666667)</f>
        <v>45048.66667</v>
      </c>
      <c r="B335" s="1">
        <f>IFERROR(__xludf.DUMMYFUNCTION("""COMPUTED_VALUE"""),113.16)</f>
        <v>113.16</v>
      </c>
      <c r="C335" s="1">
        <f>IFERROR(__xludf.DUMMYFUNCTION("""COMPUTED_VALUE"""),113.16)</f>
        <v>113.16</v>
      </c>
      <c r="D335" s="1">
        <f>IFERROR(__xludf.DUMMYFUNCTION("""COMPUTED_VALUE"""),111.0)</f>
        <v>111</v>
      </c>
      <c r="E335" s="1">
        <f>IFERROR(__xludf.DUMMYFUNCTION("""COMPUTED_VALUE"""),111.6)</f>
        <v>111.6</v>
      </c>
      <c r="F335" s="1">
        <f>IFERROR(__xludf.DUMMYFUNCTION("""COMPUTED_VALUE"""),936685.0)</f>
        <v>936685</v>
      </c>
      <c r="G335" s="2" t="s">
        <v>6</v>
      </c>
    </row>
    <row r="336">
      <c r="A336" s="3">
        <f>IFERROR(__xludf.DUMMYFUNCTION("""COMPUTED_VALUE"""),45049.66666666667)</f>
        <v>45049.66667</v>
      </c>
      <c r="B336" s="1">
        <f>IFERROR(__xludf.DUMMYFUNCTION("""COMPUTED_VALUE"""),112.41)</f>
        <v>112.41</v>
      </c>
      <c r="C336" s="1">
        <f>IFERROR(__xludf.DUMMYFUNCTION("""COMPUTED_VALUE"""),113.12)</f>
        <v>113.12</v>
      </c>
      <c r="D336" s="1">
        <f>IFERROR(__xludf.DUMMYFUNCTION("""COMPUTED_VALUE"""),111.27)</f>
        <v>111.27</v>
      </c>
      <c r="E336" s="1">
        <f>IFERROR(__xludf.DUMMYFUNCTION("""COMPUTED_VALUE"""),111.63)</f>
        <v>111.63</v>
      </c>
      <c r="F336" s="1">
        <f>IFERROR(__xludf.DUMMYFUNCTION("""COMPUTED_VALUE"""),856925.0)</f>
        <v>856925</v>
      </c>
      <c r="G336" s="2" t="s">
        <v>6</v>
      </c>
    </row>
    <row r="337">
      <c r="A337" s="3">
        <f>IFERROR(__xludf.DUMMYFUNCTION("""COMPUTED_VALUE"""),45050.66666666667)</f>
        <v>45050.66667</v>
      </c>
      <c r="B337" s="1">
        <f>IFERROR(__xludf.DUMMYFUNCTION("""COMPUTED_VALUE"""),111.89)</f>
        <v>111.89</v>
      </c>
      <c r="C337" s="1">
        <f>IFERROR(__xludf.DUMMYFUNCTION("""COMPUTED_VALUE"""),112.93)</f>
        <v>112.93</v>
      </c>
      <c r="D337" s="1">
        <f>IFERROR(__xludf.DUMMYFUNCTION("""COMPUTED_VALUE"""),110.96)</f>
        <v>110.96</v>
      </c>
      <c r="E337" s="1">
        <f>IFERROR(__xludf.DUMMYFUNCTION("""COMPUTED_VALUE"""),112.68)</f>
        <v>112.68</v>
      </c>
      <c r="F337" s="1">
        <f>IFERROR(__xludf.DUMMYFUNCTION("""COMPUTED_VALUE"""),751393.0)</f>
        <v>751393</v>
      </c>
      <c r="G337" s="2" t="s">
        <v>6</v>
      </c>
    </row>
    <row r="338">
      <c r="A338" s="3">
        <f>IFERROR(__xludf.DUMMYFUNCTION("""COMPUTED_VALUE"""),45051.66666666667)</f>
        <v>45051.66667</v>
      </c>
      <c r="B338" s="1">
        <f>IFERROR(__xludf.DUMMYFUNCTION("""COMPUTED_VALUE"""),112.22)</f>
        <v>112.22</v>
      </c>
      <c r="C338" s="1">
        <f>IFERROR(__xludf.DUMMYFUNCTION("""COMPUTED_VALUE"""),113.36)</f>
        <v>113.36</v>
      </c>
      <c r="D338" s="1">
        <f>IFERROR(__xludf.DUMMYFUNCTION("""COMPUTED_VALUE"""),112.22)</f>
        <v>112.22</v>
      </c>
      <c r="E338" s="1">
        <f>IFERROR(__xludf.DUMMYFUNCTION("""COMPUTED_VALUE"""),113.36)</f>
        <v>113.36</v>
      </c>
      <c r="F338" s="1">
        <f>IFERROR(__xludf.DUMMYFUNCTION("""COMPUTED_VALUE"""),823186.0)</f>
        <v>823186</v>
      </c>
      <c r="G338" s="2" t="s">
        <v>6</v>
      </c>
    </row>
    <row r="339">
      <c r="A339" s="3">
        <f>IFERROR(__xludf.DUMMYFUNCTION("""COMPUTED_VALUE"""),45054.66666666667)</f>
        <v>45054.66667</v>
      </c>
      <c r="B339" s="1">
        <f>IFERROR(__xludf.DUMMYFUNCTION("""COMPUTED_VALUE"""),112.73)</f>
        <v>112.73</v>
      </c>
      <c r="C339" s="1">
        <f>IFERROR(__xludf.DUMMYFUNCTION("""COMPUTED_VALUE"""),113.76)</f>
        <v>113.76</v>
      </c>
      <c r="D339" s="1">
        <f>IFERROR(__xludf.DUMMYFUNCTION("""COMPUTED_VALUE"""),112.18)</f>
        <v>112.18</v>
      </c>
      <c r="E339" s="1">
        <f>IFERROR(__xludf.DUMMYFUNCTION("""COMPUTED_VALUE"""),113.0)</f>
        <v>113</v>
      </c>
      <c r="F339" s="1">
        <f>IFERROR(__xludf.DUMMYFUNCTION("""COMPUTED_VALUE"""),791777.0)</f>
        <v>791777</v>
      </c>
      <c r="G339" s="2" t="s">
        <v>6</v>
      </c>
    </row>
    <row r="340">
      <c r="A340" s="3">
        <f>IFERROR(__xludf.DUMMYFUNCTION("""COMPUTED_VALUE"""),45055.66666666667)</f>
        <v>45055.66667</v>
      </c>
      <c r="B340" s="1">
        <f>IFERROR(__xludf.DUMMYFUNCTION("""COMPUTED_VALUE"""),112.83)</f>
        <v>112.83</v>
      </c>
      <c r="C340" s="1">
        <f>IFERROR(__xludf.DUMMYFUNCTION("""COMPUTED_VALUE"""),113.7)</f>
        <v>113.7</v>
      </c>
      <c r="D340" s="1">
        <f>IFERROR(__xludf.DUMMYFUNCTION("""COMPUTED_VALUE"""),112.21)</f>
        <v>112.21</v>
      </c>
      <c r="E340" s="1">
        <f>IFERROR(__xludf.DUMMYFUNCTION("""COMPUTED_VALUE"""),113.32)</f>
        <v>113.32</v>
      </c>
      <c r="F340" s="1">
        <f>IFERROR(__xludf.DUMMYFUNCTION("""COMPUTED_VALUE"""),859873.0)</f>
        <v>859873</v>
      </c>
      <c r="G340" s="2" t="s">
        <v>6</v>
      </c>
    </row>
    <row r="341">
      <c r="A341" s="3">
        <f>IFERROR(__xludf.DUMMYFUNCTION("""COMPUTED_VALUE"""),45056.66666666667)</f>
        <v>45056.66667</v>
      </c>
      <c r="B341" s="1">
        <f>IFERROR(__xludf.DUMMYFUNCTION("""COMPUTED_VALUE"""),114.0)</f>
        <v>114</v>
      </c>
      <c r="C341" s="1">
        <f>IFERROR(__xludf.DUMMYFUNCTION("""COMPUTED_VALUE"""),114.83)</f>
        <v>114.83</v>
      </c>
      <c r="D341" s="1">
        <f>IFERROR(__xludf.DUMMYFUNCTION("""COMPUTED_VALUE"""),112.71)</f>
        <v>112.71</v>
      </c>
      <c r="E341" s="1">
        <f>IFERROR(__xludf.DUMMYFUNCTION("""COMPUTED_VALUE"""),113.97)</f>
        <v>113.97</v>
      </c>
      <c r="F341" s="1">
        <f>IFERROR(__xludf.DUMMYFUNCTION("""COMPUTED_VALUE"""),1067361.0)</f>
        <v>1067361</v>
      </c>
      <c r="G341" s="2" t="s">
        <v>6</v>
      </c>
    </row>
    <row r="342">
      <c r="A342" s="3">
        <f>IFERROR(__xludf.DUMMYFUNCTION("""COMPUTED_VALUE"""),45057.66666666667)</f>
        <v>45057.66667</v>
      </c>
      <c r="B342" s="1">
        <f>IFERROR(__xludf.DUMMYFUNCTION("""COMPUTED_VALUE"""),113.73)</f>
        <v>113.73</v>
      </c>
      <c r="C342" s="1">
        <f>IFERROR(__xludf.DUMMYFUNCTION("""COMPUTED_VALUE"""),114.06)</f>
        <v>114.06</v>
      </c>
      <c r="D342" s="1">
        <f>IFERROR(__xludf.DUMMYFUNCTION("""COMPUTED_VALUE"""),112.4)</f>
        <v>112.4</v>
      </c>
      <c r="E342" s="1">
        <f>IFERROR(__xludf.DUMMYFUNCTION("""COMPUTED_VALUE"""),113.06)</f>
        <v>113.06</v>
      </c>
      <c r="F342" s="1">
        <f>IFERROR(__xludf.DUMMYFUNCTION("""COMPUTED_VALUE"""),872324.0)</f>
        <v>872324</v>
      </c>
      <c r="G342" s="2" t="s">
        <v>6</v>
      </c>
    </row>
    <row r="343">
      <c r="A343" s="3">
        <f>IFERROR(__xludf.DUMMYFUNCTION("""COMPUTED_VALUE"""),45058.66666666667)</f>
        <v>45058.66667</v>
      </c>
      <c r="B343" s="1">
        <f>IFERROR(__xludf.DUMMYFUNCTION("""COMPUTED_VALUE"""),113.68)</f>
        <v>113.68</v>
      </c>
      <c r="C343" s="1">
        <f>IFERROR(__xludf.DUMMYFUNCTION("""COMPUTED_VALUE"""),114.32)</f>
        <v>114.32</v>
      </c>
      <c r="D343" s="1">
        <f>IFERROR(__xludf.DUMMYFUNCTION("""COMPUTED_VALUE"""),112.7)</f>
        <v>112.7</v>
      </c>
      <c r="E343" s="1">
        <f>IFERROR(__xludf.DUMMYFUNCTION("""COMPUTED_VALUE"""),113.45)</f>
        <v>113.45</v>
      </c>
      <c r="F343" s="1">
        <f>IFERROR(__xludf.DUMMYFUNCTION("""COMPUTED_VALUE"""),733633.0)</f>
        <v>733633</v>
      </c>
      <c r="G343" s="2" t="s">
        <v>6</v>
      </c>
    </row>
    <row r="344">
      <c r="A344" s="3">
        <f>IFERROR(__xludf.DUMMYFUNCTION("""COMPUTED_VALUE"""),45061.66666666667)</f>
        <v>45061.66667</v>
      </c>
      <c r="B344" s="1">
        <f>IFERROR(__xludf.DUMMYFUNCTION("""COMPUTED_VALUE"""),113.73)</f>
        <v>113.73</v>
      </c>
      <c r="C344" s="1">
        <f>IFERROR(__xludf.DUMMYFUNCTION("""COMPUTED_VALUE"""),113.89)</f>
        <v>113.89</v>
      </c>
      <c r="D344" s="1">
        <f>IFERROR(__xludf.DUMMYFUNCTION("""COMPUTED_VALUE"""),111.59)</f>
        <v>111.59</v>
      </c>
      <c r="E344" s="1">
        <f>IFERROR(__xludf.DUMMYFUNCTION("""COMPUTED_VALUE"""),112.75)</f>
        <v>112.75</v>
      </c>
      <c r="F344" s="1">
        <f>IFERROR(__xludf.DUMMYFUNCTION("""COMPUTED_VALUE"""),671511.0)</f>
        <v>671511</v>
      </c>
      <c r="G344" s="2" t="s">
        <v>6</v>
      </c>
    </row>
    <row r="345">
      <c r="A345" s="3">
        <f>IFERROR(__xludf.DUMMYFUNCTION("""COMPUTED_VALUE"""),45062.66666666667)</f>
        <v>45062.66667</v>
      </c>
      <c r="B345" s="1">
        <f>IFERROR(__xludf.DUMMYFUNCTION("""COMPUTED_VALUE"""),112.82)</f>
        <v>112.82</v>
      </c>
      <c r="C345" s="1">
        <f>IFERROR(__xludf.DUMMYFUNCTION("""COMPUTED_VALUE"""),112.82)</f>
        <v>112.82</v>
      </c>
      <c r="D345" s="1">
        <f>IFERROR(__xludf.DUMMYFUNCTION("""COMPUTED_VALUE"""),110.02)</f>
        <v>110.02</v>
      </c>
      <c r="E345" s="1">
        <f>IFERROR(__xludf.DUMMYFUNCTION("""COMPUTED_VALUE"""),110.26)</f>
        <v>110.26</v>
      </c>
      <c r="F345" s="1">
        <f>IFERROR(__xludf.DUMMYFUNCTION("""COMPUTED_VALUE"""),759718.0)</f>
        <v>759718</v>
      </c>
      <c r="G345" s="2" t="s">
        <v>6</v>
      </c>
    </row>
    <row r="346">
      <c r="A346" s="3">
        <f>IFERROR(__xludf.DUMMYFUNCTION("""COMPUTED_VALUE"""),45063.66666666667)</f>
        <v>45063.66667</v>
      </c>
      <c r="B346" s="1">
        <f>IFERROR(__xludf.DUMMYFUNCTION("""COMPUTED_VALUE"""),110.6)</f>
        <v>110.6</v>
      </c>
      <c r="C346" s="1">
        <f>IFERROR(__xludf.DUMMYFUNCTION("""COMPUTED_VALUE"""),110.6)</f>
        <v>110.6</v>
      </c>
      <c r="D346" s="1">
        <f>IFERROR(__xludf.DUMMYFUNCTION("""COMPUTED_VALUE"""),108.6)</f>
        <v>108.6</v>
      </c>
      <c r="E346" s="1">
        <f>IFERROR(__xludf.DUMMYFUNCTION("""COMPUTED_VALUE"""),109.1)</f>
        <v>109.1</v>
      </c>
      <c r="F346" s="1">
        <f>IFERROR(__xludf.DUMMYFUNCTION("""COMPUTED_VALUE"""),858675.0)</f>
        <v>858675</v>
      </c>
      <c r="G346" s="2" t="s">
        <v>6</v>
      </c>
    </row>
    <row r="347">
      <c r="A347" s="3">
        <f>IFERROR(__xludf.DUMMYFUNCTION("""COMPUTED_VALUE"""),45064.66666666667)</f>
        <v>45064.66667</v>
      </c>
      <c r="B347" s="1">
        <f>IFERROR(__xludf.DUMMYFUNCTION("""COMPUTED_VALUE"""),108.39)</f>
        <v>108.39</v>
      </c>
      <c r="C347" s="1">
        <f>IFERROR(__xludf.DUMMYFUNCTION("""COMPUTED_VALUE"""),109.22)</f>
        <v>109.22</v>
      </c>
      <c r="D347" s="1">
        <f>IFERROR(__xludf.DUMMYFUNCTION("""COMPUTED_VALUE"""),107.83)</f>
        <v>107.83</v>
      </c>
      <c r="E347" s="1">
        <f>IFERROR(__xludf.DUMMYFUNCTION("""COMPUTED_VALUE"""),108.9)</f>
        <v>108.9</v>
      </c>
      <c r="F347" s="1">
        <f>IFERROR(__xludf.DUMMYFUNCTION("""COMPUTED_VALUE"""),1257413.0)</f>
        <v>1257413</v>
      </c>
      <c r="G347" s="2" t="s">
        <v>6</v>
      </c>
    </row>
    <row r="348">
      <c r="A348" s="3">
        <f>IFERROR(__xludf.DUMMYFUNCTION("""COMPUTED_VALUE"""),45065.66666666667)</f>
        <v>45065.66667</v>
      </c>
      <c r="B348" s="1">
        <f>IFERROR(__xludf.DUMMYFUNCTION("""COMPUTED_VALUE"""),109.42)</f>
        <v>109.42</v>
      </c>
      <c r="C348" s="1">
        <f>IFERROR(__xludf.DUMMYFUNCTION("""COMPUTED_VALUE"""),109.66)</f>
        <v>109.66</v>
      </c>
      <c r="D348" s="1">
        <f>IFERROR(__xludf.DUMMYFUNCTION("""COMPUTED_VALUE"""),108.52)</f>
        <v>108.52</v>
      </c>
      <c r="E348" s="1">
        <f>IFERROR(__xludf.DUMMYFUNCTION("""COMPUTED_VALUE"""),108.56)</f>
        <v>108.56</v>
      </c>
      <c r="F348" s="1">
        <f>IFERROR(__xludf.DUMMYFUNCTION("""COMPUTED_VALUE"""),1202353.0)</f>
        <v>1202353</v>
      </c>
      <c r="G348" s="2" t="s">
        <v>6</v>
      </c>
    </row>
    <row r="349">
      <c r="A349" s="3">
        <f>IFERROR(__xludf.DUMMYFUNCTION("""COMPUTED_VALUE"""),45068.66666666667)</f>
        <v>45068.66667</v>
      </c>
      <c r="B349" s="1">
        <f>IFERROR(__xludf.DUMMYFUNCTION("""COMPUTED_VALUE"""),108.84)</f>
        <v>108.84</v>
      </c>
      <c r="C349" s="1">
        <f>IFERROR(__xludf.DUMMYFUNCTION("""COMPUTED_VALUE"""),109.66)</f>
        <v>109.66</v>
      </c>
      <c r="D349" s="1">
        <f>IFERROR(__xludf.DUMMYFUNCTION("""COMPUTED_VALUE"""),108.54)</f>
        <v>108.54</v>
      </c>
      <c r="E349" s="1">
        <f>IFERROR(__xludf.DUMMYFUNCTION("""COMPUTED_VALUE"""),108.91)</f>
        <v>108.91</v>
      </c>
      <c r="F349" s="1">
        <f>IFERROR(__xludf.DUMMYFUNCTION("""COMPUTED_VALUE"""),784191.0)</f>
        <v>784191</v>
      </c>
      <c r="G349" s="2" t="s">
        <v>6</v>
      </c>
    </row>
    <row r="350">
      <c r="A350" s="3">
        <f>IFERROR(__xludf.DUMMYFUNCTION("""COMPUTED_VALUE"""),45069.66666666667)</f>
        <v>45069.66667</v>
      </c>
      <c r="B350" s="1">
        <f>IFERROR(__xludf.DUMMYFUNCTION("""COMPUTED_VALUE"""),108.7)</f>
        <v>108.7</v>
      </c>
      <c r="C350" s="1">
        <f>IFERROR(__xludf.DUMMYFUNCTION("""COMPUTED_VALUE"""),110.47)</f>
        <v>110.47</v>
      </c>
      <c r="D350" s="1">
        <f>IFERROR(__xludf.DUMMYFUNCTION("""COMPUTED_VALUE"""),108.69)</f>
        <v>108.69</v>
      </c>
      <c r="E350" s="1">
        <f>IFERROR(__xludf.DUMMYFUNCTION("""COMPUTED_VALUE"""),109.16)</f>
        <v>109.16</v>
      </c>
      <c r="F350" s="1">
        <f>IFERROR(__xludf.DUMMYFUNCTION("""COMPUTED_VALUE"""),1917278.0)</f>
        <v>1917278</v>
      </c>
      <c r="G350" s="2" t="s">
        <v>6</v>
      </c>
    </row>
    <row r="351">
      <c r="A351" s="3">
        <f>IFERROR(__xludf.DUMMYFUNCTION("""COMPUTED_VALUE"""),45070.66666666667)</f>
        <v>45070.66667</v>
      </c>
      <c r="B351" s="1">
        <f>IFERROR(__xludf.DUMMYFUNCTION("""COMPUTED_VALUE"""),109.04)</f>
        <v>109.04</v>
      </c>
      <c r="C351" s="1">
        <f>IFERROR(__xludf.DUMMYFUNCTION("""COMPUTED_VALUE"""),109.31)</f>
        <v>109.31</v>
      </c>
      <c r="D351" s="1">
        <f>IFERROR(__xludf.DUMMYFUNCTION("""COMPUTED_VALUE"""),108.24)</f>
        <v>108.24</v>
      </c>
      <c r="E351" s="1">
        <f>IFERROR(__xludf.DUMMYFUNCTION("""COMPUTED_VALUE"""),108.48)</f>
        <v>108.48</v>
      </c>
      <c r="F351" s="1">
        <f>IFERROR(__xludf.DUMMYFUNCTION("""COMPUTED_VALUE"""),1265884.0)</f>
        <v>1265884</v>
      </c>
      <c r="G351" s="2" t="s">
        <v>6</v>
      </c>
    </row>
    <row r="352">
      <c r="A352" s="3">
        <f>IFERROR(__xludf.DUMMYFUNCTION("""COMPUTED_VALUE"""),45071.66666666667)</f>
        <v>45071.66667</v>
      </c>
      <c r="B352" s="1">
        <f>IFERROR(__xludf.DUMMYFUNCTION("""COMPUTED_VALUE"""),108.0)</f>
        <v>108</v>
      </c>
      <c r="C352" s="1">
        <f>IFERROR(__xludf.DUMMYFUNCTION("""COMPUTED_VALUE"""),108.66)</f>
        <v>108.66</v>
      </c>
      <c r="D352" s="1">
        <f>IFERROR(__xludf.DUMMYFUNCTION("""COMPUTED_VALUE"""),106.62)</f>
        <v>106.62</v>
      </c>
      <c r="E352" s="1">
        <f>IFERROR(__xludf.DUMMYFUNCTION("""COMPUTED_VALUE"""),106.99)</f>
        <v>106.99</v>
      </c>
      <c r="F352" s="1">
        <f>IFERROR(__xludf.DUMMYFUNCTION("""COMPUTED_VALUE"""),1105953.0)</f>
        <v>1105953</v>
      </c>
      <c r="G352" s="2" t="s">
        <v>6</v>
      </c>
    </row>
    <row r="353">
      <c r="A353" s="3">
        <f>IFERROR(__xludf.DUMMYFUNCTION("""COMPUTED_VALUE"""),45072.66666666667)</f>
        <v>45072.66667</v>
      </c>
      <c r="B353" s="1">
        <f>IFERROR(__xludf.DUMMYFUNCTION("""COMPUTED_VALUE"""),106.8)</f>
        <v>106.8</v>
      </c>
      <c r="C353" s="1">
        <f>IFERROR(__xludf.DUMMYFUNCTION("""COMPUTED_VALUE"""),107.05)</f>
        <v>107.05</v>
      </c>
      <c r="D353" s="1">
        <f>IFERROR(__xludf.DUMMYFUNCTION("""COMPUTED_VALUE"""),105.66)</f>
        <v>105.66</v>
      </c>
      <c r="E353" s="1">
        <f>IFERROR(__xludf.DUMMYFUNCTION("""COMPUTED_VALUE"""),106.51)</f>
        <v>106.51</v>
      </c>
      <c r="F353" s="1">
        <f>IFERROR(__xludf.DUMMYFUNCTION("""COMPUTED_VALUE"""),785817.0)</f>
        <v>785817</v>
      </c>
      <c r="G353" s="2" t="s">
        <v>6</v>
      </c>
    </row>
    <row r="354">
      <c r="A354" s="3">
        <f>IFERROR(__xludf.DUMMYFUNCTION("""COMPUTED_VALUE"""),45076.66666666667)</f>
        <v>45076.66667</v>
      </c>
      <c r="B354" s="1">
        <f>IFERROR(__xludf.DUMMYFUNCTION("""COMPUTED_VALUE"""),106.6)</f>
        <v>106.6</v>
      </c>
      <c r="C354" s="1">
        <f>IFERROR(__xludf.DUMMYFUNCTION("""COMPUTED_VALUE"""),107.29)</f>
        <v>107.29</v>
      </c>
      <c r="D354" s="1">
        <f>IFERROR(__xludf.DUMMYFUNCTION("""COMPUTED_VALUE"""),106.08)</f>
        <v>106.08</v>
      </c>
      <c r="E354" s="1">
        <f>IFERROR(__xludf.DUMMYFUNCTION("""COMPUTED_VALUE"""),106.44)</f>
        <v>106.44</v>
      </c>
      <c r="F354" s="1">
        <f>IFERROR(__xludf.DUMMYFUNCTION("""COMPUTED_VALUE"""),993853.0)</f>
        <v>993853</v>
      </c>
      <c r="G354" s="2" t="s">
        <v>6</v>
      </c>
    </row>
    <row r="355">
      <c r="A355" s="3">
        <f>IFERROR(__xludf.DUMMYFUNCTION("""COMPUTED_VALUE"""),45077.66666666667)</f>
        <v>45077.66667</v>
      </c>
      <c r="B355" s="1">
        <f>IFERROR(__xludf.DUMMYFUNCTION("""COMPUTED_VALUE"""),106.64)</f>
        <v>106.64</v>
      </c>
      <c r="C355" s="1">
        <f>IFERROR(__xludf.DUMMYFUNCTION("""COMPUTED_VALUE"""),108.22)</f>
        <v>108.22</v>
      </c>
      <c r="D355" s="1">
        <f>IFERROR(__xludf.DUMMYFUNCTION("""COMPUTED_VALUE"""),106.35)</f>
        <v>106.35</v>
      </c>
      <c r="E355" s="1">
        <f>IFERROR(__xludf.DUMMYFUNCTION("""COMPUTED_VALUE"""),107.6)</f>
        <v>107.6</v>
      </c>
      <c r="F355" s="1">
        <f>IFERROR(__xludf.DUMMYFUNCTION("""COMPUTED_VALUE"""),1546416.0)</f>
        <v>1546416</v>
      </c>
      <c r="G355" s="2" t="s">
        <v>6</v>
      </c>
    </row>
    <row r="356">
      <c r="A356" s="3">
        <f>IFERROR(__xludf.DUMMYFUNCTION("""COMPUTED_VALUE"""),45078.66666666667)</f>
        <v>45078.66667</v>
      </c>
      <c r="B356" s="1">
        <f>IFERROR(__xludf.DUMMYFUNCTION("""COMPUTED_VALUE"""),107.87)</f>
        <v>107.87</v>
      </c>
      <c r="C356" s="1">
        <f>IFERROR(__xludf.DUMMYFUNCTION("""COMPUTED_VALUE"""),108.11)</f>
        <v>108.11</v>
      </c>
      <c r="D356" s="1">
        <f>IFERROR(__xludf.DUMMYFUNCTION("""COMPUTED_VALUE"""),105.77)</f>
        <v>105.77</v>
      </c>
      <c r="E356" s="1">
        <f>IFERROR(__xludf.DUMMYFUNCTION("""COMPUTED_VALUE"""),107.26)</f>
        <v>107.26</v>
      </c>
      <c r="F356" s="1">
        <f>IFERROR(__xludf.DUMMYFUNCTION("""COMPUTED_VALUE"""),1515621.0)</f>
        <v>1515621</v>
      </c>
      <c r="G356" s="2" t="s">
        <v>6</v>
      </c>
    </row>
    <row r="357">
      <c r="A357" s="3">
        <f>IFERROR(__xludf.DUMMYFUNCTION("""COMPUTED_VALUE"""),45079.66666666667)</f>
        <v>45079.66667</v>
      </c>
      <c r="B357" s="1">
        <f>IFERROR(__xludf.DUMMYFUNCTION("""COMPUTED_VALUE"""),106.41)</f>
        <v>106.41</v>
      </c>
      <c r="C357" s="1">
        <f>IFERROR(__xludf.DUMMYFUNCTION("""COMPUTED_VALUE"""),109.32)</f>
        <v>109.32</v>
      </c>
      <c r="D357" s="1">
        <f>IFERROR(__xludf.DUMMYFUNCTION("""COMPUTED_VALUE"""),106.23)</f>
        <v>106.23</v>
      </c>
      <c r="E357" s="1">
        <f>IFERROR(__xludf.DUMMYFUNCTION("""COMPUTED_VALUE"""),108.88)</f>
        <v>108.88</v>
      </c>
      <c r="F357" s="1">
        <f>IFERROR(__xludf.DUMMYFUNCTION("""COMPUTED_VALUE"""),1596754.0)</f>
        <v>1596754</v>
      </c>
      <c r="G357" s="2" t="s">
        <v>6</v>
      </c>
    </row>
    <row r="358">
      <c r="A358" s="3">
        <f>IFERROR(__xludf.DUMMYFUNCTION("""COMPUTED_VALUE"""),45082.66666666667)</f>
        <v>45082.66667</v>
      </c>
      <c r="B358" s="1">
        <f>IFERROR(__xludf.DUMMYFUNCTION("""COMPUTED_VALUE"""),109.08)</f>
        <v>109.08</v>
      </c>
      <c r="C358" s="1">
        <f>IFERROR(__xludf.DUMMYFUNCTION("""COMPUTED_VALUE"""),110.78)</f>
        <v>110.78</v>
      </c>
      <c r="D358" s="1">
        <f>IFERROR(__xludf.DUMMYFUNCTION("""COMPUTED_VALUE"""),108.83)</f>
        <v>108.83</v>
      </c>
      <c r="E358" s="1">
        <f>IFERROR(__xludf.DUMMYFUNCTION("""COMPUTED_VALUE"""),109.37)</f>
        <v>109.37</v>
      </c>
      <c r="F358" s="1">
        <f>IFERROR(__xludf.DUMMYFUNCTION("""COMPUTED_VALUE"""),1259436.0)</f>
        <v>1259436</v>
      </c>
      <c r="G358" s="2" t="s">
        <v>6</v>
      </c>
    </row>
    <row r="359">
      <c r="A359" s="3">
        <f>IFERROR(__xludf.DUMMYFUNCTION("""COMPUTED_VALUE"""),45083.66666666667)</f>
        <v>45083.66667</v>
      </c>
      <c r="B359" s="1">
        <f>IFERROR(__xludf.DUMMYFUNCTION("""COMPUTED_VALUE"""),110.45)</f>
        <v>110.45</v>
      </c>
      <c r="C359" s="1">
        <f>IFERROR(__xludf.DUMMYFUNCTION("""COMPUTED_VALUE"""),110.55)</f>
        <v>110.55</v>
      </c>
      <c r="D359" s="1">
        <f>IFERROR(__xludf.DUMMYFUNCTION("""COMPUTED_VALUE"""),109.23)</f>
        <v>109.23</v>
      </c>
      <c r="E359" s="1">
        <f>IFERROR(__xludf.DUMMYFUNCTION("""COMPUTED_VALUE"""),109.59)</f>
        <v>109.59</v>
      </c>
      <c r="F359" s="1">
        <f>IFERROR(__xludf.DUMMYFUNCTION("""COMPUTED_VALUE"""),1377996.0)</f>
        <v>1377996</v>
      </c>
      <c r="G359" s="2" t="s">
        <v>6</v>
      </c>
    </row>
    <row r="360">
      <c r="A360" s="3">
        <f>IFERROR(__xludf.DUMMYFUNCTION("""COMPUTED_VALUE"""),45084.66666666667)</f>
        <v>45084.66667</v>
      </c>
      <c r="B360" s="1">
        <f>IFERROR(__xludf.DUMMYFUNCTION("""COMPUTED_VALUE"""),109.74)</f>
        <v>109.74</v>
      </c>
      <c r="C360" s="1">
        <f>IFERROR(__xludf.DUMMYFUNCTION("""COMPUTED_VALUE"""),111.52)</f>
        <v>111.52</v>
      </c>
      <c r="D360" s="1">
        <f>IFERROR(__xludf.DUMMYFUNCTION("""COMPUTED_VALUE"""),108.79)</f>
        <v>108.79</v>
      </c>
      <c r="E360" s="1">
        <f>IFERROR(__xludf.DUMMYFUNCTION("""COMPUTED_VALUE"""),111.25)</f>
        <v>111.25</v>
      </c>
      <c r="F360" s="1">
        <f>IFERROR(__xludf.DUMMYFUNCTION("""COMPUTED_VALUE"""),1525936.0)</f>
        <v>1525936</v>
      </c>
      <c r="G360" s="2" t="s">
        <v>6</v>
      </c>
    </row>
    <row r="361">
      <c r="A361" s="3">
        <f>IFERROR(__xludf.DUMMYFUNCTION("""COMPUTED_VALUE"""),45085.66666666667)</f>
        <v>45085.66667</v>
      </c>
      <c r="B361" s="1">
        <f>IFERROR(__xludf.DUMMYFUNCTION("""COMPUTED_VALUE"""),111.07)</f>
        <v>111.07</v>
      </c>
      <c r="C361" s="1">
        <f>IFERROR(__xludf.DUMMYFUNCTION("""COMPUTED_VALUE"""),112.39)</f>
        <v>112.39</v>
      </c>
      <c r="D361" s="1">
        <f>IFERROR(__xludf.DUMMYFUNCTION("""COMPUTED_VALUE"""),110.35)</f>
        <v>110.35</v>
      </c>
      <c r="E361" s="1">
        <f>IFERROR(__xludf.DUMMYFUNCTION("""COMPUTED_VALUE"""),111.97)</f>
        <v>111.97</v>
      </c>
      <c r="F361" s="1">
        <f>IFERROR(__xludf.DUMMYFUNCTION("""COMPUTED_VALUE"""),1651912.0)</f>
        <v>1651912</v>
      </c>
      <c r="G361" s="2" t="s">
        <v>6</v>
      </c>
    </row>
    <row r="362">
      <c r="A362" s="3">
        <f>IFERROR(__xludf.DUMMYFUNCTION("""COMPUTED_VALUE"""),45086.66666666667)</f>
        <v>45086.66667</v>
      </c>
      <c r="B362" s="1">
        <f>IFERROR(__xludf.DUMMYFUNCTION("""COMPUTED_VALUE"""),112.03)</f>
        <v>112.03</v>
      </c>
      <c r="C362" s="1">
        <f>IFERROR(__xludf.DUMMYFUNCTION("""COMPUTED_VALUE"""),112.83)</f>
        <v>112.83</v>
      </c>
      <c r="D362" s="1">
        <f>IFERROR(__xludf.DUMMYFUNCTION("""COMPUTED_VALUE"""),111.2)</f>
        <v>111.2</v>
      </c>
      <c r="E362" s="1">
        <f>IFERROR(__xludf.DUMMYFUNCTION("""COMPUTED_VALUE"""),111.43)</f>
        <v>111.43</v>
      </c>
      <c r="F362" s="1">
        <f>IFERROR(__xludf.DUMMYFUNCTION("""COMPUTED_VALUE"""),1605581.0)</f>
        <v>1605581</v>
      </c>
      <c r="G362" s="2" t="s">
        <v>6</v>
      </c>
    </row>
    <row r="363">
      <c r="A363" s="3">
        <f>IFERROR(__xludf.DUMMYFUNCTION("""COMPUTED_VALUE"""),45089.66666666667)</f>
        <v>45089.66667</v>
      </c>
      <c r="B363" s="1">
        <f>IFERROR(__xludf.DUMMYFUNCTION("""COMPUTED_VALUE"""),111.8)</f>
        <v>111.8</v>
      </c>
      <c r="C363" s="1">
        <f>IFERROR(__xludf.DUMMYFUNCTION("""COMPUTED_VALUE"""),112.0)</f>
        <v>112</v>
      </c>
      <c r="D363" s="1">
        <f>IFERROR(__xludf.DUMMYFUNCTION("""COMPUTED_VALUE"""),110.5)</f>
        <v>110.5</v>
      </c>
      <c r="E363" s="1">
        <f>IFERROR(__xludf.DUMMYFUNCTION("""COMPUTED_VALUE"""),111.16)</f>
        <v>111.16</v>
      </c>
      <c r="F363" s="1">
        <f>IFERROR(__xludf.DUMMYFUNCTION("""COMPUTED_VALUE"""),1429387.0)</f>
        <v>1429387</v>
      </c>
      <c r="G363" s="2" t="s">
        <v>6</v>
      </c>
    </row>
    <row r="364">
      <c r="A364" s="3">
        <f>IFERROR(__xludf.DUMMYFUNCTION("""COMPUTED_VALUE"""),45090.66666666667)</f>
        <v>45090.66667</v>
      </c>
      <c r="B364" s="1">
        <f>IFERROR(__xludf.DUMMYFUNCTION("""COMPUTED_VALUE"""),110.22)</f>
        <v>110.22</v>
      </c>
      <c r="C364" s="1">
        <f>IFERROR(__xludf.DUMMYFUNCTION("""COMPUTED_VALUE"""),112.57)</f>
        <v>112.57</v>
      </c>
      <c r="D364" s="1">
        <f>IFERROR(__xludf.DUMMYFUNCTION("""COMPUTED_VALUE"""),109.99)</f>
        <v>109.99</v>
      </c>
      <c r="E364" s="1">
        <f>IFERROR(__xludf.DUMMYFUNCTION("""COMPUTED_VALUE"""),112.35)</f>
        <v>112.35</v>
      </c>
      <c r="F364" s="1">
        <f>IFERROR(__xludf.DUMMYFUNCTION("""COMPUTED_VALUE"""),1897138.0)</f>
        <v>1897138</v>
      </c>
      <c r="G364" s="2" t="s">
        <v>6</v>
      </c>
    </row>
    <row r="365">
      <c r="A365" s="3">
        <f>IFERROR(__xludf.DUMMYFUNCTION("""COMPUTED_VALUE"""),45091.66666666667)</f>
        <v>45091.66667</v>
      </c>
      <c r="B365" s="1">
        <f>IFERROR(__xludf.DUMMYFUNCTION("""COMPUTED_VALUE"""),112.67)</f>
        <v>112.67</v>
      </c>
      <c r="C365" s="1">
        <f>IFERROR(__xludf.DUMMYFUNCTION("""COMPUTED_VALUE"""),114.63)</f>
        <v>114.63</v>
      </c>
      <c r="D365" s="1">
        <f>IFERROR(__xludf.DUMMYFUNCTION("""COMPUTED_VALUE"""),112.57)</f>
        <v>112.57</v>
      </c>
      <c r="E365" s="1">
        <f>IFERROR(__xludf.DUMMYFUNCTION("""COMPUTED_VALUE"""),112.95)</f>
        <v>112.95</v>
      </c>
      <c r="F365" s="1">
        <f>IFERROR(__xludf.DUMMYFUNCTION("""COMPUTED_VALUE"""),2699338.0)</f>
        <v>2699338</v>
      </c>
      <c r="G365" s="2" t="s">
        <v>6</v>
      </c>
    </row>
    <row r="366">
      <c r="A366" s="3">
        <f>IFERROR(__xludf.DUMMYFUNCTION("""COMPUTED_VALUE"""),45092.66666666667)</f>
        <v>45092.66667</v>
      </c>
      <c r="B366" s="1">
        <f>IFERROR(__xludf.DUMMYFUNCTION("""COMPUTED_VALUE"""),112.73)</f>
        <v>112.73</v>
      </c>
      <c r="C366" s="1">
        <f>IFERROR(__xludf.DUMMYFUNCTION("""COMPUTED_VALUE"""),114.16)</f>
        <v>114.16</v>
      </c>
      <c r="D366" s="1">
        <f>IFERROR(__xludf.DUMMYFUNCTION("""COMPUTED_VALUE"""),112.11)</f>
        <v>112.11</v>
      </c>
      <c r="E366" s="1">
        <f>IFERROR(__xludf.DUMMYFUNCTION("""COMPUTED_VALUE"""),113.91)</f>
        <v>113.91</v>
      </c>
      <c r="F366" s="1">
        <f>IFERROR(__xludf.DUMMYFUNCTION("""COMPUTED_VALUE"""),1854867.0)</f>
        <v>1854867</v>
      </c>
      <c r="G366" s="2" t="s">
        <v>6</v>
      </c>
    </row>
    <row r="367">
      <c r="A367" s="3">
        <f>IFERROR(__xludf.DUMMYFUNCTION("""COMPUTED_VALUE"""),45093.66666666667)</f>
        <v>45093.66667</v>
      </c>
      <c r="B367" s="1">
        <f>IFERROR(__xludf.DUMMYFUNCTION("""COMPUTED_VALUE"""),114.56)</f>
        <v>114.56</v>
      </c>
      <c r="C367" s="1">
        <f>IFERROR(__xludf.DUMMYFUNCTION("""COMPUTED_VALUE"""),115.17)</f>
        <v>115.17</v>
      </c>
      <c r="D367" s="1">
        <f>IFERROR(__xludf.DUMMYFUNCTION("""COMPUTED_VALUE"""),113.89)</f>
        <v>113.89</v>
      </c>
      <c r="E367" s="1">
        <f>IFERROR(__xludf.DUMMYFUNCTION("""COMPUTED_VALUE"""),114.12)</f>
        <v>114.12</v>
      </c>
      <c r="F367" s="1">
        <f>IFERROR(__xludf.DUMMYFUNCTION("""COMPUTED_VALUE"""),4874877.0)</f>
        <v>4874877</v>
      </c>
      <c r="G367" s="2" t="s">
        <v>6</v>
      </c>
    </row>
    <row r="368">
      <c r="A368" s="3">
        <f>IFERROR(__xludf.DUMMYFUNCTION("""COMPUTED_VALUE"""),45097.66666666667)</f>
        <v>45097.66667</v>
      </c>
      <c r="B368" s="1">
        <f>IFERROR(__xludf.DUMMYFUNCTION("""COMPUTED_VALUE"""),114.28)</f>
        <v>114.28</v>
      </c>
      <c r="C368" s="1">
        <f>IFERROR(__xludf.DUMMYFUNCTION("""COMPUTED_VALUE"""),114.36)</f>
        <v>114.36</v>
      </c>
      <c r="D368" s="1">
        <f>IFERROR(__xludf.DUMMYFUNCTION("""COMPUTED_VALUE"""),113.04)</f>
        <v>113.04</v>
      </c>
      <c r="E368" s="1">
        <f>IFERROR(__xludf.DUMMYFUNCTION("""COMPUTED_VALUE"""),113.19)</f>
        <v>113.19</v>
      </c>
      <c r="F368" s="1">
        <f>IFERROR(__xludf.DUMMYFUNCTION("""COMPUTED_VALUE"""),1789218.0)</f>
        <v>1789218</v>
      </c>
      <c r="G368" s="2" t="s">
        <v>6</v>
      </c>
    </row>
    <row r="369">
      <c r="A369" s="3">
        <f>IFERROR(__xludf.DUMMYFUNCTION("""COMPUTED_VALUE"""),45098.66666666667)</f>
        <v>45098.66667</v>
      </c>
      <c r="B369" s="1">
        <f>IFERROR(__xludf.DUMMYFUNCTION("""COMPUTED_VALUE"""),112.73)</f>
        <v>112.73</v>
      </c>
      <c r="C369" s="1">
        <f>IFERROR(__xludf.DUMMYFUNCTION("""COMPUTED_VALUE"""),113.94)</f>
        <v>113.94</v>
      </c>
      <c r="D369" s="1">
        <f>IFERROR(__xludf.DUMMYFUNCTION("""COMPUTED_VALUE"""),111.51)</f>
        <v>111.51</v>
      </c>
      <c r="E369" s="1">
        <f>IFERROR(__xludf.DUMMYFUNCTION("""COMPUTED_VALUE"""),113.62)</f>
        <v>113.62</v>
      </c>
      <c r="F369" s="1">
        <f>IFERROR(__xludf.DUMMYFUNCTION("""COMPUTED_VALUE"""),1591571.0)</f>
        <v>1591571</v>
      </c>
      <c r="G369" s="2" t="s">
        <v>6</v>
      </c>
    </row>
    <row r="370">
      <c r="A370" s="3">
        <f>IFERROR(__xludf.DUMMYFUNCTION("""COMPUTED_VALUE"""),45099.66666666667)</f>
        <v>45099.66667</v>
      </c>
      <c r="B370" s="1">
        <f>IFERROR(__xludf.DUMMYFUNCTION("""COMPUTED_VALUE"""),114.0)</f>
        <v>114</v>
      </c>
      <c r="C370" s="1">
        <f>IFERROR(__xludf.DUMMYFUNCTION("""COMPUTED_VALUE"""),114.52)</f>
        <v>114.52</v>
      </c>
      <c r="D370" s="1">
        <f>IFERROR(__xludf.DUMMYFUNCTION("""COMPUTED_VALUE"""),112.28)</f>
        <v>112.28</v>
      </c>
      <c r="E370" s="1">
        <f>IFERROR(__xludf.DUMMYFUNCTION("""COMPUTED_VALUE"""),112.94)</f>
        <v>112.94</v>
      </c>
      <c r="F370" s="1">
        <f>IFERROR(__xludf.DUMMYFUNCTION("""COMPUTED_VALUE"""),1180115.0)</f>
        <v>1180115</v>
      </c>
      <c r="G370" s="2" t="s">
        <v>6</v>
      </c>
    </row>
    <row r="371">
      <c r="A371" s="3">
        <f>IFERROR(__xludf.DUMMYFUNCTION("""COMPUTED_VALUE"""),45100.66666666667)</f>
        <v>45100.66667</v>
      </c>
      <c r="B371" s="1">
        <f>IFERROR(__xludf.DUMMYFUNCTION("""COMPUTED_VALUE"""),113.27)</f>
        <v>113.27</v>
      </c>
      <c r="C371" s="1">
        <f>IFERROR(__xludf.DUMMYFUNCTION("""COMPUTED_VALUE"""),113.27)</f>
        <v>113.27</v>
      </c>
      <c r="D371" s="1">
        <f>IFERROR(__xludf.DUMMYFUNCTION("""COMPUTED_VALUE"""),109.54)</f>
        <v>109.54</v>
      </c>
      <c r="E371" s="1">
        <f>IFERROR(__xludf.DUMMYFUNCTION("""COMPUTED_VALUE"""),110.0)</f>
        <v>110</v>
      </c>
      <c r="F371" s="1">
        <f>IFERROR(__xludf.DUMMYFUNCTION("""COMPUTED_VALUE"""),2196209.0)</f>
        <v>2196209</v>
      </c>
      <c r="G371" s="2" t="s">
        <v>6</v>
      </c>
    </row>
    <row r="372">
      <c r="A372" s="3">
        <f>IFERROR(__xludf.DUMMYFUNCTION("""COMPUTED_VALUE"""),45103.66666666667)</f>
        <v>45103.66667</v>
      </c>
      <c r="B372" s="1">
        <f>IFERROR(__xludf.DUMMYFUNCTION("""COMPUTED_VALUE"""),110.35)</f>
        <v>110.35</v>
      </c>
      <c r="C372" s="1">
        <f>IFERROR(__xludf.DUMMYFUNCTION("""COMPUTED_VALUE"""),110.96)</f>
        <v>110.96</v>
      </c>
      <c r="D372" s="1">
        <f>IFERROR(__xludf.DUMMYFUNCTION("""COMPUTED_VALUE"""),109.26)</f>
        <v>109.26</v>
      </c>
      <c r="E372" s="1">
        <f>IFERROR(__xludf.DUMMYFUNCTION("""COMPUTED_VALUE"""),110.5)</f>
        <v>110.5</v>
      </c>
      <c r="F372" s="1">
        <f>IFERROR(__xludf.DUMMYFUNCTION("""COMPUTED_VALUE"""),1240217.0)</f>
        <v>1240217</v>
      </c>
      <c r="G372" s="2" t="s">
        <v>6</v>
      </c>
    </row>
    <row r="373">
      <c r="A373" s="3">
        <f>IFERROR(__xludf.DUMMYFUNCTION("""COMPUTED_VALUE"""),45104.66666666667)</f>
        <v>45104.66667</v>
      </c>
      <c r="B373" s="1">
        <f>IFERROR(__xludf.DUMMYFUNCTION("""COMPUTED_VALUE"""),110.53)</f>
        <v>110.53</v>
      </c>
      <c r="C373" s="1">
        <f>IFERROR(__xludf.DUMMYFUNCTION("""COMPUTED_VALUE"""),111.37)</f>
        <v>111.37</v>
      </c>
      <c r="D373" s="1">
        <f>IFERROR(__xludf.DUMMYFUNCTION("""COMPUTED_VALUE"""),110.41)</f>
        <v>110.41</v>
      </c>
      <c r="E373" s="1">
        <f>IFERROR(__xludf.DUMMYFUNCTION("""COMPUTED_VALUE"""),110.67)</f>
        <v>110.67</v>
      </c>
      <c r="F373" s="1">
        <f>IFERROR(__xludf.DUMMYFUNCTION("""COMPUTED_VALUE"""),931446.0)</f>
        <v>931446</v>
      </c>
      <c r="G373" s="2" t="s">
        <v>6</v>
      </c>
    </row>
    <row r="374">
      <c r="A374" s="3">
        <f>IFERROR(__xludf.DUMMYFUNCTION("""COMPUTED_VALUE"""),45105.66666666667)</f>
        <v>45105.66667</v>
      </c>
      <c r="B374" s="1">
        <f>IFERROR(__xludf.DUMMYFUNCTION("""COMPUTED_VALUE"""),110.61)</f>
        <v>110.61</v>
      </c>
      <c r="C374" s="1">
        <f>IFERROR(__xludf.DUMMYFUNCTION("""COMPUTED_VALUE"""),110.61)</f>
        <v>110.61</v>
      </c>
      <c r="D374" s="1">
        <f>IFERROR(__xludf.DUMMYFUNCTION("""COMPUTED_VALUE"""),108.37)</f>
        <v>108.37</v>
      </c>
      <c r="E374" s="1">
        <f>IFERROR(__xludf.DUMMYFUNCTION("""COMPUTED_VALUE"""),108.97)</f>
        <v>108.97</v>
      </c>
      <c r="F374" s="1">
        <f>IFERROR(__xludf.DUMMYFUNCTION("""COMPUTED_VALUE"""),1976726.0)</f>
        <v>1976726</v>
      </c>
      <c r="G374" s="2" t="s">
        <v>6</v>
      </c>
    </row>
    <row r="375">
      <c r="A375" s="3">
        <f>IFERROR(__xludf.DUMMYFUNCTION("""COMPUTED_VALUE"""),45106.66666666667)</f>
        <v>45106.66667</v>
      </c>
      <c r="B375" s="1">
        <f>IFERROR(__xludf.DUMMYFUNCTION("""COMPUTED_VALUE"""),108.17)</f>
        <v>108.17</v>
      </c>
      <c r="C375" s="1">
        <f>IFERROR(__xludf.DUMMYFUNCTION("""COMPUTED_VALUE"""),110.07)</f>
        <v>110.07</v>
      </c>
      <c r="D375" s="1">
        <f>IFERROR(__xludf.DUMMYFUNCTION("""COMPUTED_VALUE"""),107.86)</f>
        <v>107.86</v>
      </c>
      <c r="E375" s="1">
        <f>IFERROR(__xludf.DUMMYFUNCTION("""COMPUTED_VALUE"""),109.25)</f>
        <v>109.25</v>
      </c>
      <c r="F375" s="1">
        <f>IFERROR(__xludf.DUMMYFUNCTION("""COMPUTED_VALUE"""),1641839.0)</f>
        <v>1641839</v>
      </c>
      <c r="G375" s="2" t="s">
        <v>6</v>
      </c>
    </row>
    <row r="376">
      <c r="A376" s="3">
        <f>IFERROR(__xludf.DUMMYFUNCTION("""COMPUTED_VALUE"""),45107.66666666667)</f>
        <v>45107.66667</v>
      </c>
      <c r="B376" s="1">
        <f>IFERROR(__xludf.DUMMYFUNCTION("""COMPUTED_VALUE"""),109.61)</f>
        <v>109.61</v>
      </c>
      <c r="C376" s="1">
        <f>IFERROR(__xludf.DUMMYFUNCTION("""COMPUTED_VALUE"""),110.22)</f>
        <v>110.22</v>
      </c>
      <c r="D376" s="1">
        <f>IFERROR(__xludf.DUMMYFUNCTION("""COMPUTED_VALUE"""),108.57)</f>
        <v>108.57</v>
      </c>
      <c r="E376" s="1">
        <f>IFERROR(__xludf.DUMMYFUNCTION("""COMPUTED_VALUE"""),110.02)</f>
        <v>110.02</v>
      </c>
      <c r="F376" s="1">
        <f>IFERROR(__xludf.DUMMYFUNCTION("""COMPUTED_VALUE"""),1578681.0)</f>
        <v>1578681</v>
      </c>
      <c r="G376" s="2" t="s">
        <v>6</v>
      </c>
    </row>
    <row r="377">
      <c r="A377" s="3">
        <f>IFERROR(__xludf.DUMMYFUNCTION("""COMPUTED_VALUE"""),45110.54166666667)</f>
        <v>45110.54167</v>
      </c>
      <c r="B377" s="1">
        <f>IFERROR(__xludf.DUMMYFUNCTION("""COMPUTED_VALUE"""),110.02)</f>
        <v>110.02</v>
      </c>
      <c r="C377" s="1">
        <f>IFERROR(__xludf.DUMMYFUNCTION("""COMPUTED_VALUE"""),111.27)</f>
        <v>111.27</v>
      </c>
      <c r="D377" s="1">
        <f>IFERROR(__xludf.DUMMYFUNCTION("""COMPUTED_VALUE"""),109.48)</f>
        <v>109.48</v>
      </c>
      <c r="E377" s="1">
        <f>IFERROR(__xludf.DUMMYFUNCTION("""COMPUTED_VALUE"""),111.25)</f>
        <v>111.25</v>
      </c>
      <c r="F377" s="1">
        <f>IFERROR(__xludf.DUMMYFUNCTION("""COMPUTED_VALUE"""),676455.0)</f>
        <v>676455</v>
      </c>
      <c r="G377" s="2" t="s">
        <v>6</v>
      </c>
    </row>
    <row r="378">
      <c r="A378" s="3">
        <f>IFERROR(__xludf.DUMMYFUNCTION("""COMPUTED_VALUE"""),45112.66666666667)</f>
        <v>45112.66667</v>
      </c>
      <c r="B378" s="1">
        <f>IFERROR(__xludf.DUMMYFUNCTION("""COMPUTED_VALUE"""),110.93)</f>
        <v>110.93</v>
      </c>
      <c r="C378" s="1">
        <f>IFERROR(__xludf.DUMMYFUNCTION("""COMPUTED_VALUE"""),113.08)</f>
        <v>113.08</v>
      </c>
      <c r="D378" s="1">
        <f>IFERROR(__xludf.DUMMYFUNCTION("""COMPUTED_VALUE"""),110.88)</f>
        <v>110.88</v>
      </c>
      <c r="E378" s="1">
        <f>IFERROR(__xludf.DUMMYFUNCTION("""COMPUTED_VALUE"""),112.5)</f>
        <v>112.5</v>
      </c>
      <c r="F378" s="1">
        <f>IFERROR(__xludf.DUMMYFUNCTION("""COMPUTED_VALUE"""),1325579.0)</f>
        <v>1325579</v>
      </c>
      <c r="G378" s="2" t="s">
        <v>6</v>
      </c>
    </row>
    <row r="379">
      <c r="A379" s="3">
        <f>IFERROR(__xludf.DUMMYFUNCTION("""COMPUTED_VALUE"""),45113.66666666667)</f>
        <v>45113.66667</v>
      </c>
      <c r="B379" s="1">
        <f>IFERROR(__xludf.DUMMYFUNCTION("""COMPUTED_VALUE"""),111.9)</f>
        <v>111.9</v>
      </c>
      <c r="C379" s="1">
        <f>IFERROR(__xludf.DUMMYFUNCTION("""COMPUTED_VALUE"""),111.91)</f>
        <v>111.91</v>
      </c>
      <c r="D379" s="1">
        <f>IFERROR(__xludf.DUMMYFUNCTION("""COMPUTED_VALUE"""),110.93)</f>
        <v>110.93</v>
      </c>
      <c r="E379" s="1">
        <f>IFERROR(__xludf.DUMMYFUNCTION("""COMPUTED_VALUE"""),111.17)</f>
        <v>111.17</v>
      </c>
      <c r="F379" s="1">
        <f>IFERROR(__xludf.DUMMYFUNCTION("""COMPUTED_VALUE"""),1233293.0)</f>
        <v>1233293</v>
      </c>
      <c r="G379" s="2" t="s">
        <v>6</v>
      </c>
    </row>
    <row r="380">
      <c r="A380" s="3">
        <f>IFERROR(__xludf.DUMMYFUNCTION("""COMPUTED_VALUE"""),45114.66666666667)</f>
        <v>45114.66667</v>
      </c>
      <c r="B380" s="1">
        <f>IFERROR(__xludf.DUMMYFUNCTION("""COMPUTED_VALUE"""),110.14)</f>
        <v>110.14</v>
      </c>
      <c r="C380" s="1">
        <f>IFERROR(__xludf.DUMMYFUNCTION("""COMPUTED_VALUE"""),110.97)</f>
        <v>110.97</v>
      </c>
      <c r="D380" s="1">
        <f>IFERROR(__xludf.DUMMYFUNCTION("""COMPUTED_VALUE"""),109.78)</f>
        <v>109.78</v>
      </c>
      <c r="E380" s="1">
        <f>IFERROR(__xludf.DUMMYFUNCTION("""COMPUTED_VALUE"""),109.99)</f>
        <v>109.99</v>
      </c>
      <c r="F380" s="1">
        <f>IFERROR(__xludf.DUMMYFUNCTION("""COMPUTED_VALUE"""),1171969.0)</f>
        <v>1171969</v>
      </c>
      <c r="G380" s="2" t="s">
        <v>6</v>
      </c>
    </row>
    <row r="381">
      <c r="A381" s="3">
        <f>IFERROR(__xludf.DUMMYFUNCTION("""COMPUTED_VALUE"""),45117.66666666667)</f>
        <v>45117.66667</v>
      </c>
      <c r="B381" s="1">
        <f>IFERROR(__xludf.DUMMYFUNCTION("""COMPUTED_VALUE"""),109.66)</f>
        <v>109.66</v>
      </c>
      <c r="C381" s="1">
        <f>IFERROR(__xludf.DUMMYFUNCTION("""COMPUTED_VALUE"""),110.05)</f>
        <v>110.05</v>
      </c>
      <c r="D381" s="1">
        <f>IFERROR(__xludf.DUMMYFUNCTION("""COMPUTED_VALUE"""),108.25)</f>
        <v>108.25</v>
      </c>
      <c r="E381" s="1">
        <f>IFERROR(__xludf.DUMMYFUNCTION("""COMPUTED_VALUE"""),109.5)</f>
        <v>109.5</v>
      </c>
      <c r="F381" s="1">
        <f>IFERROR(__xludf.DUMMYFUNCTION("""COMPUTED_VALUE"""),986653.0)</f>
        <v>986653</v>
      </c>
      <c r="G381" s="2" t="s">
        <v>6</v>
      </c>
    </row>
    <row r="382">
      <c r="A382" s="3">
        <f>IFERROR(__xludf.DUMMYFUNCTION("""COMPUTED_VALUE"""),45118.66666666667)</f>
        <v>45118.66667</v>
      </c>
      <c r="B382" s="1">
        <f>IFERROR(__xludf.DUMMYFUNCTION("""COMPUTED_VALUE"""),109.67)</f>
        <v>109.67</v>
      </c>
      <c r="C382" s="1">
        <f>IFERROR(__xludf.DUMMYFUNCTION("""COMPUTED_VALUE"""),110.98)</f>
        <v>110.98</v>
      </c>
      <c r="D382" s="1">
        <f>IFERROR(__xludf.DUMMYFUNCTION("""COMPUTED_VALUE"""),109.27)</f>
        <v>109.27</v>
      </c>
      <c r="E382" s="1">
        <f>IFERROR(__xludf.DUMMYFUNCTION("""COMPUTED_VALUE"""),110.85)</f>
        <v>110.85</v>
      </c>
      <c r="F382" s="1">
        <f>IFERROR(__xludf.DUMMYFUNCTION("""COMPUTED_VALUE"""),766349.0)</f>
        <v>766349</v>
      </c>
      <c r="G382" s="2" t="s">
        <v>6</v>
      </c>
    </row>
    <row r="383">
      <c r="A383" s="3">
        <f>IFERROR(__xludf.DUMMYFUNCTION("""COMPUTED_VALUE"""),45119.66666666667)</f>
        <v>45119.66667</v>
      </c>
      <c r="B383" s="1">
        <f>IFERROR(__xludf.DUMMYFUNCTION("""COMPUTED_VALUE"""),111.42)</f>
        <v>111.42</v>
      </c>
      <c r="C383" s="1">
        <f>IFERROR(__xludf.DUMMYFUNCTION("""COMPUTED_VALUE"""),113.16)</f>
        <v>113.16</v>
      </c>
      <c r="D383" s="1">
        <f>IFERROR(__xludf.DUMMYFUNCTION("""COMPUTED_VALUE"""),111.38)</f>
        <v>111.38</v>
      </c>
      <c r="E383" s="1">
        <f>IFERROR(__xludf.DUMMYFUNCTION("""COMPUTED_VALUE"""),112.81)</f>
        <v>112.81</v>
      </c>
      <c r="F383" s="1">
        <f>IFERROR(__xludf.DUMMYFUNCTION("""COMPUTED_VALUE"""),1177357.0)</f>
        <v>1177357</v>
      </c>
      <c r="G383" s="2" t="s">
        <v>6</v>
      </c>
    </row>
    <row r="384">
      <c r="A384" s="3">
        <f>IFERROR(__xludf.DUMMYFUNCTION("""COMPUTED_VALUE"""),45120.66666666667)</f>
        <v>45120.66667</v>
      </c>
      <c r="B384" s="1">
        <f>IFERROR(__xludf.DUMMYFUNCTION("""COMPUTED_VALUE"""),112.86)</f>
        <v>112.86</v>
      </c>
      <c r="C384" s="1">
        <f>IFERROR(__xludf.DUMMYFUNCTION("""COMPUTED_VALUE"""),113.44)</f>
        <v>113.44</v>
      </c>
      <c r="D384" s="1">
        <f>IFERROR(__xludf.DUMMYFUNCTION("""COMPUTED_VALUE"""),112.4)</f>
        <v>112.4</v>
      </c>
      <c r="E384" s="1">
        <f>IFERROR(__xludf.DUMMYFUNCTION("""COMPUTED_VALUE"""),113.43)</f>
        <v>113.43</v>
      </c>
      <c r="F384" s="1">
        <f>IFERROR(__xludf.DUMMYFUNCTION("""COMPUTED_VALUE"""),908326.0)</f>
        <v>908326</v>
      </c>
      <c r="G384" s="2" t="s">
        <v>6</v>
      </c>
    </row>
    <row r="385">
      <c r="A385" s="3">
        <f>IFERROR(__xludf.DUMMYFUNCTION("""COMPUTED_VALUE"""),45121.66666666667)</f>
        <v>45121.66667</v>
      </c>
      <c r="B385" s="1">
        <f>IFERROR(__xludf.DUMMYFUNCTION("""COMPUTED_VALUE"""),113.13)</f>
        <v>113.13</v>
      </c>
      <c r="C385" s="1">
        <f>IFERROR(__xludf.DUMMYFUNCTION("""COMPUTED_VALUE"""),113.41)</f>
        <v>113.41</v>
      </c>
      <c r="D385" s="1">
        <f>IFERROR(__xludf.DUMMYFUNCTION("""COMPUTED_VALUE"""),112.43)</f>
        <v>112.43</v>
      </c>
      <c r="E385" s="1">
        <f>IFERROR(__xludf.DUMMYFUNCTION("""COMPUTED_VALUE"""),112.95)</f>
        <v>112.95</v>
      </c>
      <c r="F385" s="1">
        <f>IFERROR(__xludf.DUMMYFUNCTION("""COMPUTED_VALUE"""),858955.0)</f>
        <v>858955</v>
      </c>
      <c r="G385" s="2" t="s">
        <v>6</v>
      </c>
    </row>
    <row r="386">
      <c r="A386" s="3">
        <f>IFERROR(__xludf.DUMMYFUNCTION("""COMPUTED_VALUE"""),45124.66666666667)</f>
        <v>45124.66667</v>
      </c>
      <c r="B386" s="1">
        <f>IFERROR(__xludf.DUMMYFUNCTION("""COMPUTED_VALUE"""),112.94)</f>
        <v>112.94</v>
      </c>
      <c r="C386" s="1">
        <f>IFERROR(__xludf.DUMMYFUNCTION("""COMPUTED_VALUE"""),112.94)</f>
        <v>112.94</v>
      </c>
      <c r="D386" s="1">
        <f>IFERROR(__xludf.DUMMYFUNCTION("""COMPUTED_VALUE"""),110.64)</f>
        <v>110.64</v>
      </c>
      <c r="E386" s="1">
        <f>IFERROR(__xludf.DUMMYFUNCTION("""COMPUTED_VALUE"""),110.66)</f>
        <v>110.66</v>
      </c>
      <c r="F386" s="1">
        <f>IFERROR(__xludf.DUMMYFUNCTION("""COMPUTED_VALUE"""),831774.0)</f>
        <v>831774</v>
      </c>
      <c r="G386" s="2" t="s">
        <v>6</v>
      </c>
    </row>
    <row r="387">
      <c r="A387" s="3">
        <f>IFERROR(__xludf.DUMMYFUNCTION("""COMPUTED_VALUE"""),45125.66666666667)</f>
        <v>45125.66667</v>
      </c>
      <c r="B387" s="1">
        <f>IFERROR(__xludf.DUMMYFUNCTION("""COMPUTED_VALUE"""),110.45)</f>
        <v>110.45</v>
      </c>
      <c r="C387" s="1">
        <f>IFERROR(__xludf.DUMMYFUNCTION("""COMPUTED_VALUE"""),111.78)</f>
        <v>111.78</v>
      </c>
      <c r="D387" s="1">
        <f>IFERROR(__xludf.DUMMYFUNCTION("""COMPUTED_VALUE"""),108.66)</f>
        <v>108.66</v>
      </c>
      <c r="E387" s="1">
        <f>IFERROR(__xludf.DUMMYFUNCTION("""COMPUTED_VALUE"""),109.31)</f>
        <v>109.31</v>
      </c>
      <c r="F387" s="1">
        <f>IFERROR(__xludf.DUMMYFUNCTION("""COMPUTED_VALUE"""),892342.0)</f>
        <v>892342</v>
      </c>
      <c r="G387" s="2" t="s">
        <v>6</v>
      </c>
    </row>
    <row r="388">
      <c r="A388" s="3">
        <f>IFERROR(__xludf.DUMMYFUNCTION("""COMPUTED_VALUE"""),45126.66666666667)</f>
        <v>45126.66667</v>
      </c>
      <c r="B388" s="1">
        <f>IFERROR(__xludf.DUMMYFUNCTION("""COMPUTED_VALUE"""),109.68)</f>
        <v>109.68</v>
      </c>
      <c r="C388" s="1">
        <f>IFERROR(__xludf.DUMMYFUNCTION("""COMPUTED_VALUE"""),111.28)</f>
        <v>111.28</v>
      </c>
      <c r="D388" s="1">
        <f>IFERROR(__xludf.DUMMYFUNCTION("""COMPUTED_VALUE"""),109.68)</f>
        <v>109.68</v>
      </c>
      <c r="E388" s="1">
        <f>IFERROR(__xludf.DUMMYFUNCTION("""COMPUTED_VALUE"""),111.24)</f>
        <v>111.24</v>
      </c>
      <c r="F388" s="1">
        <f>IFERROR(__xludf.DUMMYFUNCTION("""COMPUTED_VALUE"""),1015670.0)</f>
        <v>1015670</v>
      </c>
      <c r="G388" s="2" t="s">
        <v>6</v>
      </c>
    </row>
    <row r="389">
      <c r="A389" s="3">
        <f>IFERROR(__xludf.DUMMYFUNCTION("""COMPUTED_VALUE"""),45127.66666666667)</f>
        <v>45127.66667</v>
      </c>
      <c r="B389" s="1">
        <f>IFERROR(__xludf.DUMMYFUNCTION("""COMPUTED_VALUE"""),111.7)</f>
        <v>111.7</v>
      </c>
      <c r="C389" s="1">
        <f>IFERROR(__xludf.DUMMYFUNCTION("""COMPUTED_VALUE"""),113.26)</f>
        <v>113.26</v>
      </c>
      <c r="D389" s="1">
        <f>IFERROR(__xludf.DUMMYFUNCTION("""COMPUTED_VALUE"""),110.58)</f>
        <v>110.58</v>
      </c>
      <c r="E389" s="1">
        <f>IFERROR(__xludf.DUMMYFUNCTION("""COMPUTED_VALUE"""),113.13)</f>
        <v>113.13</v>
      </c>
      <c r="F389" s="1">
        <f>IFERROR(__xludf.DUMMYFUNCTION("""COMPUTED_VALUE"""),777755.0)</f>
        <v>777755</v>
      </c>
      <c r="G389" s="2" t="s">
        <v>6</v>
      </c>
    </row>
    <row r="390">
      <c r="A390" s="3">
        <f>IFERROR(__xludf.DUMMYFUNCTION("""COMPUTED_VALUE"""),45128.66666666667)</f>
        <v>45128.66667</v>
      </c>
      <c r="B390" s="1">
        <f>IFERROR(__xludf.DUMMYFUNCTION("""COMPUTED_VALUE"""),113.5)</f>
        <v>113.5</v>
      </c>
      <c r="C390" s="1">
        <f>IFERROR(__xludf.DUMMYFUNCTION("""COMPUTED_VALUE"""),115.42)</f>
        <v>115.42</v>
      </c>
      <c r="D390" s="1">
        <f>IFERROR(__xludf.DUMMYFUNCTION("""COMPUTED_VALUE"""),113.02)</f>
        <v>113.02</v>
      </c>
      <c r="E390" s="1">
        <f>IFERROR(__xludf.DUMMYFUNCTION("""COMPUTED_VALUE"""),115.12)</f>
        <v>115.12</v>
      </c>
      <c r="F390" s="1">
        <f>IFERROR(__xludf.DUMMYFUNCTION("""COMPUTED_VALUE"""),1082851.0)</f>
        <v>1082851</v>
      </c>
      <c r="G390" s="2" t="s">
        <v>6</v>
      </c>
    </row>
    <row r="391">
      <c r="A391" s="3">
        <f>IFERROR(__xludf.DUMMYFUNCTION("""COMPUTED_VALUE"""),45131.66666666667)</f>
        <v>45131.66667</v>
      </c>
      <c r="B391" s="1">
        <f>IFERROR(__xludf.DUMMYFUNCTION("""COMPUTED_VALUE"""),115.21)</f>
        <v>115.21</v>
      </c>
      <c r="C391" s="1">
        <f>IFERROR(__xludf.DUMMYFUNCTION("""COMPUTED_VALUE"""),115.47)</f>
        <v>115.47</v>
      </c>
      <c r="D391" s="1">
        <f>IFERROR(__xludf.DUMMYFUNCTION("""COMPUTED_VALUE"""),114.3)</f>
        <v>114.3</v>
      </c>
      <c r="E391" s="1">
        <f>IFERROR(__xludf.DUMMYFUNCTION("""COMPUTED_VALUE"""),115.01)</f>
        <v>115.01</v>
      </c>
      <c r="F391" s="1">
        <f>IFERROR(__xludf.DUMMYFUNCTION("""COMPUTED_VALUE"""),829761.0)</f>
        <v>829761</v>
      </c>
      <c r="G391" s="2" t="s">
        <v>6</v>
      </c>
    </row>
    <row r="392">
      <c r="A392" s="3">
        <f>IFERROR(__xludf.DUMMYFUNCTION("""COMPUTED_VALUE"""),45132.66666666667)</f>
        <v>45132.66667</v>
      </c>
      <c r="B392" s="1">
        <f>IFERROR(__xludf.DUMMYFUNCTION("""COMPUTED_VALUE"""),115.03)</f>
        <v>115.03</v>
      </c>
      <c r="C392" s="1">
        <f>IFERROR(__xludf.DUMMYFUNCTION("""COMPUTED_VALUE"""),115.94)</f>
        <v>115.94</v>
      </c>
      <c r="D392" s="1">
        <f>IFERROR(__xludf.DUMMYFUNCTION("""COMPUTED_VALUE"""),114.73)</f>
        <v>114.73</v>
      </c>
      <c r="E392" s="1">
        <f>IFERROR(__xludf.DUMMYFUNCTION("""COMPUTED_VALUE"""),115.44)</f>
        <v>115.44</v>
      </c>
      <c r="F392" s="1">
        <f>IFERROR(__xludf.DUMMYFUNCTION("""COMPUTED_VALUE"""),768134.0)</f>
        <v>768134</v>
      </c>
      <c r="G392" s="2" t="s">
        <v>6</v>
      </c>
    </row>
    <row r="393">
      <c r="A393" s="3">
        <f>IFERROR(__xludf.DUMMYFUNCTION("""COMPUTED_VALUE"""),45133.66666666667)</f>
        <v>45133.66667</v>
      </c>
      <c r="B393" s="1">
        <f>IFERROR(__xludf.DUMMYFUNCTION("""COMPUTED_VALUE"""),115.5)</f>
        <v>115.5</v>
      </c>
      <c r="C393" s="1">
        <f>IFERROR(__xludf.DUMMYFUNCTION("""COMPUTED_VALUE"""),116.7)</f>
        <v>116.7</v>
      </c>
      <c r="D393" s="1">
        <f>IFERROR(__xludf.DUMMYFUNCTION("""COMPUTED_VALUE"""),115.03)</f>
        <v>115.03</v>
      </c>
      <c r="E393" s="1">
        <f>IFERROR(__xludf.DUMMYFUNCTION("""COMPUTED_VALUE"""),115.87)</f>
        <v>115.87</v>
      </c>
      <c r="F393" s="1">
        <f>IFERROR(__xludf.DUMMYFUNCTION("""COMPUTED_VALUE"""),1011084.0)</f>
        <v>1011084</v>
      </c>
      <c r="G393" s="2" t="s">
        <v>6</v>
      </c>
    </row>
    <row r="394">
      <c r="A394" s="3">
        <f>IFERROR(__xludf.DUMMYFUNCTION("""COMPUTED_VALUE"""),45134.66666666667)</f>
        <v>45134.66667</v>
      </c>
      <c r="B394" s="1">
        <f>IFERROR(__xludf.DUMMYFUNCTION("""COMPUTED_VALUE"""),115.87)</f>
        <v>115.87</v>
      </c>
      <c r="C394" s="1">
        <f>IFERROR(__xludf.DUMMYFUNCTION("""COMPUTED_VALUE"""),116.73)</f>
        <v>116.73</v>
      </c>
      <c r="D394" s="1">
        <f>IFERROR(__xludf.DUMMYFUNCTION("""COMPUTED_VALUE"""),113.98)</f>
        <v>113.98</v>
      </c>
      <c r="E394" s="1">
        <f>IFERROR(__xludf.DUMMYFUNCTION("""COMPUTED_VALUE"""),114.34)</f>
        <v>114.34</v>
      </c>
      <c r="F394" s="1">
        <f>IFERROR(__xludf.DUMMYFUNCTION("""COMPUTED_VALUE"""),1363430.0)</f>
        <v>1363430</v>
      </c>
      <c r="G394" s="2" t="s">
        <v>6</v>
      </c>
    </row>
    <row r="395">
      <c r="A395" s="3">
        <f>IFERROR(__xludf.DUMMYFUNCTION("""COMPUTED_VALUE"""),45135.66666666667)</f>
        <v>45135.66667</v>
      </c>
      <c r="B395" s="1">
        <f>IFERROR(__xludf.DUMMYFUNCTION("""COMPUTED_VALUE"""),115.41)</f>
        <v>115.41</v>
      </c>
      <c r="C395" s="1">
        <f>IFERROR(__xludf.DUMMYFUNCTION("""COMPUTED_VALUE"""),115.84)</f>
        <v>115.84</v>
      </c>
      <c r="D395" s="1">
        <f>IFERROR(__xludf.DUMMYFUNCTION("""COMPUTED_VALUE"""),113.04)</f>
        <v>113.04</v>
      </c>
      <c r="E395" s="1">
        <f>IFERROR(__xludf.DUMMYFUNCTION("""COMPUTED_VALUE"""),113.57)</f>
        <v>113.57</v>
      </c>
      <c r="F395" s="1">
        <f>IFERROR(__xludf.DUMMYFUNCTION("""COMPUTED_VALUE"""),816811.0)</f>
        <v>816811</v>
      </c>
      <c r="G395" s="2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IFERROR(__xludf.DUMMYFUNCTION("GOOGLEFINANCE(""HFG"",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IFERROR(__xludf.DUMMYFUNCTION("""COMPUTED_VALUE"""),44565.6875)</f>
        <v>44565.6875</v>
      </c>
      <c r="B2" s="1">
        <f>IFERROR(__xludf.DUMMYFUNCTION("""COMPUTED_VALUE"""),1150.0)</f>
        <v>1150</v>
      </c>
      <c r="C2" s="1">
        <f>IFERROR(__xludf.DUMMYFUNCTION("""COMPUTED_VALUE"""),1188.0)</f>
        <v>1188</v>
      </c>
      <c r="D2" s="1">
        <f>IFERROR(__xludf.DUMMYFUNCTION("""COMPUTED_VALUE"""),1120.0)</f>
        <v>1120</v>
      </c>
      <c r="E2" s="1">
        <f>IFERROR(__xludf.DUMMYFUNCTION("""COMPUTED_VALUE"""),1178.0)</f>
        <v>1178</v>
      </c>
      <c r="F2" s="1">
        <f>IFERROR(__xludf.DUMMYFUNCTION("""COMPUTED_VALUE"""),75679.0)</f>
        <v>75679</v>
      </c>
      <c r="G2" s="2" t="s">
        <v>7</v>
      </c>
    </row>
    <row r="3">
      <c r="A3" s="3">
        <f>IFERROR(__xludf.DUMMYFUNCTION("""COMPUTED_VALUE"""),44566.6875)</f>
        <v>44566.6875</v>
      </c>
      <c r="B3" s="1">
        <f>IFERROR(__xludf.DUMMYFUNCTION("""COMPUTED_VALUE"""),1182.0)</f>
        <v>1182</v>
      </c>
      <c r="C3" s="1">
        <f>IFERROR(__xludf.DUMMYFUNCTION("""COMPUTED_VALUE"""),1182.0)</f>
        <v>1182</v>
      </c>
      <c r="D3" s="1">
        <f>IFERROR(__xludf.DUMMYFUNCTION("""COMPUTED_VALUE"""),1152.0)</f>
        <v>1152</v>
      </c>
      <c r="E3" s="1">
        <f>IFERROR(__xludf.DUMMYFUNCTION("""COMPUTED_VALUE"""),1152.0)</f>
        <v>1152</v>
      </c>
      <c r="F3" s="1">
        <f>IFERROR(__xludf.DUMMYFUNCTION("""COMPUTED_VALUE"""),74965.0)</f>
        <v>74965</v>
      </c>
      <c r="G3" s="2" t="s">
        <v>7</v>
      </c>
    </row>
    <row r="4">
      <c r="A4" s="3">
        <f>IFERROR(__xludf.DUMMYFUNCTION("""COMPUTED_VALUE"""),44567.6875)</f>
        <v>44567.6875</v>
      </c>
      <c r="B4" s="1">
        <f>IFERROR(__xludf.DUMMYFUNCTION("""COMPUTED_VALUE"""),1138.0)</f>
        <v>1138</v>
      </c>
      <c r="C4" s="1">
        <f>IFERROR(__xludf.DUMMYFUNCTION("""COMPUTED_VALUE"""),1154.0)</f>
        <v>1154</v>
      </c>
      <c r="D4" s="1">
        <f>IFERROR(__xludf.DUMMYFUNCTION("""COMPUTED_VALUE"""),1130.0)</f>
        <v>1130</v>
      </c>
      <c r="E4" s="1">
        <f>IFERROR(__xludf.DUMMYFUNCTION("""COMPUTED_VALUE"""),1134.0)</f>
        <v>1134</v>
      </c>
      <c r="F4" s="1">
        <f>IFERROR(__xludf.DUMMYFUNCTION("""COMPUTED_VALUE"""),56668.0)</f>
        <v>56668</v>
      </c>
      <c r="G4" s="2" t="s">
        <v>7</v>
      </c>
    </row>
    <row r="5">
      <c r="A5" s="3">
        <f>IFERROR(__xludf.DUMMYFUNCTION("""COMPUTED_VALUE"""),44568.6875)</f>
        <v>44568.6875</v>
      </c>
      <c r="B5" s="1">
        <f>IFERROR(__xludf.DUMMYFUNCTION("""COMPUTED_VALUE"""),1126.0)</f>
        <v>1126</v>
      </c>
      <c r="C5" s="1">
        <f>IFERROR(__xludf.DUMMYFUNCTION("""COMPUTED_VALUE"""),1136.0)</f>
        <v>1136</v>
      </c>
      <c r="D5" s="1">
        <f>IFERROR(__xludf.DUMMYFUNCTION("""COMPUTED_VALUE"""),1114.0)</f>
        <v>1114</v>
      </c>
      <c r="E5" s="1">
        <f>IFERROR(__xludf.DUMMYFUNCTION("""COMPUTED_VALUE"""),1124.0)</f>
        <v>1124</v>
      </c>
      <c r="F5" s="1">
        <f>IFERROR(__xludf.DUMMYFUNCTION("""COMPUTED_VALUE"""),35927.0)</f>
        <v>35927</v>
      </c>
      <c r="G5" s="2" t="s">
        <v>7</v>
      </c>
    </row>
    <row r="6">
      <c r="A6" s="3">
        <f>IFERROR(__xludf.DUMMYFUNCTION("""COMPUTED_VALUE"""),44571.6875)</f>
        <v>44571.6875</v>
      </c>
      <c r="B6" s="1">
        <f>IFERROR(__xludf.DUMMYFUNCTION("""COMPUTED_VALUE"""),1134.0)</f>
        <v>1134</v>
      </c>
      <c r="C6" s="1">
        <f>IFERROR(__xludf.DUMMYFUNCTION("""COMPUTED_VALUE"""),1143.53)</f>
        <v>1143.53</v>
      </c>
      <c r="D6" s="1">
        <f>IFERROR(__xludf.DUMMYFUNCTION("""COMPUTED_VALUE"""),1126.0)</f>
        <v>1126</v>
      </c>
      <c r="E6" s="1">
        <f>IFERROR(__xludf.DUMMYFUNCTION("""COMPUTED_VALUE"""),1134.0)</f>
        <v>1134</v>
      </c>
      <c r="F6" s="1">
        <f>IFERROR(__xludf.DUMMYFUNCTION("""COMPUTED_VALUE"""),35781.0)</f>
        <v>35781</v>
      </c>
      <c r="G6" s="2" t="s">
        <v>7</v>
      </c>
    </row>
    <row r="7">
      <c r="A7" s="3">
        <f>IFERROR(__xludf.DUMMYFUNCTION("""COMPUTED_VALUE"""),44572.6875)</f>
        <v>44572.6875</v>
      </c>
      <c r="B7" s="1">
        <f>IFERROR(__xludf.DUMMYFUNCTION("""COMPUTED_VALUE"""),1134.0)</f>
        <v>1134</v>
      </c>
      <c r="C7" s="1">
        <f>IFERROR(__xludf.DUMMYFUNCTION("""COMPUTED_VALUE"""),1148.0)</f>
        <v>1148</v>
      </c>
      <c r="D7" s="1">
        <f>IFERROR(__xludf.DUMMYFUNCTION("""COMPUTED_VALUE"""),1122.0)</f>
        <v>1122</v>
      </c>
      <c r="E7" s="1">
        <f>IFERROR(__xludf.DUMMYFUNCTION("""COMPUTED_VALUE"""),1122.0)</f>
        <v>1122</v>
      </c>
      <c r="F7" s="1">
        <f>IFERROR(__xludf.DUMMYFUNCTION("""COMPUTED_VALUE"""),73346.0)</f>
        <v>73346</v>
      </c>
      <c r="G7" s="2" t="s">
        <v>7</v>
      </c>
    </row>
    <row r="8">
      <c r="A8" s="3">
        <f>IFERROR(__xludf.DUMMYFUNCTION("""COMPUTED_VALUE"""),44573.6875)</f>
        <v>44573.6875</v>
      </c>
      <c r="B8" s="1">
        <f>IFERROR(__xludf.DUMMYFUNCTION("""COMPUTED_VALUE"""),1128.0)</f>
        <v>1128</v>
      </c>
      <c r="C8" s="1">
        <f>IFERROR(__xludf.DUMMYFUNCTION("""COMPUTED_VALUE"""),1136.0)</f>
        <v>1136</v>
      </c>
      <c r="D8" s="1">
        <f>IFERROR(__xludf.DUMMYFUNCTION("""COMPUTED_VALUE"""),1110.0)</f>
        <v>1110</v>
      </c>
      <c r="E8" s="1">
        <f>IFERROR(__xludf.DUMMYFUNCTION("""COMPUTED_VALUE"""),1126.0)</f>
        <v>1126</v>
      </c>
      <c r="F8" s="1">
        <f>IFERROR(__xludf.DUMMYFUNCTION("""COMPUTED_VALUE"""),38408.0)</f>
        <v>38408</v>
      </c>
      <c r="G8" s="2" t="s">
        <v>7</v>
      </c>
    </row>
    <row r="9">
      <c r="A9" s="3">
        <f>IFERROR(__xludf.DUMMYFUNCTION("""COMPUTED_VALUE"""),44574.6875)</f>
        <v>44574.6875</v>
      </c>
      <c r="B9" s="1">
        <f>IFERROR(__xludf.DUMMYFUNCTION("""COMPUTED_VALUE"""),1170.0)</f>
        <v>1170</v>
      </c>
      <c r="C9" s="1">
        <f>IFERROR(__xludf.DUMMYFUNCTION("""COMPUTED_VALUE"""),1170.0)</f>
        <v>1170</v>
      </c>
      <c r="D9" s="1">
        <f>IFERROR(__xludf.DUMMYFUNCTION("""COMPUTED_VALUE"""),1108.0)</f>
        <v>1108</v>
      </c>
      <c r="E9" s="1">
        <f>IFERROR(__xludf.DUMMYFUNCTION("""COMPUTED_VALUE"""),1110.0)</f>
        <v>1110</v>
      </c>
      <c r="F9" s="1">
        <f>IFERROR(__xludf.DUMMYFUNCTION("""COMPUTED_VALUE"""),28429.0)</f>
        <v>28429</v>
      </c>
      <c r="G9" s="2" t="s">
        <v>7</v>
      </c>
    </row>
    <row r="10">
      <c r="A10" s="3">
        <f>IFERROR(__xludf.DUMMYFUNCTION("""COMPUTED_VALUE"""),44575.6875)</f>
        <v>44575.6875</v>
      </c>
      <c r="B10" s="1">
        <f>IFERROR(__xludf.DUMMYFUNCTION("""COMPUTED_VALUE"""),1124.0)</f>
        <v>1124</v>
      </c>
      <c r="C10" s="1">
        <f>IFERROR(__xludf.DUMMYFUNCTION("""COMPUTED_VALUE"""),1168.0)</f>
        <v>1168</v>
      </c>
      <c r="D10" s="1">
        <f>IFERROR(__xludf.DUMMYFUNCTION("""COMPUTED_VALUE"""),1096.0)</f>
        <v>1096</v>
      </c>
      <c r="E10" s="1">
        <f>IFERROR(__xludf.DUMMYFUNCTION("""COMPUTED_VALUE"""),1116.0)</f>
        <v>1116</v>
      </c>
      <c r="F10" s="1">
        <f>IFERROR(__xludf.DUMMYFUNCTION("""COMPUTED_VALUE"""),45799.0)</f>
        <v>45799</v>
      </c>
      <c r="G10" s="2" t="s">
        <v>7</v>
      </c>
    </row>
    <row r="11">
      <c r="A11" s="3">
        <f>IFERROR(__xludf.DUMMYFUNCTION("""COMPUTED_VALUE"""),44578.6875)</f>
        <v>44578.6875</v>
      </c>
      <c r="B11" s="1">
        <f>IFERROR(__xludf.DUMMYFUNCTION("""COMPUTED_VALUE"""),1110.0)</f>
        <v>1110</v>
      </c>
      <c r="C11" s="1">
        <f>IFERROR(__xludf.DUMMYFUNCTION("""COMPUTED_VALUE"""),1128.0)</f>
        <v>1128</v>
      </c>
      <c r="D11" s="1">
        <f>IFERROR(__xludf.DUMMYFUNCTION("""COMPUTED_VALUE"""),1102.0)</f>
        <v>1102</v>
      </c>
      <c r="E11" s="1">
        <f>IFERROR(__xludf.DUMMYFUNCTION("""COMPUTED_VALUE"""),1128.0)</f>
        <v>1128</v>
      </c>
      <c r="F11" s="1">
        <f>IFERROR(__xludf.DUMMYFUNCTION("""COMPUTED_VALUE"""),53204.0)</f>
        <v>53204</v>
      </c>
      <c r="G11" s="2" t="s">
        <v>7</v>
      </c>
    </row>
    <row r="12">
      <c r="A12" s="3">
        <f>IFERROR(__xludf.DUMMYFUNCTION("""COMPUTED_VALUE"""),44579.6875)</f>
        <v>44579.6875</v>
      </c>
      <c r="B12" s="1">
        <f>IFERROR(__xludf.DUMMYFUNCTION("""COMPUTED_VALUE"""),1110.0)</f>
        <v>1110</v>
      </c>
      <c r="C12" s="1">
        <f>IFERROR(__xludf.DUMMYFUNCTION("""COMPUTED_VALUE"""),1142.0)</f>
        <v>1142</v>
      </c>
      <c r="D12" s="1">
        <f>IFERROR(__xludf.DUMMYFUNCTION("""COMPUTED_VALUE"""),1110.0)</f>
        <v>1110</v>
      </c>
      <c r="E12" s="1">
        <f>IFERROR(__xludf.DUMMYFUNCTION("""COMPUTED_VALUE"""),1130.0)</f>
        <v>1130</v>
      </c>
      <c r="F12" s="1">
        <f>IFERROR(__xludf.DUMMYFUNCTION("""COMPUTED_VALUE"""),296903.0)</f>
        <v>296903</v>
      </c>
      <c r="G12" s="2" t="s">
        <v>7</v>
      </c>
    </row>
    <row r="13">
      <c r="A13" s="3">
        <f>IFERROR(__xludf.DUMMYFUNCTION("""COMPUTED_VALUE"""),44580.6875)</f>
        <v>44580.6875</v>
      </c>
      <c r="B13" s="1">
        <f>IFERROR(__xludf.DUMMYFUNCTION("""COMPUTED_VALUE"""),1126.0)</f>
        <v>1126</v>
      </c>
      <c r="C13" s="1">
        <f>IFERROR(__xludf.DUMMYFUNCTION("""COMPUTED_VALUE"""),1132.0)</f>
        <v>1132</v>
      </c>
      <c r="D13" s="1">
        <f>IFERROR(__xludf.DUMMYFUNCTION("""COMPUTED_VALUE"""),1108.0)</f>
        <v>1108</v>
      </c>
      <c r="E13" s="1">
        <f>IFERROR(__xludf.DUMMYFUNCTION("""COMPUTED_VALUE"""),1108.0)</f>
        <v>1108</v>
      </c>
      <c r="F13" s="1">
        <f>IFERROR(__xludf.DUMMYFUNCTION("""COMPUTED_VALUE"""),38861.0)</f>
        <v>38861</v>
      </c>
      <c r="G13" s="2" t="s">
        <v>7</v>
      </c>
    </row>
    <row r="14">
      <c r="A14" s="3">
        <f>IFERROR(__xludf.DUMMYFUNCTION("""COMPUTED_VALUE"""),44581.6875)</f>
        <v>44581.6875</v>
      </c>
      <c r="B14" s="1">
        <f>IFERROR(__xludf.DUMMYFUNCTION("""COMPUTED_VALUE"""),1110.0)</f>
        <v>1110</v>
      </c>
      <c r="C14" s="1">
        <f>IFERROR(__xludf.DUMMYFUNCTION("""COMPUTED_VALUE"""),1114.0)</f>
        <v>1114</v>
      </c>
      <c r="D14" s="1">
        <f>IFERROR(__xludf.DUMMYFUNCTION("""COMPUTED_VALUE"""),1070.0)</f>
        <v>1070</v>
      </c>
      <c r="E14" s="1">
        <f>IFERROR(__xludf.DUMMYFUNCTION("""COMPUTED_VALUE"""),1080.0)</f>
        <v>1080</v>
      </c>
      <c r="F14" s="1">
        <f>IFERROR(__xludf.DUMMYFUNCTION("""COMPUTED_VALUE"""),56045.0)</f>
        <v>56045</v>
      </c>
      <c r="G14" s="2" t="s">
        <v>7</v>
      </c>
    </row>
    <row r="15">
      <c r="A15" s="3">
        <f>IFERROR(__xludf.DUMMYFUNCTION("""COMPUTED_VALUE"""),44582.6875)</f>
        <v>44582.6875</v>
      </c>
      <c r="B15" s="1">
        <f>IFERROR(__xludf.DUMMYFUNCTION("""COMPUTED_VALUE"""),1084.0)</f>
        <v>1084</v>
      </c>
      <c r="C15" s="1">
        <f>IFERROR(__xludf.DUMMYFUNCTION("""COMPUTED_VALUE"""),1118.0)</f>
        <v>1118</v>
      </c>
      <c r="D15" s="1">
        <f>IFERROR(__xludf.DUMMYFUNCTION("""COMPUTED_VALUE"""),1060.0)</f>
        <v>1060</v>
      </c>
      <c r="E15" s="1">
        <f>IFERROR(__xludf.DUMMYFUNCTION("""COMPUTED_VALUE"""),1060.0)</f>
        <v>1060</v>
      </c>
      <c r="F15" s="1">
        <f>IFERROR(__xludf.DUMMYFUNCTION("""COMPUTED_VALUE"""),90513.0)</f>
        <v>90513</v>
      </c>
      <c r="G15" s="2" t="s">
        <v>7</v>
      </c>
    </row>
    <row r="16">
      <c r="A16" s="3">
        <f>IFERROR(__xludf.DUMMYFUNCTION("""COMPUTED_VALUE"""),44585.6875)</f>
        <v>44585.6875</v>
      </c>
      <c r="B16" s="1">
        <f>IFERROR(__xludf.DUMMYFUNCTION("""COMPUTED_VALUE"""),1060.0)</f>
        <v>1060</v>
      </c>
      <c r="C16" s="1">
        <f>IFERROR(__xludf.DUMMYFUNCTION("""COMPUTED_VALUE"""),1066.0)</f>
        <v>1066</v>
      </c>
      <c r="D16" s="1">
        <f>IFERROR(__xludf.DUMMYFUNCTION("""COMPUTED_VALUE"""),1026.0)</f>
        <v>1026</v>
      </c>
      <c r="E16" s="1">
        <f>IFERROR(__xludf.DUMMYFUNCTION("""COMPUTED_VALUE"""),1040.0)</f>
        <v>1040</v>
      </c>
      <c r="F16" s="1">
        <f>IFERROR(__xludf.DUMMYFUNCTION("""COMPUTED_VALUE"""),114353.0)</f>
        <v>114353</v>
      </c>
      <c r="G16" s="2" t="s">
        <v>7</v>
      </c>
    </row>
    <row r="17">
      <c r="A17" s="3">
        <f>IFERROR(__xludf.DUMMYFUNCTION("""COMPUTED_VALUE"""),44586.6875)</f>
        <v>44586.6875</v>
      </c>
      <c r="B17" s="1">
        <f>IFERROR(__xludf.DUMMYFUNCTION("""COMPUTED_VALUE"""),1052.0)</f>
        <v>1052</v>
      </c>
      <c r="C17" s="1">
        <f>IFERROR(__xludf.DUMMYFUNCTION("""COMPUTED_VALUE"""),1060.0)</f>
        <v>1060</v>
      </c>
      <c r="D17" s="1">
        <f>IFERROR(__xludf.DUMMYFUNCTION("""COMPUTED_VALUE"""),1036.0)</f>
        <v>1036</v>
      </c>
      <c r="E17" s="1">
        <f>IFERROR(__xludf.DUMMYFUNCTION("""COMPUTED_VALUE"""),1052.0)</f>
        <v>1052</v>
      </c>
      <c r="F17" s="1">
        <f>IFERROR(__xludf.DUMMYFUNCTION("""COMPUTED_VALUE"""),99225.0)</f>
        <v>99225</v>
      </c>
      <c r="G17" s="2" t="s">
        <v>7</v>
      </c>
    </row>
    <row r="18">
      <c r="A18" s="3">
        <f>IFERROR(__xludf.DUMMYFUNCTION("""COMPUTED_VALUE"""),44587.6875)</f>
        <v>44587.6875</v>
      </c>
      <c r="B18" s="1">
        <f>IFERROR(__xludf.DUMMYFUNCTION("""COMPUTED_VALUE"""),1056.0)</f>
        <v>1056</v>
      </c>
      <c r="C18" s="1">
        <f>IFERROR(__xludf.DUMMYFUNCTION("""COMPUTED_VALUE"""),1066.0)</f>
        <v>1066</v>
      </c>
      <c r="D18" s="1">
        <f>IFERROR(__xludf.DUMMYFUNCTION("""COMPUTED_VALUE"""),1036.0)</f>
        <v>1036</v>
      </c>
      <c r="E18" s="1">
        <f>IFERROR(__xludf.DUMMYFUNCTION("""COMPUTED_VALUE"""),1038.0)</f>
        <v>1038</v>
      </c>
      <c r="F18" s="1">
        <f>IFERROR(__xludf.DUMMYFUNCTION("""COMPUTED_VALUE"""),30751.0)</f>
        <v>30751</v>
      </c>
      <c r="G18" s="2" t="s">
        <v>7</v>
      </c>
    </row>
    <row r="19">
      <c r="A19" s="3">
        <f>IFERROR(__xludf.DUMMYFUNCTION("""COMPUTED_VALUE"""),44588.6875)</f>
        <v>44588.6875</v>
      </c>
      <c r="B19" s="1">
        <f>IFERROR(__xludf.DUMMYFUNCTION("""COMPUTED_VALUE"""),1026.0)</f>
        <v>1026</v>
      </c>
      <c r="C19" s="1">
        <f>IFERROR(__xludf.DUMMYFUNCTION("""COMPUTED_VALUE"""),1038.0)</f>
        <v>1038</v>
      </c>
      <c r="D19" s="1">
        <f>IFERROR(__xludf.DUMMYFUNCTION("""COMPUTED_VALUE"""),1016.0)</f>
        <v>1016</v>
      </c>
      <c r="E19" s="1">
        <f>IFERROR(__xludf.DUMMYFUNCTION("""COMPUTED_VALUE"""),1016.0)</f>
        <v>1016</v>
      </c>
      <c r="F19" s="1">
        <f>IFERROR(__xludf.DUMMYFUNCTION("""COMPUTED_VALUE"""),33021.0)</f>
        <v>33021</v>
      </c>
      <c r="G19" s="2" t="s">
        <v>7</v>
      </c>
    </row>
    <row r="20">
      <c r="A20" s="3">
        <f>IFERROR(__xludf.DUMMYFUNCTION("""COMPUTED_VALUE"""),44589.6875)</f>
        <v>44589.6875</v>
      </c>
      <c r="B20" s="1">
        <f>IFERROR(__xludf.DUMMYFUNCTION("""COMPUTED_VALUE"""),1000.0)</f>
        <v>1000</v>
      </c>
      <c r="C20" s="1">
        <f>IFERROR(__xludf.DUMMYFUNCTION("""COMPUTED_VALUE"""),1017.36)</f>
        <v>1017.36</v>
      </c>
      <c r="D20" s="1">
        <f>IFERROR(__xludf.DUMMYFUNCTION("""COMPUTED_VALUE"""),998.25)</f>
        <v>998.25</v>
      </c>
      <c r="E20" s="1">
        <f>IFERROR(__xludf.DUMMYFUNCTION("""COMPUTED_VALUE"""),1004.0)</f>
        <v>1004</v>
      </c>
      <c r="F20" s="1">
        <f>IFERROR(__xludf.DUMMYFUNCTION("""COMPUTED_VALUE"""),93230.0)</f>
        <v>93230</v>
      </c>
      <c r="G20" s="2" t="s">
        <v>7</v>
      </c>
    </row>
    <row r="21">
      <c r="A21" s="3">
        <f>IFERROR(__xludf.DUMMYFUNCTION("""COMPUTED_VALUE"""),44592.6875)</f>
        <v>44592.6875</v>
      </c>
      <c r="B21" s="1">
        <f>IFERROR(__xludf.DUMMYFUNCTION("""COMPUTED_VALUE"""),1006.0)</f>
        <v>1006</v>
      </c>
      <c r="C21" s="1">
        <f>IFERROR(__xludf.DUMMYFUNCTION("""COMPUTED_VALUE"""),1038.0)</f>
        <v>1038</v>
      </c>
      <c r="D21" s="1">
        <f>IFERROR(__xludf.DUMMYFUNCTION("""COMPUTED_VALUE"""),1004.56)</f>
        <v>1004.56</v>
      </c>
      <c r="E21" s="1">
        <f>IFERROR(__xludf.DUMMYFUNCTION("""COMPUTED_VALUE"""),1038.0)</f>
        <v>1038</v>
      </c>
      <c r="F21" s="1">
        <f>IFERROR(__xludf.DUMMYFUNCTION("""COMPUTED_VALUE"""),185559.0)</f>
        <v>185559</v>
      </c>
      <c r="G21" s="2" t="s">
        <v>7</v>
      </c>
    </row>
    <row r="22">
      <c r="A22" s="3">
        <f>IFERROR(__xludf.DUMMYFUNCTION("""COMPUTED_VALUE"""),44593.6875)</f>
        <v>44593.6875</v>
      </c>
      <c r="B22" s="1">
        <f>IFERROR(__xludf.DUMMYFUNCTION("""COMPUTED_VALUE"""),1050.0)</f>
        <v>1050</v>
      </c>
      <c r="C22" s="1">
        <f>IFERROR(__xludf.DUMMYFUNCTION("""COMPUTED_VALUE"""),1054.0)</f>
        <v>1054</v>
      </c>
      <c r="D22" s="1">
        <f>IFERROR(__xludf.DUMMYFUNCTION("""COMPUTED_VALUE"""),1036.0)</f>
        <v>1036</v>
      </c>
      <c r="E22" s="1">
        <f>IFERROR(__xludf.DUMMYFUNCTION("""COMPUTED_VALUE"""),1050.0)</f>
        <v>1050</v>
      </c>
      <c r="F22" s="1">
        <f>IFERROR(__xludf.DUMMYFUNCTION("""COMPUTED_VALUE"""),147574.0)</f>
        <v>147574</v>
      </c>
      <c r="G22" s="2" t="s">
        <v>7</v>
      </c>
    </row>
    <row r="23">
      <c r="A23" s="3">
        <f>IFERROR(__xludf.DUMMYFUNCTION("""COMPUTED_VALUE"""),44594.6875)</f>
        <v>44594.6875</v>
      </c>
      <c r="B23" s="1">
        <f>IFERROR(__xludf.DUMMYFUNCTION("""COMPUTED_VALUE"""),1050.0)</f>
        <v>1050</v>
      </c>
      <c r="C23" s="1">
        <f>IFERROR(__xludf.DUMMYFUNCTION("""COMPUTED_VALUE"""),1062.0)</f>
        <v>1062</v>
      </c>
      <c r="D23" s="1">
        <f>IFERROR(__xludf.DUMMYFUNCTION("""COMPUTED_VALUE"""),1046.3)</f>
        <v>1046.3</v>
      </c>
      <c r="E23" s="1">
        <f>IFERROR(__xludf.DUMMYFUNCTION("""COMPUTED_VALUE"""),1050.0)</f>
        <v>1050</v>
      </c>
      <c r="F23" s="1">
        <f>IFERROR(__xludf.DUMMYFUNCTION("""COMPUTED_VALUE"""),25566.0)</f>
        <v>25566</v>
      </c>
      <c r="G23" s="2" t="s">
        <v>7</v>
      </c>
    </row>
    <row r="24">
      <c r="A24" s="3">
        <f>IFERROR(__xludf.DUMMYFUNCTION("""COMPUTED_VALUE"""),44595.6875)</f>
        <v>44595.6875</v>
      </c>
      <c r="B24" s="1">
        <f>IFERROR(__xludf.DUMMYFUNCTION("""COMPUTED_VALUE"""),1052.0)</f>
        <v>1052</v>
      </c>
      <c r="C24" s="1">
        <f>IFERROR(__xludf.DUMMYFUNCTION("""COMPUTED_VALUE"""),1064.87)</f>
        <v>1064.87</v>
      </c>
      <c r="D24" s="1">
        <f>IFERROR(__xludf.DUMMYFUNCTION("""COMPUTED_VALUE"""),1040.0)</f>
        <v>1040</v>
      </c>
      <c r="E24" s="1">
        <f>IFERROR(__xludf.DUMMYFUNCTION("""COMPUTED_VALUE"""),1052.0)</f>
        <v>1052</v>
      </c>
      <c r="F24" s="1">
        <f>IFERROR(__xludf.DUMMYFUNCTION("""COMPUTED_VALUE"""),144128.0)</f>
        <v>144128</v>
      </c>
      <c r="G24" s="2" t="s">
        <v>7</v>
      </c>
    </row>
    <row r="25">
      <c r="A25" s="3">
        <f>IFERROR(__xludf.DUMMYFUNCTION("""COMPUTED_VALUE"""),44596.6875)</f>
        <v>44596.6875</v>
      </c>
      <c r="B25" s="1">
        <f>IFERROR(__xludf.DUMMYFUNCTION("""COMPUTED_VALUE"""),1052.0)</f>
        <v>1052</v>
      </c>
      <c r="C25" s="1">
        <f>IFERROR(__xludf.DUMMYFUNCTION("""COMPUTED_VALUE"""),1058.0)</f>
        <v>1058</v>
      </c>
      <c r="D25" s="1">
        <f>IFERROR(__xludf.DUMMYFUNCTION("""COMPUTED_VALUE"""),1044.0)</f>
        <v>1044</v>
      </c>
      <c r="E25" s="1">
        <f>IFERROR(__xludf.DUMMYFUNCTION("""COMPUTED_VALUE"""),1050.0)</f>
        <v>1050</v>
      </c>
      <c r="F25" s="1">
        <f>IFERROR(__xludf.DUMMYFUNCTION("""COMPUTED_VALUE"""),51182.0)</f>
        <v>51182</v>
      </c>
      <c r="G25" s="2" t="s">
        <v>7</v>
      </c>
    </row>
    <row r="26">
      <c r="A26" s="3">
        <f>IFERROR(__xludf.DUMMYFUNCTION("""COMPUTED_VALUE"""),44599.6875)</f>
        <v>44599.6875</v>
      </c>
      <c r="B26" s="1">
        <f>IFERROR(__xludf.DUMMYFUNCTION("""COMPUTED_VALUE"""),1050.0)</f>
        <v>1050</v>
      </c>
      <c r="C26" s="1">
        <f>IFERROR(__xludf.DUMMYFUNCTION("""COMPUTED_VALUE"""),1054.5)</f>
        <v>1054.5</v>
      </c>
      <c r="D26" s="1">
        <f>IFERROR(__xludf.DUMMYFUNCTION("""COMPUTED_VALUE"""),1034.0)</f>
        <v>1034</v>
      </c>
      <c r="E26" s="1">
        <f>IFERROR(__xludf.DUMMYFUNCTION("""COMPUTED_VALUE"""),1038.0)</f>
        <v>1038</v>
      </c>
      <c r="F26" s="1">
        <f>IFERROR(__xludf.DUMMYFUNCTION("""COMPUTED_VALUE"""),19414.0)</f>
        <v>19414</v>
      </c>
      <c r="G26" s="2" t="s">
        <v>7</v>
      </c>
    </row>
    <row r="27">
      <c r="A27" s="3">
        <f>IFERROR(__xludf.DUMMYFUNCTION("""COMPUTED_VALUE"""),44600.6875)</f>
        <v>44600.6875</v>
      </c>
      <c r="B27" s="1">
        <f>IFERROR(__xludf.DUMMYFUNCTION("""COMPUTED_VALUE"""),1030.0)</f>
        <v>1030</v>
      </c>
      <c r="C27" s="1">
        <f>IFERROR(__xludf.DUMMYFUNCTION("""COMPUTED_VALUE"""),1050.0)</f>
        <v>1050</v>
      </c>
      <c r="D27" s="1">
        <f>IFERROR(__xludf.DUMMYFUNCTION("""COMPUTED_VALUE"""),1030.0)</f>
        <v>1030</v>
      </c>
      <c r="E27" s="1">
        <f>IFERROR(__xludf.DUMMYFUNCTION("""COMPUTED_VALUE"""),1044.0)</f>
        <v>1044</v>
      </c>
      <c r="F27" s="1">
        <f>IFERROR(__xludf.DUMMYFUNCTION("""COMPUTED_VALUE"""),40092.0)</f>
        <v>40092</v>
      </c>
      <c r="G27" s="2" t="s">
        <v>7</v>
      </c>
    </row>
    <row r="28">
      <c r="A28" s="3">
        <f>IFERROR(__xludf.DUMMYFUNCTION("""COMPUTED_VALUE"""),44601.6875)</f>
        <v>44601.6875</v>
      </c>
      <c r="B28" s="1">
        <f>IFERROR(__xludf.DUMMYFUNCTION("""COMPUTED_VALUE"""),1064.0)</f>
        <v>1064</v>
      </c>
      <c r="C28" s="1">
        <f>IFERROR(__xludf.DUMMYFUNCTION("""COMPUTED_VALUE"""),1090.0)</f>
        <v>1090</v>
      </c>
      <c r="D28" s="1">
        <f>IFERROR(__xludf.DUMMYFUNCTION("""COMPUTED_VALUE"""),1048.0)</f>
        <v>1048</v>
      </c>
      <c r="E28" s="1">
        <f>IFERROR(__xludf.DUMMYFUNCTION("""COMPUTED_VALUE"""),1070.0)</f>
        <v>1070</v>
      </c>
      <c r="F28" s="1">
        <f>IFERROR(__xludf.DUMMYFUNCTION("""COMPUTED_VALUE"""),52872.0)</f>
        <v>52872</v>
      </c>
      <c r="G28" s="2" t="s">
        <v>7</v>
      </c>
    </row>
    <row r="29">
      <c r="A29" s="3">
        <f>IFERROR(__xludf.DUMMYFUNCTION("""COMPUTED_VALUE"""),44602.6875)</f>
        <v>44602.6875</v>
      </c>
      <c r="B29" s="1">
        <f>IFERROR(__xludf.DUMMYFUNCTION("""COMPUTED_VALUE"""),1078.0)</f>
        <v>1078</v>
      </c>
      <c r="C29" s="1">
        <f>IFERROR(__xludf.DUMMYFUNCTION("""COMPUTED_VALUE"""),1091.44)</f>
        <v>1091.44</v>
      </c>
      <c r="D29" s="1">
        <f>IFERROR(__xludf.DUMMYFUNCTION("""COMPUTED_VALUE"""),1064.0)</f>
        <v>1064</v>
      </c>
      <c r="E29" s="1">
        <f>IFERROR(__xludf.DUMMYFUNCTION("""COMPUTED_VALUE"""),1078.0)</f>
        <v>1078</v>
      </c>
      <c r="F29" s="1">
        <f>IFERROR(__xludf.DUMMYFUNCTION("""COMPUTED_VALUE"""),29339.0)</f>
        <v>29339</v>
      </c>
      <c r="G29" s="2" t="s">
        <v>7</v>
      </c>
    </row>
    <row r="30">
      <c r="A30" s="3">
        <f>IFERROR(__xludf.DUMMYFUNCTION("""COMPUTED_VALUE"""),44603.6875)</f>
        <v>44603.6875</v>
      </c>
      <c r="B30" s="1">
        <f>IFERROR(__xludf.DUMMYFUNCTION("""COMPUTED_VALUE"""),1108.0)</f>
        <v>1108</v>
      </c>
      <c r="C30" s="1">
        <f>IFERROR(__xludf.DUMMYFUNCTION("""COMPUTED_VALUE"""),1108.0)</f>
        <v>1108</v>
      </c>
      <c r="D30" s="1">
        <f>IFERROR(__xludf.DUMMYFUNCTION("""COMPUTED_VALUE"""),1052.0)</f>
        <v>1052</v>
      </c>
      <c r="E30" s="1">
        <f>IFERROR(__xludf.DUMMYFUNCTION("""COMPUTED_VALUE"""),1060.0)</f>
        <v>1060</v>
      </c>
      <c r="F30" s="1">
        <f>IFERROR(__xludf.DUMMYFUNCTION("""COMPUTED_VALUE"""),18544.0)</f>
        <v>18544</v>
      </c>
      <c r="G30" s="2" t="s">
        <v>7</v>
      </c>
    </row>
    <row r="31">
      <c r="A31" s="3">
        <f>IFERROR(__xludf.DUMMYFUNCTION("""COMPUTED_VALUE"""),44606.6875)</f>
        <v>44606.6875</v>
      </c>
      <c r="B31" s="1">
        <f>IFERROR(__xludf.DUMMYFUNCTION("""COMPUTED_VALUE"""),1044.0)</f>
        <v>1044</v>
      </c>
      <c r="C31" s="1">
        <f>IFERROR(__xludf.DUMMYFUNCTION("""COMPUTED_VALUE"""),1056.0)</f>
        <v>1056</v>
      </c>
      <c r="D31" s="1">
        <f>IFERROR(__xludf.DUMMYFUNCTION("""COMPUTED_VALUE"""),1026.0)</f>
        <v>1026</v>
      </c>
      <c r="E31" s="1">
        <f>IFERROR(__xludf.DUMMYFUNCTION("""COMPUTED_VALUE"""),1036.0)</f>
        <v>1036</v>
      </c>
      <c r="F31" s="1">
        <f>IFERROR(__xludf.DUMMYFUNCTION("""COMPUTED_VALUE"""),140982.0)</f>
        <v>140982</v>
      </c>
      <c r="G31" s="2" t="s">
        <v>7</v>
      </c>
    </row>
    <row r="32">
      <c r="A32" s="3">
        <f>IFERROR(__xludf.DUMMYFUNCTION("""COMPUTED_VALUE"""),44607.6875)</f>
        <v>44607.6875</v>
      </c>
      <c r="B32" s="1">
        <f>IFERROR(__xludf.DUMMYFUNCTION("""COMPUTED_VALUE"""),1034.0)</f>
        <v>1034</v>
      </c>
      <c r="C32" s="1">
        <f>IFERROR(__xludf.DUMMYFUNCTION("""COMPUTED_VALUE"""),1034.0)</f>
        <v>1034</v>
      </c>
      <c r="D32" s="1">
        <f>IFERROR(__xludf.DUMMYFUNCTION("""COMPUTED_VALUE"""),1020.0)</f>
        <v>1020</v>
      </c>
      <c r="E32" s="1">
        <f>IFERROR(__xludf.DUMMYFUNCTION("""COMPUTED_VALUE"""),1024.0)</f>
        <v>1024</v>
      </c>
      <c r="F32" s="1">
        <f>IFERROR(__xludf.DUMMYFUNCTION("""COMPUTED_VALUE"""),73664.0)</f>
        <v>73664</v>
      </c>
      <c r="G32" s="2" t="s">
        <v>7</v>
      </c>
    </row>
    <row r="33">
      <c r="A33" s="3">
        <f>IFERROR(__xludf.DUMMYFUNCTION("""COMPUTED_VALUE"""),44608.6875)</f>
        <v>44608.6875</v>
      </c>
      <c r="B33" s="1">
        <f>IFERROR(__xludf.DUMMYFUNCTION("""COMPUTED_VALUE"""),1022.0)</f>
        <v>1022</v>
      </c>
      <c r="C33" s="1">
        <f>IFERROR(__xludf.DUMMYFUNCTION("""COMPUTED_VALUE"""),1068.0)</f>
        <v>1068</v>
      </c>
      <c r="D33" s="1">
        <f>IFERROR(__xludf.DUMMYFUNCTION("""COMPUTED_VALUE"""),1022.0)</f>
        <v>1022</v>
      </c>
      <c r="E33" s="1">
        <f>IFERROR(__xludf.DUMMYFUNCTION("""COMPUTED_VALUE"""),1068.0)</f>
        <v>1068</v>
      </c>
      <c r="F33" s="1">
        <f>IFERROR(__xludf.DUMMYFUNCTION("""COMPUTED_VALUE"""),96720.0)</f>
        <v>96720</v>
      </c>
      <c r="G33" s="2" t="s">
        <v>7</v>
      </c>
    </row>
    <row r="34">
      <c r="A34" s="3">
        <f>IFERROR(__xludf.DUMMYFUNCTION("""COMPUTED_VALUE"""),44609.6875)</f>
        <v>44609.6875</v>
      </c>
      <c r="B34" s="1">
        <f>IFERROR(__xludf.DUMMYFUNCTION("""COMPUTED_VALUE"""),1062.0)</f>
        <v>1062</v>
      </c>
      <c r="C34" s="1">
        <f>IFERROR(__xludf.DUMMYFUNCTION("""COMPUTED_VALUE"""),1076.0)</f>
        <v>1076</v>
      </c>
      <c r="D34" s="1">
        <f>IFERROR(__xludf.DUMMYFUNCTION("""COMPUTED_VALUE"""),1052.0)</f>
        <v>1052</v>
      </c>
      <c r="E34" s="1">
        <f>IFERROR(__xludf.DUMMYFUNCTION("""COMPUTED_VALUE"""),1066.0)</f>
        <v>1066</v>
      </c>
      <c r="F34" s="1">
        <f>IFERROR(__xludf.DUMMYFUNCTION("""COMPUTED_VALUE"""),51154.0)</f>
        <v>51154</v>
      </c>
      <c r="G34" s="2" t="s">
        <v>7</v>
      </c>
    </row>
    <row r="35">
      <c r="A35" s="3">
        <f>IFERROR(__xludf.DUMMYFUNCTION("""COMPUTED_VALUE"""),44610.6875)</f>
        <v>44610.6875</v>
      </c>
      <c r="B35" s="1">
        <f>IFERROR(__xludf.DUMMYFUNCTION("""COMPUTED_VALUE"""),1062.0)</f>
        <v>1062</v>
      </c>
      <c r="C35" s="1">
        <f>IFERROR(__xludf.DUMMYFUNCTION("""COMPUTED_VALUE"""),1068.0)</f>
        <v>1068</v>
      </c>
      <c r="D35" s="1">
        <f>IFERROR(__xludf.DUMMYFUNCTION("""COMPUTED_VALUE"""),1055.24)</f>
        <v>1055.24</v>
      </c>
      <c r="E35" s="1">
        <f>IFERROR(__xludf.DUMMYFUNCTION("""COMPUTED_VALUE"""),1064.0)</f>
        <v>1064</v>
      </c>
      <c r="F35" s="1">
        <f>IFERROR(__xludf.DUMMYFUNCTION("""COMPUTED_VALUE"""),48255.0)</f>
        <v>48255</v>
      </c>
      <c r="G35" s="2" t="s">
        <v>7</v>
      </c>
    </row>
    <row r="36">
      <c r="A36" s="3">
        <f>IFERROR(__xludf.DUMMYFUNCTION("""COMPUTED_VALUE"""),44613.6875)</f>
        <v>44613.6875</v>
      </c>
      <c r="B36" s="1">
        <f>IFERROR(__xludf.DUMMYFUNCTION("""COMPUTED_VALUE"""),1062.0)</f>
        <v>1062</v>
      </c>
      <c r="C36" s="1">
        <f>IFERROR(__xludf.DUMMYFUNCTION("""COMPUTED_VALUE"""),1082.0)</f>
        <v>1082</v>
      </c>
      <c r="D36" s="1">
        <f>IFERROR(__xludf.DUMMYFUNCTION("""COMPUTED_VALUE"""),1055.47)</f>
        <v>1055.47</v>
      </c>
      <c r="E36" s="1">
        <f>IFERROR(__xludf.DUMMYFUNCTION("""COMPUTED_VALUE"""),1072.0)</f>
        <v>1072</v>
      </c>
      <c r="F36" s="1">
        <f>IFERROR(__xludf.DUMMYFUNCTION("""COMPUTED_VALUE"""),61493.0)</f>
        <v>61493</v>
      </c>
      <c r="G36" s="2" t="s">
        <v>7</v>
      </c>
    </row>
    <row r="37">
      <c r="A37" s="3">
        <f>IFERROR(__xludf.DUMMYFUNCTION("""COMPUTED_VALUE"""),44614.6875)</f>
        <v>44614.6875</v>
      </c>
      <c r="B37" s="1">
        <f>IFERROR(__xludf.DUMMYFUNCTION("""COMPUTED_VALUE"""),1060.0)</f>
        <v>1060</v>
      </c>
      <c r="C37" s="1">
        <f>IFERROR(__xludf.DUMMYFUNCTION("""COMPUTED_VALUE"""),1068.0)</f>
        <v>1068</v>
      </c>
      <c r="D37" s="1">
        <f>IFERROR(__xludf.DUMMYFUNCTION("""COMPUTED_VALUE"""),1056.0)</f>
        <v>1056</v>
      </c>
      <c r="E37" s="1">
        <f>IFERROR(__xludf.DUMMYFUNCTION("""COMPUTED_VALUE"""),1060.0)</f>
        <v>1060</v>
      </c>
      <c r="F37" s="1">
        <f>IFERROR(__xludf.DUMMYFUNCTION("""COMPUTED_VALUE"""),96756.0)</f>
        <v>96756</v>
      </c>
      <c r="G37" s="2" t="s">
        <v>7</v>
      </c>
    </row>
    <row r="38">
      <c r="A38" s="3">
        <f>IFERROR(__xludf.DUMMYFUNCTION("""COMPUTED_VALUE"""),44615.6875)</f>
        <v>44615.6875</v>
      </c>
      <c r="B38" s="1">
        <f>IFERROR(__xludf.DUMMYFUNCTION("""COMPUTED_VALUE"""),1060.0)</f>
        <v>1060</v>
      </c>
      <c r="C38" s="1">
        <f>IFERROR(__xludf.DUMMYFUNCTION("""COMPUTED_VALUE"""),1082.32)</f>
        <v>1082.32</v>
      </c>
      <c r="D38" s="1">
        <f>IFERROR(__xludf.DUMMYFUNCTION("""COMPUTED_VALUE"""),1058.0)</f>
        <v>1058</v>
      </c>
      <c r="E38" s="1">
        <f>IFERROR(__xludf.DUMMYFUNCTION("""COMPUTED_VALUE"""),1070.0)</f>
        <v>1070</v>
      </c>
      <c r="F38" s="1">
        <f>IFERROR(__xludf.DUMMYFUNCTION("""COMPUTED_VALUE"""),37858.0)</f>
        <v>37858</v>
      </c>
      <c r="G38" s="2" t="s">
        <v>7</v>
      </c>
    </row>
    <row r="39">
      <c r="A39" s="3">
        <f>IFERROR(__xludf.DUMMYFUNCTION("""COMPUTED_VALUE"""),44616.6875)</f>
        <v>44616.6875</v>
      </c>
      <c r="B39" s="1">
        <f>IFERROR(__xludf.DUMMYFUNCTION("""COMPUTED_VALUE"""),1050.0)</f>
        <v>1050</v>
      </c>
      <c r="C39" s="1">
        <f>IFERROR(__xludf.DUMMYFUNCTION("""COMPUTED_VALUE"""),1058.0)</f>
        <v>1058</v>
      </c>
      <c r="D39" s="1">
        <f>IFERROR(__xludf.DUMMYFUNCTION("""COMPUTED_VALUE"""),1038.0)</f>
        <v>1038</v>
      </c>
      <c r="E39" s="1">
        <f>IFERROR(__xludf.DUMMYFUNCTION("""COMPUTED_VALUE"""),1048.0)</f>
        <v>1048</v>
      </c>
      <c r="F39" s="1">
        <f>IFERROR(__xludf.DUMMYFUNCTION("""COMPUTED_VALUE"""),97967.0)</f>
        <v>97967</v>
      </c>
      <c r="G39" s="2" t="s">
        <v>7</v>
      </c>
    </row>
    <row r="40">
      <c r="A40" s="3">
        <f>IFERROR(__xludf.DUMMYFUNCTION("""COMPUTED_VALUE"""),44617.6875)</f>
        <v>44617.6875</v>
      </c>
      <c r="B40" s="1">
        <f>IFERROR(__xludf.DUMMYFUNCTION("""COMPUTED_VALUE"""),1058.0)</f>
        <v>1058</v>
      </c>
      <c r="C40" s="1">
        <f>IFERROR(__xludf.DUMMYFUNCTION("""COMPUTED_VALUE"""),1082.0)</f>
        <v>1082</v>
      </c>
      <c r="D40" s="1">
        <f>IFERROR(__xludf.DUMMYFUNCTION("""COMPUTED_VALUE"""),1042.0)</f>
        <v>1042</v>
      </c>
      <c r="E40" s="1">
        <f>IFERROR(__xludf.DUMMYFUNCTION("""COMPUTED_VALUE"""),1076.0)</f>
        <v>1076</v>
      </c>
      <c r="F40" s="1">
        <f>IFERROR(__xludf.DUMMYFUNCTION("""COMPUTED_VALUE"""),106812.0)</f>
        <v>106812</v>
      </c>
      <c r="G40" s="2" t="s">
        <v>7</v>
      </c>
    </row>
    <row r="41">
      <c r="A41" s="3">
        <f>IFERROR(__xludf.DUMMYFUNCTION("""COMPUTED_VALUE"""),44620.6875)</f>
        <v>44620.6875</v>
      </c>
      <c r="B41" s="1">
        <f>IFERROR(__xludf.DUMMYFUNCTION("""COMPUTED_VALUE"""),1080.0)</f>
        <v>1080</v>
      </c>
      <c r="C41" s="1">
        <f>IFERROR(__xludf.DUMMYFUNCTION("""COMPUTED_VALUE"""),1080.0)</f>
        <v>1080</v>
      </c>
      <c r="D41" s="1">
        <f>IFERROR(__xludf.DUMMYFUNCTION("""COMPUTED_VALUE"""),1058.0)</f>
        <v>1058</v>
      </c>
      <c r="E41" s="1">
        <f>IFERROR(__xludf.DUMMYFUNCTION("""COMPUTED_VALUE"""),1074.0)</f>
        <v>1074</v>
      </c>
      <c r="F41" s="1">
        <f>IFERROR(__xludf.DUMMYFUNCTION("""COMPUTED_VALUE"""),35646.0)</f>
        <v>35646</v>
      </c>
      <c r="G41" s="2" t="s">
        <v>7</v>
      </c>
    </row>
    <row r="42">
      <c r="A42" s="3">
        <f>IFERROR(__xludf.DUMMYFUNCTION("""COMPUTED_VALUE"""),44621.6875)</f>
        <v>44621.6875</v>
      </c>
      <c r="B42" s="1">
        <f>IFERROR(__xludf.DUMMYFUNCTION("""COMPUTED_VALUE"""),1076.0)</f>
        <v>1076</v>
      </c>
      <c r="C42" s="1">
        <f>IFERROR(__xludf.DUMMYFUNCTION("""COMPUTED_VALUE"""),1080.0)</f>
        <v>1080</v>
      </c>
      <c r="D42" s="1">
        <f>IFERROR(__xludf.DUMMYFUNCTION("""COMPUTED_VALUE"""),1040.0)</f>
        <v>1040</v>
      </c>
      <c r="E42" s="1">
        <f>IFERROR(__xludf.DUMMYFUNCTION("""COMPUTED_VALUE"""),1040.0)</f>
        <v>1040</v>
      </c>
      <c r="F42" s="1">
        <f>IFERROR(__xludf.DUMMYFUNCTION("""COMPUTED_VALUE"""),36342.0)</f>
        <v>36342</v>
      </c>
      <c r="G42" s="2" t="s">
        <v>7</v>
      </c>
    </row>
    <row r="43">
      <c r="A43" s="3">
        <f>IFERROR(__xludf.DUMMYFUNCTION("""COMPUTED_VALUE"""),44622.6875)</f>
        <v>44622.6875</v>
      </c>
      <c r="B43" s="1">
        <f>IFERROR(__xludf.DUMMYFUNCTION("""COMPUTED_VALUE"""),1048.0)</f>
        <v>1048</v>
      </c>
      <c r="C43" s="1">
        <f>IFERROR(__xludf.DUMMYFUNCTION("""COMPUTED_VALUE"""),1060.0)</f>
        <v>1060</v>
      </c>
      <c r="D43" s="1">
        <f>IFERROR(__xludf.DUMMYFUNCTION("""COMPUTED_VALUE"""),1032.0)</f>
        <v>1032</v>
      </c>
      <c r="E43" s="1">
        <f>IFERROR(__xludf.DUMMYFUNCTION("""COMPUTED_VALUE"""),1060.0)</f>
        <v>1060</v>
      </c>
      <c r="F43" s="1">
        <f>IFERROR(__xludf.DUMMYFUNCTION("""COMPUTED_VALUE"""),79702.0)</f>
        <v>79702</v>
      </c>
      <c r="G43" s="2" t="s">
        <v>7</v>
      </c>
    </row>
    <row r="44">
      <c r="A44" s="3">
        <f>IFERROR(__xludf.DUMMYFUNCTION("""COMPUTED_VALUE"""),44623.6875)</f>
        <v>44623.6875</v>
      </c>
      <c r="B44" s="1">
        <f>IFERROR(__xludf.DUMMYFUNCTION("""COMPUTED_VALUE"""),1052.0)</f>
        <v>1052</v>
      </c>
      <c r="C44" s="1">
        <f>IFERROR(__xludf.DUMMYFUNCTION("""COMPUTED_VALUE"""),1060.0)</f>
        <v>1060</v>
      </c>
      <c r="D44" s="1">
        <f>IFERROR(__xludf.DUMMYFUNCTION("""COMPUTED_VALUE"""),1014.0)</f>
        <v>1014</v>
      </c>
      <c r="E44" s="1">
        <f>IFERROR(__xludf.DUMMYFUNCTION("""COMPUTED_VALUE"""),1026.0)</f>
        <v>1026</v>
      </c>
      <c r="F44" s="1">
        <f>IFERROR(__xludf.DUMMYFUNCTION("""COMPUTED_VALUE"""),43184.0)</f>
        <v>43184</v>
      </c>
      <c r="G44" s="2" t="s">
        <v>7</v>
      </c>
    </row>
    <row r="45">
      <c r="A45" s="3">
        <f>IFERROR(__xludf.DUMMYFUNCTION("""COMPUTED_VALUE"""),44624.6875)</f>
        <v>44624.6875</v>
      </c>
      <c r="B45" s="1">
        <f>IFERROR(__xludf.DUMMYFUNCTION("""COMPUTED_VALUE"""),1028.0)</f>
        <v>1028</v>
      </c>
      <c r="C45" s="1">
        <f>IFERROR(__xludf.DUMMYFUNCTION("""COMPUTED_VALUE"""),1044.0)</f>
        <v>1044</v>
      </c>
      <c r="D45" s="1">
        <f>IFERROR(__xludf.DUMMYFUNCTION("""COMPUTED_VALUE"""),1006.0)</f>
        <v>1006</v>
      </c>
      <c r="E45" s="1">
        <f>IFERROR(__xludf.DUMMYFUNCTION("""COMPUTED_VALUE"""),1034.0)</f>
        <v>1034</v>
      </c>
      <c r="F45" s="1">
        <f>IFERROR(__xludf.DUMMYFUNCTION("""COMPUTED_VALUE"""),95848.0)</f>
        <v>95848</v>
      </c>
      <c r="G45" s="2" t="s">
        <v>7</v>
      </c>
    </row>
    <row r="46">
      <c r="A46" s="3">
        <f>IFERROR(__xludf.DUMMYFUNCTION("""COMPUTED_VALUE"""),44627.6875)</f>
        <v>44627.6875</v>
      </c>
      <c r="B46" s="1">
        <f>IFERROR(__xludf.DUMMYFUNCTION("""COMPUTED_VALUE"""),1036.0)</f>
        <v>1036</v>
      </c>
      <c r="C46" s="1">
        <f>IFERROR(__xludf.DUMMYFUNCTION("""COMPUTED_VALUE"""),1044.0)</f>
        <v>1044</v>
      </c>
      <c r="D46" s="1">
        <f>IFERROR(__xludf.DUMMYFUNCTION("""COMPUTED_VALUE"""),988.0)</f>
        <v>988</v>
      </c>
      <c r="E46" s="1">
        <f>IFERROR(__xludf.DUMMYFUNCTION("""COMPUTED_VALUE"""),1024.0)</f>
        <v>1024</v>
      </c>
      <c r="F46" s="1">
        <f>IFERROR(__xludf.DUMMYFUNCTION("""COMPUTED_VALUE"""),152610.0)</f>
        <v>152610</v>
      </c>
      <c r="G46" s="2" t="s">
        <v>7</v>
      </c>
    </row>
    <row r="47">
      <c r="A47" s="3">
        <f>IFERROR(__xludf.DUMMYFUNCTION("""COMPUTED_VALUE"""),44628.6875)</f>
        <v>44628.6875</v>
      </c>
      <c r="B47" s="1">
        <f>IFERROR(__xludf.DUMMYFUNCTION("""COMPUTED_VALUE"""),1000.0)</f>
        <v>1000</v>
      </c>
      <c r="C47" s="1">
        <f>IFERROR(__xludf.DUMMYFUNCTION("""COMPUTED_VALUE"""),1032.0)</f>
        <v>1032</v>
      </c>
      <c r="D47" s="1">
        <f>IFERROR(__xludf.DUMMYFUNCTION("""COMPUTED_VALUE"""),1000.0)</f>
        <v>1000</v>
      </c>
      <c r="E47" s="1">
        <f>IFERROR(__xludf.DUMMYFUNCTION("""COMPUTED_VALUE"""),1026.0)</f>
        <v>1026</v>
      </c>
      <c r="F47" s="1">
        <f>IFERROR(__xludf.DUMMYFUNCTION("""COMPUTED_VALUE"""),89100.0)</f>
        <v>89100</v>
      </c>
      <c r="G47" s="2" t="s">
        <v>7</v>
      </c>
    </row>
    <row r="48">
      <c r="A48" s="3">
        <f>IFERROR(__xludf.DUMMYFUNCTION("""COMPUTED_VALUE"""),44629.6875)</f>
        <v>44629.6875</v>
      </c>
      <c r="B48" s="1">
        <f>IFERROR(__xludf.DUMMYFUNCTION("""COMPUTED_VALUE"""),1024.0)</f>
        <v>1024</v>
      </c>
      <c r="C48" s="1">
        <f>IFERROR(__xludf.DUMMYFUNCTION("""COMPUTED_VALUE"""),1046.0)</f>
        <v>1046</v>
      </c>
      <c r="D48" s="1">
        <f>IFERROR(__xludf.DUMMYFUNCTION("""COMPUTED_VALUE"""),1016.0)</f>
        <v>1016</v>
      </c>
      <c r="E48" s="1">
        <f>IFERROR(__xludf.DUMMYFUNCTION("""COMPUTED_VALUE"""),1030.0)</f>
        <v>1030</v>
      </c>
      <c r="F48" s="1">
        <f>IFERROR(__xludf.DUMMYFUNCTION("""COMPUTED_VALUE"""),133936.0)</f>
        <v>133936</v>
      </c>
      <c r="G48" s="2" t="s">
        <v>7</v>
      </c>
    </row>
    <row r="49">
      <c r="A49" s="3">
        <f>IFERROR(__xludf.DUMMYFUNCTION("""COMPUTED_VALUE"""),44630.6875)</f>
        <v>44630.6875</v>
      </c>
      <c r="B49" s="1">
        <f>IFERROR(__xludf.DUMMYFUNCTION("""COMPUTED_VALUE"""),1030.0)</f>
        <v>1030</v>
      </c>
      <c r="C49" s="1">
        <f>IFERROR(__xludf.DUMMYFUNCTION("""COMPUTED_VALUE"""),1036.0)</f>
        <v>1036</v>
      </c>
      <c r="D49" s="1">
        <f>IFERROR(__xludf.DUMMYFUNCTION("""COMPUTED_VALUE"""),1014.0)</f>
        <v>1014</v>
      </c>
      <c r="E49" s="1">
        <f>IFERROR(__xludf.DUMMYFUNCTION("""COMPUTED_VALUE"""),1036.0)</f>
        <v>1036</v>
      </c>
      <c r="F49" s="1">
        <f>IFERROR(__xludf.DUMMYFUNCTION("""COMPUTED_VALUE"""),22299.0)</f>
        <v>22299</v>
      </c>
      <c r="G49" s="2" t="s">
        <v>7</v>
      </c>
    </row>
    <row r="50">
      <c r="A50" s="3">
        <f>IFERROR(__xludf.DUMMYFUNCTION("""COMPUTED_VALUE"""),44631.6875)</f>
        <v>44631.6875</v>
      </c>
      <c r="B50" s="1">
        <f>IFERROR(__xludf.DUMMYFUNCTION("""COMPUTED_VALUE"""),1038.0)</f>
        <v>1038</v>
      </c>
      <c r="C50" s="1">
        <f>IFERROR(__xludf.DUMMYFUNCTION("""COMPUTED_VALUE"""),1056.0)</f>
        <v>1056</v>
      </c>
      <c r="D50" s="1">
        <f>IFERROR(__xludf.DUMMYFUNCTION("""COMPUTED_VALUE"""),1024.0)</f>
        <v>1024</v>
      </c>
      <c r="E50" s="1">
        <f>IFERROR(__xludf.DUMMYFUNCTION("""COMPUTED_VALUE"""),1042.0)</f>
        <v>1042</v>
      </c>
      <c r="F50" s="1">
        <f>IFERROR(__xludf.DUMMYFUNCTION("""COMPUTED_VALUE"""),47757.0)</f>
        <v>47757</v>
      </c>
      <c r="G50" s="2" t="s">
        <v>7</v>
      </c>
    </row>
    <row r="51">
      <c r="A51" s="3">
        <f>IFERROR(__xludf.DUMMYFUNCTION("""COMPUTED_VALUE"""),44634.6875)</f>
        <v>44634.6875</v>
      </c>
      <c r="B51" s="1">
        <f>IFERROR(__xludf.DUMMYFUNCTION("""COMPUTED_VALUE"""),1046.0)</f>
        <v>1046</v>
      </c>
      <c r="C51" s="1">
        <f>IFERROR(__xludf.DUMMYFUNCTION("""COMPUTED_VALUE"""),1064.0)</f>
        <v>1064</v>
      </c>
      <c r="D51" s="1">
        <f>IFERROR(__xludf.DUMMYFUNCTION("""COMPUTED_VALUE"""),1038.59)</f>
        <v>1038.59</v>
      </c>
      <c r="E51" s="1">
        <f>IFERROR(__xludf.DUMMYFUNCTION("""COMPUTED_VALUE"""),1058.0)</f>
        <v>1058</v>
      </c>
      <c r="F51" s="1">
        <f>IFERROR(__xludf.DUMMYFUNCTION("""COMPUTED_VALUE"""),37655.0)</f>
        <v>37655</v>
      </c>
      <c r="G51" s="2" t="s">
        <v>7</v>
      </c>
    </row>
    <row r="52">
      <c r="A52" s="3">
        <f>IFERROR(__xludf.DUMMYFUNCTION("""COMPUTED_VALUE"""),44635.6875)</f>
        <v>44635.6875</v>
      </c>
      <c r="B52" s="1">
        <f>IFERROR(__xludf.DUMMYFUNCTION("""COMPUTED_VALUE"""),1050.0)</f>
        <v>1050</v>
      </c>
      <c r="C52" s="1">
        <f>IFERROR(__xludf.DUMMYFUNCTION("""COMPUTED_VALUE"""),1074.0)</f>
        <v>1074</v>
      </c>
      <c r="D52" s="1">
        <f>IFERROR(__xludf.DUMMYFUNCTION("""COMPUTED_VALUE"""),1048.0)</f>
        <v>1048</v>
      </c>
      <c r="E52" s="1">
        <f>IFERROR(__xludf.DUMMYFUNCTION("""COMPUTED_VALUE"""),1072.0)</f>
        <v>1072</v>
      </c>
      <c r="F52" s="1">
        <f>IFERROR(__xludf.DUMMYFUNCTION("""COMPUTED_VALUE"""),81541.0)</f>
        <v>81541</v>
      </c>
      <c r="G52" s="2" t="s">
        <v>7</v>
      </c>
    </row>
    <row r="53">
      <c r="A53" s="3">
        <f>IFERROR(__xludf.DUMMYFUNCTION("""COMPUTED_VALUE"""),44636.6875)</f>
        <v>44636.6875</v>
      </c>
      <c r="B53" s="1">
        <f>IFERROR(__xludf.DUMMYFUNCTION("""COMPUTED_VALUE"""),1062.0)</f>
        <v>1062</v>
      </c>
      <c r="C53" s="1">
        <f>IFERROR(__xludf.DUMMYFUNCTION("""COMPUTED_VALUE"""),1112.0)</f>
        <v>1112</v>
      </c>
      <c r="D53" s="1">
        <f>IFERROR(__xludf.DUMMYFUNCTION("""COMPUTED_VALUE"""),1062.0)</f>
        <v>1062</v>
      </c>
      <c r="E53" s="1">
        <f>IFERROR(__xludf.DUMMYFUNCTION("""COMPUTED_VALUE"""),1112.0)</f>
        <v>1112</v>
      </c>
      <c r="F53" s="1">
        <f>IFERROR(__xludf.DUMMYFUNCTION("""COMPUTED_VALUE"""),228117.0)</f>
        <v>228117</v>
      </c>
      <c r="G53" s="2" t="s">
        <v>7</v>
      </c>
    </row>
    <row r="54">
      <c r="A54" s="3">
        <f>IFERROR(__xludf.DUMMYFUNCTION("""COMPUTED_VALUE"""),44637.6875)</f>
        <v>44637.6875</v>
      </c>
      <c r="B54" s="1">
        <f>IFERROR(__xludf.DUMMYFUNCTION("""COMPUTED_VALUE"""),1070.0)</f>
        <v>1070</v>
      </c>
      <c r="C54" s="1">
        <f>IFERROR(__xludf.DUMMYFUNCTION("""COMPUTED_VALUE"""),1120.0)</f>
        <v>1120</v>
      </c>
      <c r="D54" s="1">
        <f>IFERROR(__xludf.DUMMYFUNCTION("""COMPUTED_VALUE"""),1070.0)</f>
        <v>1070</v>
      </c>
      <c r="E54" s="1">
        <f>IFERROR(__xludf.DUMMYFUNCTION("""COMPUTED_VALUE"""),1112.0)</f>
        <v>1112</v>
      </c>
      <c r="F54" s="1">
        <f>IFERROR(__xludf.DUMMYFUNCTION("""COMPUTED_VALUE"""),53889.0)</f>
        <v>53889</v>
      </c>
      <c r="G54" s="2" t="s">
        <v>7</v>
      </c>
    </row>
    <row r="55">
      <c r="A55" s="3">
        <f>IFERROR(__xludf.DUMMYFUNCTION("""COMPUTED_VALUE"""),44638.6875)</f>
        <v>44638.6875</v>
      </c>
      <c r="B55" s="1">
        <f>IFERROR(__xludf.DUMMYFUNCTION("""COMPUTED_VALUE"""),1114.0)</f>
        <v>1114</v>
      </c>
      <c r="C55" s="1">
        <f>IFERROR(__xludf.DUMMYFUNCTION("""COMPUTED_VALUE"""),1138.0)</f>
        <v>1138</v>
      </c>
      <c r="D55" s="1">
        <f>IFERROR(__xludf.DUMMYFUNCTION("""COMPUTED_VALUE"""),1102.6)</f>
        <v>1102.6</v>
      </c>
      <c r="E55" s="1">
        <f>IFERROR(__xludf.DUMMYFUNCTION("""COMPUTED_VALUE"""),1138.0)</f>
        <v>1138</v>
      </c>
      <c r="F55" s="1">
        <f>IFERROR(__xludf.DUMMYFUNCTION("""COMPUTED_VALUE"""),574902.0)</f>
        <v>574902</v>
      </c>
      <c r="G55" s="2" t="s">
        <v>7</v>
      </c>
    </row>
    <row r="56">
      <c r="A56" s="3">
        <f>IFERROR(__xludf.DUMMYFUNCTION("""COMPUTED_VALUE"""),44641.6875)</f>
        <v>44641.6875</v>
      </c>
      <c r="B56" s="1">
        <f>IFERROR(__xludf.DUMMYFUNCTION("""COMPUTED_VALUE"""),1166.0)</f>
        <v>1166</v>
      </c>
      <c r="C56" s="1">
        <f>IFERROR(__xludf.DUMMYFUNCTION("""COMPUTED_VALUE"""),1181.84)</f>
        <v>1181.84</v>
      </c>
      <c r="D56" s="1">
        <f>IFERROR(__xludf.DUMMYFUNCTION("""COMPUTED_VALUE"""),1118.0)</f>
        <v>1118</v>
      </c>
      <c r="E56" s="1">
        <f>IFERROR(__xludf.DUMMYFUNCTION("""COMPUTED_VALUE"""),1140.0)</f>
        <v>1140</v>
      </c>
      <c r="F56" s="1">
        <f>IFERROR(__xludf.DUMMYFUNCTION("""COMPUTED_VALUE"""),61425.0)</f>
        <v>61425</v>
      </c>
      <c r="G56" s="2" t="s">
        <v>7</v>
      </c>
    </row>
    <row r="57">
      <c r="A57" s="3">
        <f>IFERROR(__xludf.DUMMYFUNCTION("""COMPUTED_VALUE"""),44642.6875)</f>
        <v>44642.6875</v>
      </c>
      <c r="B57" s="1">
        <f>IFERROR(__xludf.DUMMYFUNCTION("""COMPUTED_VALUE"""),1142.0)</f>
        <v>1142</v>
      </c>
      <c r="C57" s="1">
        <f>IFERROR(__xludf.DUMMYFUNCTION("""COMPUTED_VALUE"""),1160.0)</f>
        <v>1160</v>
      </c>
      <c r="D57" s="1">
        <f>IFERROR(__xludf.DUMMYFUNCTION("""COMPUTED_VALUE"""),1130.0)</f>
        <v>1130</v>
      </c>
      <c r="E57" s="1">
        <f>IFERROR(__xludf.DUMMYFUNCTION("""COMPUTED_VALUE"""),1160.0)</f>
        <v>1160</v>
      </c>
      <c r="F57" s="1">
        <f>IFERROR(__xludf.DUMMYFUNCTION("""COMPUTED_VALUE"""),50501.0)</f>
        <v>50501</v>
      </c>
      <c r="G57" s="2" t="s">
        <v>7</v>
      </c>
    </row>
    <row r="58">
      <c r="A58" s="3">
        <f>IFERROR(__xludf.DUMMYFUNCTION("""COMPUTED_VALUE"""),44643.6875)</f>
        <v>44643.6875</v>
      </c>
      <c r="B58" s="1">
        <f>IFERROR(__xludf.DUMMYFUNCTION("""COMPUTED_VALUE"""),1156.0)</f>
        <v>1156</v>
      </c>
      <c r="C58" s="1">
        <f>IFERROR(__xludf.DUMMYFUNCTION("""COMPUTED_VALUE"""),1183.16)</f>
        <v>1183.16</v>
      </c>
      <c r="D58" s="1">
        <f>IFERROR(__xludf.DUMMYFUNCTION("""COMPUTED_VALUE"""),1142.0)</f>
        <v>1142</v>
      </c>
      <c r="E58" s="1">
        <f>IFERROR(__xludf.DUMMYFUNCTION("""COMPUTED_VALUE"""),1176.0)</f>
        <v>1176</v>
      </c>
      <c r="F58" s="1">
        <f>IFERROR(__xludf.DUMMYFUNCTION("""COMPUTED_VALUE"""),33641.0)</f>
        <v>33641</v>
      </c>
      <c r="G58" s="2" t="s">
        <v>7</v>
      </c>
    </row>
    <row r="59">
      <c r="A59" s="3">
        <f>IFERROR(__xludf.DUMMYFUNCTION("""COMPUTED_VALUE"""),44644.6875)</f>
        <v>44644.6875</v>
      </c>
      <c r="B59" s="1">
        <f>IFERROR(__xludf.DUMMYFUNCTION("""COMPUTED_VALUE"""),1166.0)</f>
        <v>1166</v>
      </c>
      <c r="C59" s="1">
        <f>IFERROR(__xludf.DUMMYFUNCTION("""COMPUTED_VALUE"""),1194.0)</f>
        <v>1194</v>
      </c>
      <c r="D59" s="1">
        <f>IFERROR(__xludf.DUMMYFUNCTION("""COMPUTED_VALUE"""),1166.0)</f>
        <v>1166</v>
      </c>
      <c r="E59" s="1">
        <f>IFERROR(__xludf.DUMMYFUNCTION("""COMPUTED_VALUE"""),1184.0)</f>
        <v>1184</v>
      </c>
      <c r="F59" s="1">
        <f>IFERROR(__xludf.DUMMYFUNCTION("""COMPUTED_VALUE"""),137647.0)</f>
        <v>137647</v>
      </c>
      <c r="G59" s="2" t="s">
        <v>7</v>
      </c>
    </row>
    <row r="60">
      <c r="A60" s="3">
        <f>IFERROR(__xludf.DUMMYFUNCTION("""COMPUTED_VALUE"""),44645.6875)</f>
        <v>44645.6875</v>
      </c>
      <c r="B60" s="1">
        <f>IFERROR(__xludf.DUMMYFUNCTION("""COMPUTED_VALUE"""),1186.0)</f>
        <v>1186</v>
      </c>
      <c r="C60" s="1">
        <f>IFERROR(__xludf.DUMMYFUNCTION("""COMPUTED_VALUE"""),1222.32)</f>
        <v>1222.32</v>
      </c>
      <c r="D60" s="1">
        <f>IFERROR(__xludf.DUMMYFUNCTION("""COMPUTED_VALUE"""),1184.0)</f>
        <v>1184</v>
      </c>
      <c r="E60" s="1">
        <f>IFERROR(__xludf.DUMMYFUNCTION("""COMPUTED_VALUE"""),1222.0)</f>
        <v>1222</v>
      </c>
      <c r="F60" s="1">
        <f>IFERROR(__xludf.DUMMYFUNCTION("""COMPUTED_VALUE"""),324933.0)</f>
        <v>324933</v>
      </c>
      <c r="G60" s="2" t="s">
        <v>7</v>
      </c>
    </row>
    <row r="61">
      <c r="A61" s="3">
        <f>IFERROR(__xludf.DUMMYFUNCTION("""COMPUTED_VALUE"""),44648.6875)</f>
        <v>44648.6875</v>
      </c>
      <c r="B61" s="1">
        <f>IFERROR(__xludf.DUMMYFUNCTION("""COMPUTED_VALUE"""),1200.0)</f>
        <v>1200</v>
      </c>
      <c r="C61" s="1">
        <f>IFERROR(__xludf.DUMMYFUNCTION("""COMPUTED_VALUE"""),1244.0)</f>
        <v>1244</v>
      </c>
      <c r="D61" s="1">
        <f>IFERROR(__xludf.DUMMYFUNCTION("""COMPUTED_VALUE"""),1200.0)</f>
        <v>1200</v>
      </c>
      <c r="E61" s="1">
        <f>IFERROR(__xludf.DUMMYFUNCTION("""COMPUTED_VALUE"""),1218.0)</f>
        <v>1218</v>
      </c>
      <c r="F61" s="1">
        <f>IFERROR(__xludf.DUMMYFUNCTION("""COMPUTED_VALUE"""),315222.0)</f>
        <v>315222</v>
      </c>
      <c r="G61" s="2" t="s">
        <v>7</v>
      </c>
    </row>
    <row r="62">
      <c r="A62" s="3">
        <f>IFERROR(__xludf.DUMMYFUNCTION("""COMPUTED_VALUE"""),44649.6875)</f>
        <v>44649.6875</v>
      </c>
      <c r="B62" s="1">
        <f>IFERROR(__xludf.DUMMYFUNCTION("""COMPUTED_VALUE"""),1232.0)</f>
        <v>1232</v>
      </c>
      <c r="C62" s="1">
        <f>IFERROR(__xludf.DUMMYFUNCTION("""COMPUTED_VALUE"""),1254.0)</f>
        <v>1254</v>
      </c>
      <c r="D62" s="1">
        <f>IFERROR(__xludf.DUMMYFUNCTION("""COMPUTED_VALUE"""),1220.0)</f>
        <v>1220</v>
      </c>
      <c r="E62" s="1">
        <f>IFERROR(__xludf.DUMMYFUNCTION("""COMPUTED_VALUE"""),1250.0)</f>
        <v>1250</v>
      </c>
      <c r="F62" s="1">
        <f>IFERROR(__xludf.DUMMYFUNCTION("""COMPUTED_VALUE"""),155359.0)</f>
        <v>155359</v>
      </c>
      <c r="G62" s="2" t="s">
        <v>7</v>
      </c>
    </row>
    <row r="63">
      <c r="A63" s="3">
        <f>IFERROR(__xludf.DUMMYFUNCTION("""COMPUTED_VALUE"""),44650.6875)</f>
        <v>44650.6875</v>
      </c>
      <c r="B63" s="1">
        <f>IFERROR(__xludf.DUMMYFUNCTION("""COMPUTED_VALUE"""),1250.0)</f>
        <v>1250</v>
      </c>
      <c r="C63" s="1">
        <f>IFERROR(__xludf.DUMMYFUNCTION("""COMPUTED_VALUE"""),1257.05)</f>
        <v>1257.05</v>
      </c>
      <c r="D63" s="1">
        <f>IFERROR(__xludf.DUMMYFUNCTION("""COMPUTED_VALUE"""),1218.0)</f>
        <v>1218</v>
      </c>
      <c r="E63" s="1">
        <f>IFERROR(__xludf.DUMMYFUNCTION("""COMPUTED_VALUE"""),1234.0)</f>
        <v>1234</v>
      </c>
      <c r="F63" s="1">
        <f>IFERROR(__xludf.DUMMYFUNCTION("""COMPUTED_VALUE"""),56912.0)</f>
        <v>56912</v>
      </c>
      <c r="G63" s="2" t="s">
        <v>7</v>
      </c>
    </row>
    <row r="64">
      <c r="A64" s="3">
        <f>IFERROR(__xludf.DUMMYFUNCTION("""COMPUTED_VALUE"""),44651.6875)</f>
        <v>44651.6875</v>
      </c>
      <c r="B64" s="1">
        <f>IFERROR(__xludf.DUMMYFUNCTION("""COMPUTED_VALUE"""),1236.0)</f>
        <v>1236</v>
      </c>
      <c r="C64" s="1">
        <f>IFERROR(__xludf.DUMMYFUNCTION("""COMPUTED_VALUE"""),1256.0)</f>
        <v>1256</v>
      </c>
      <c r="D64" s="1">
        <f>IFERROR(__xludf.DUMMYFUNCTION("""COMPUTED_VALUE"""),1236.0)</f>
        <v>1236</v>
      </c>
      <c r="E64" s="1">
        <f>IFERROR(__xludf.DUMMYFUNCTION("""COMPUTED_VALUE"""),1240.0)</f>
        <v>1240</v>
      </c>
      <c r="F64" s="1">
        <f>IFERROR(__xludf.DUMMYFUNCTION("""COMPUTED_VALUE"""),168551.0)</f>
        <v>168551</v>
      </c>
      <c r="G64" s="2" t="s">
        <v>7</v>
      </c>
    </row>
    <row r="65">
      <c r="A65" s="3">
        <f>IFERROR(__xludf.DUMMYFUNCTION("""COMPUTED_VALUE"""),44652.6875)</f>
        <v>44652.6875</v>
      </c>
      <c r="B65" s="1">
        <f>IFERROR(__xludf.DUMMYFUNCTION("""COMPUTED_VALUE"""),1234.0)</f>
        <v>1234</v>
      </c>
      <c r="C65" s="1">
        <f>IFERROR(__xludf.DUMMYFUNCTION("""COMPUTED_VALUE"""),1252.96)</f>
        <v>1252.96</v>
      </c>
      <c r="D65" s="1">
        <f>IFERROR(__xludf.DUMMYFUNCTION("""COMPUTED_VALUE"""),1226.0)</f>
        <v>1226</v>
      </c>
      <c r="E65" s="1">
        <f>IFERROR(__xludf.DUMMYFUNCTION("""COMPUTED_VALUE"""),1240.0)</f>
        <v>1240</v>
      </c>
      <c r="F65" s="1">
        <f>IFERROR(__xludf.DUMMYFUNCTION("""COMPUTED_VALUE"""),242034.0)</f>
        <v>242034</v>
      </c>
      <c r="G65" s="2" t="s">
        <v>7</v>
      </c>
    </row>
    <row r="66">
      <c r="A66" s="3">
        <f>IFERROR(__xludf.DUMMYFUNCTION("""COMPUTED_VALUE"""),44655.6875)</f>
        <v>44655.6875</v>
      </c>
      <c r="B66" s="1">
        <f>IFERROR(__xludf.DUMMYFUNCTION("""COMPUTED_VALUE"""),1236.0)</f>
        <v>1236</v>
      </c>
      <c r="C66" s="1">
        <f>IFERROR(__xludf.DUMMYFUNCTION("""COMPUTED_VALUE"""),1246.0)</f>
        <v>1246</v>
      </c>
      <c r="D66" s="1">
        <f>IFERROR(__xludf.DUMMYFUNCTION("""COMPUTED_VALUE"""),1230.0)</f>
        <v>1230</v>
      </c>
      <c r="E66" s="1">
        <f>IFERROR(__xludf.DUMMYFUNCTION("""COMPUTED_VALUE"""),1244.0)</f>
        <v>1244</v>
      </c>
      <c r="F66" s="1">
        <f>IFERROR(__xludf.DUMMYFUNCTION("""COMPUTED_VALUE"""),42241.0)</f>
        <v>42241</v>
      </c>
      <c r="G66" s="2" t="s">
        <v>7</v>
      </c>
    </row>
    <row r="67">
      <c r="A67" s="3">
        <f>IFERROR(__xludf.DUMMYFUNCTION("""COMPUTED_VALUE"""),44656.6875)</f>
        <v>44656.6875</v>
      </c>
      <c r="B67" s="1">
        <f>IFERROR(__xludf.DUMMYFUNCTION("""COMPUTED_VALUE"""),1238.0)</f>
        <v>1238</v>
      </c>
      <c r="C67" s="1">
        <f>IFERROR(__xludf.DUMMYFUNCTION("""COMPUTED_VALUE"""),1256.0)</f>
        <v>1256</v>
      </c>
      <c r="D67" s="1">
        <f>IFERROR(__xludf.DUMMYFUNCTION("""COMPUTED_VALUE"""),1222.0)</f>
        <v>1222</v>
      </c>
      <c r="E67" s="1">
        <f>IFERROR(__xludf.DUMMYFUNCTION("""COMPUTED_VALUE"""),1222.0)</f>
        <v>1222</v>
      </c>
      <c r="F67" s="1">
        <f>IFERROR(__xludf.DUMMYFUNCTION("""COMPUTED_VALUE"""),193493.0)</f>
        <v>193493</v>
      </c>
      <c r="G67" s="2" t="s">
        <v>7</v>
      </c>
    </row>
    <row r="68">
      <c r="A68" s="3">
        <f>IFERROR(__xludf.DUMMYFUNCTION("""COMPUTED_VALUE"""),44657.6875)</f>
        <v>44657.6875</v>
      </c>
      <c r="B68" s="1">
        <f>IFERROR(__xludf.DUMMYFUNCTION("""COMPUTED_VALUE"""),1220.0)</f>
        <v>1220</v>
      </c>
      <c r="C68" s="1">
        <f>IFERROR(__xludf.DUMMYFUNCTION("""COMPUTED_VALUE"""),1240.0)</f>
        <v>1240</v>
      </c>
      <c r="D68" s="1">
        <f>IFERROR(__xludf.DUMMYFUNCTION("""COMPUTED_VALUE"""),1180.0)</f>
        <v>1180</v>
      </c>
      <c r="E68" s="1">
        <f>IFERROR(__xludf.DUMMYFUNCTION("""COMPUTED_VALUE"""),1200.0)</f>
        <v>1200</v>
      </c>
      <c r="F68" s="1">
        <f>IFERROR(__xludf.DUMMYFUNCTION("""COMPUTED_VALUE"""),632720.0)</f>
        <v>632720</v>
      </c>
      <c r="G68" s="2" t="s">
        <v>7</v>
      </c>
    </row>
    <row r="69">
      <c r="A69" s="3">
        <f>IFERROR(__xludf.DUMMYFUNCTION("""COMPUTED_VALUE"""),44658.6875)</f>
        <v>44658.6875</v>
      </c>
      <c r="B69" s="1">
        <f>IFERROR(__xludf.DUMMYFUNCTION("""COMPUTED_VALUE"""),1204.0)</f>
        <v>1204</v>
      </c>
      <c r="C69" s="1">
        <f>IFERROR(__xludf.DUMMYFUNCTION("""COMPUTED_VALUE"""),1221.36)</f>
        <v>1221.36</v>
      </c>
      <c r="D69" s="1">
        <f>IFERROR(__xludf.DUMMYFUNCTION("""COMPUTED_VALUE"""),1182.0)</f>
        <v>1182</v>
      </c>
      <c r="E69" s="1">
        <f>IFERROR(__xludf.DUMMYFUNCTION("""COMPUTED_VALUE"""),1204.0)</f>
        <v>1204</v>
      </c>
      <c r="F69" s="1">
        <f>IFERROR(__xludf.DUMMYFUNCTION("""COMPUTED_VALUE"""),53225.0)</f>
        <v>53225</v>
      </c>
      <c r="G69" s="2" t="s">
        <v>7</v>
      </c>
    </row>
    <row r="70">
      <c r="A70" s="3">
        <f>IFERROR(__xludf.DUMMYFUNCTION("""COMPUTED_VALUE"""),44659.6875)</f>
        <v>44659.6875</v>
      </c>
      <c r="B70" s="1">
        <f>IFERROR(__xludf.DUMMYFUNCTION("""COMPUTED_VALUE"""),1214.0)</f>
        <v>1214</v>
      </c>
      <c r="C70" s="1">
        <f>IFERROR(__xludf.DUMMYFUNCTION("""COMPUTED_VALUE"""),1224.0)</f>
        <v>1224</v>
      </c>
      <c r="D70" s="1">
        <f>IFERROR(__xludf.DUMMYFUNCTION("""COMPUTED_VALUE"""),1196.0)</f>
        <v>1196</v>
      </c>
      <c r="E70" s="1">
        <f>IFERROR(__xludf.DUMMYFUNCTION("""COMPUTED_VALUE"""),1214.0)</f>
        <v>1214</v>
      </c>
      <c r="F70" s="1">
        <f>IFERROR(__xludf.DUMMYFUNCTION("""COMPUTED_VALUE"""),244728.0)</f>
        <v>244728</v>
      </c>
      <c r="G70" s="2" t="s">
        <v>7</v>
      </c>
    </row>
    <row r="71">
      <c r="A71" s="3">
        <f>IFERROR(__xludf.DUMMYFUNCTION("""COMPUTED_VALUE"""),44662.6875)</f>
        <v>44662.6875</v>
      </c>
      <c r="B71" s="1">
        <f>IFERROR(__xludf.DUMMYFUNCTION("""COMPUTED_VALUE"""),1222.0)</f>
        <v>1222</v>
      </c>
      <c r="C71" s="1">
        <f>IFERROR(__xludf.DUMMYFUNCTION("""COMPUTED_VALUE"""),1224.0)</f>
        <v>1224</v>
      </c>
      <c r="D71" s="1">
        <f>IFERROR(__xludf.DUMMYFUNCTION("""COMPUTED_VALUE"""),1194.0)</f>
        <v>1194</v>
      </c>
      <c r="E71" s="1">
        <f>IFERROR(__xludf.DUMMYFUNCTION("""COMPUTED_VALUE"""),1206.0)</f>
        <v>1206</v>
      </c>
      <c r="F71" s="1">
        <f>IFERROR(__xludf.DUMMYFUNCTION("""COMPUTED_VALUE"""),46377.0)</f>
        <v>46377</v>
      </c>
      <c r="G71" s="2" t="s">
        <v>7</v>
      </c>
    </row>
    <row r="72">
      <c r="A72" s="3">
        <f>IFERROR(__xludf.DUMMYFUNCTION("""COMPUTED_VALUE"""),44663.6875)</f>
        <v>44663.6875</v>
      </c>
      <c r="B72" s="1">
        <f>IFERROR(__xludf.DUMMYFUNCTION("""COMPUTED_VALUE"""),1216.0)</f>
        <v>1216</v>
      </c>
      <c r="C72" s="1">
        <f>IFERROR(__xludf.DUMMYFUNCTION("""COMPUTED_VALUE"""),1216.0)</f>
        <v>1216</v>
      </c>
      <c r="D72" s="1">
        <f>IFERROR(__xludf.DUMMYFUNCTION("""COMPUTED_VALUE"""),1180.0)</f>
        <v>1180</v>
      </c>
      <c r="E72" s="1">
        <f>IFERROR(__xludf.DUMMYFUNCTION("""COMPUTED_VALUE"""),1190.0)</f>
        <v>1190</v>
      </c>
      <c r="F72" s="1">
        <f>IFERROR(__xludf.DUMMYFUNCTION("""COMPUTED_VALUE"""),61274.0)</f>
        <v>61274</v>
      </c>
      <c r="G72" s="2" t="s">
        <v>7</v>
      </c>
    </row>
    <row r="73">
      <c r="A73" s="3">
        <f>IFERROR(__xludf.DUMMYFUNCTION("""COMPUTED_VALUE"""),44664.6875)</f>
        <v>44664.6875</v>
      </c>
      <c r="B73" s="1">
        <f>IFERROR(__xludf.DUMMYFUNCTION("""COMPUTED_VALUE"""),1196.0)</f>
        <v>1196</v>
      </c>
      <c r="C73" s="1">
        <f>IFERROR(__xludf.DUMMYFUNCTION("""COMPUTED_VALUE"""),1210.0)</f>
        <v>1210</v>
      </c>
      <c r="D73" s="1">
        <f>IFERROR(__xludf.DUMMYFUNCTION("""COMPUTED_VALUE"""),1186.0)</f>
        <v>1186</v>
      </c>
      <c r="E73" s="1">
        <f>IFERROR(__xludf.DUMMYFUNCTION("""COMPUTED_VALUE"""),1200.0)</f>
        <v>1200</v>
      </c>
      <c r="F73" s="1">
        <f>IFERROR(__xludf.DUMMYFUNCTION("""COMPUTED_VALUE"""),279035.0)</f>
        <v>279035</v>
      </c>
      <c r="G73" s="2" t="s">
        <v>7</v>
      </c>
    </row>
    <row r="74">
      <c r="A74" s="3">
        <f>IFERROR(__xludf.DUMMYFUNCTION("""COMPUTED_VALUE"""),44665.6875)</f>
        <v>44665.6875</v>
      </c>
      <c r="B74" s="1">
        <f>IFERROR(__xludf.DUMMYFUNCTION("""COMPUTED_VALUE"""),1202.0)</f>
        <v>1202</v>
      </c>
      <c r="C74" s="1">
        <f>IFERROR(__xludf.DUMMYFUNCTION("""COMPUTED_VALUE"""),1214.0)</f>
        <v>1214</v>
      </c>
      <c r="D74" s="1">
        <f>IFERROR(__xludf.DUMMYFUNCTION("""COMPUTED_VALUE"""),1196.0)</f>
        <v>1196</v>
      </c>
      <c r="E74" s="1">
        <f>IFERROR(__xludf.DUMMYFUNCTION("""COMPUTED_VALUE"""),1210.0)</f>
        <v>1210</v>
      </c>
      <c r="F74" s="1">
        <f>IFERROR(__xludf.DUMMYFUNCTION("""COMPUTED_VALUE"""),38783.0)</f>
        <v>38783</v>
      </c>
      <c r="G74" s="2" t="s">
        <v>7</v>
      </c>
    </row>
    <row r="75">
      <c r="A75" s="3">
        <f>IFERROR(__xludf.DUMMYFUNCTION("""COMPUTED_VALUE"""),44670.6875)</f>
        <v>44670.6875</v>
      </c>
      <c r="B75" s="1">
        <f>IFERROR(__xludf.DUMMYFUNCTION("""COMPUTED_VALUE"""),1210.0)</f>
        <v>1210</v>
      </c>
      <c r="C75" s="1">
        <f>IFERROR(__xludf.DUMMYFUNCTION("""COMPUTED_VALUE"""),1214.5)</f>
        <v>1214.5</v>
      </c>
      <c r="D75" s="1">
        <f>IFERROR(__xludf.DUMMYFUNCTION("""COMPUTED_VALUE"""),1198.0)</f>
        <v>1198</v>
      </c>
      <c r="E75" s="1">
        <f>IFERROR(__xludf.DUMMYFUNCTION("""COMPUTED_VALUE"""),1204.0)</f>
        <v>1204</v>
      </c>
      <c r="F75" s="1">
        <f>IFERROR(__xludf.DUMMYFUNCTION("""COMPUTED_VALUE"""),45931.0)</f>
        <v>45931</v>
      </c>
      <c r="G75" s="2" t="s">
        <v>7</v>
      </c>
    </row>
    <row r="76">
      <c r="A76" s="3">
        <f>IFERROR(__xludf.DUMMYFUNCTION("""COMPUTED_VALUE"""),44671.6875)</f>
        <v>44671.6875</v>
      </c>
      <c r="B76" s="1">
        <f>IFERROR(__xludf.DUMMYFUNCTION("""COMPUTED_VALUE"""),1146.0)</f>
        <v>1146</v>
      </c>
      <c r="C76" s="1">
        <f>IFERROR(__xludf.DUMMYFUNCTION("""COMPUTED_VALUE"""),1210.0)</f>
        <v>1210</v>
      </c>
      <c r="D76" s="1">
        <f>IFERROR(__xludf.DUMMYFUNCTION("""COMPUTED_VALUE"""),1146.0)</f>
        <v>1146</v>
      </c>
      <c r="E76" s="1">
        <f>IFERROR(__xludf.DUMMYFUNCTION("""COMPUTED_VALUE"""),1194.0)</f>
        <v>1194</v>
      </c>
      <c r="F76" s="1">
        <f>IFERROR(__xludf.DUMMYFUNCTION("""COMPUTED_VALUE"""),34674.0)</f>
        <v>34674</v>
      </c>
      <c r="G76" s="2" t="s">
        <v>7</v>
      </c>
    </row>
    <row r="77">
      <c r="A77" s="3">
        <f>IFERROR(__xludf.DUMMYFUNCTION("""COMPUTED_VALUE"""),44672.6875)</f>
        <v>44672.6875</v>
      </c>
      <c r="B77" s="1">
        <f>IFERROR(__xludf.DUMMYFUNCTION("""COMPUTED_VALUE"""),1190.0)</f>
        <v>1190</v>
      </c>
      <c r="C77" s="1">
        <f>IFERROR(__xludf.DUMMYFUNCTION("""COMPUTED_VALUE"""),1220.0)</f>
        <v>1220</v>
      </c>
      <c r="D77" s="1">
        <f>IFERROR(__xludf.DUMMYFUNCTION("""COMPUTED_VALUE"""),1180.0)</f>
        <v>1180</v>
      </c>
      <c r="E77" s="1">
        <f>IFERROR(__xludf.DUMMYFUNCTION("""COMPUTED_VALUE"""),1194.0)</f>
        <v>1194</v>
      </c>
      <c r="F77" s="1">
        <f>IFERROR(__xludf.DUMMYFUNCTION("""COMPUTED_VALUE"""),387273.0)</f>
        <v>387273</v>
      </c>
      <c r="G77" s="2" t="s">
        <v>7</v>
      </c>
    </row>
    <row r="78">
      <c r="A78" s="3">
        <f>IFERROR(__xludf.DUMMYFUNCTION("""COMPUTED_VALUE"""),44673.6875)</f>
        <v>44673.6875</v>
      </c>
      <c r="B78" s="1">
        <f>IFERROR(__xludf.DUMMYFUNCTION("""COMPUTED_VALUE"""),1160.0)</f>
        <v>1160</v>
      </c>
      <c r="C78" s="1">
        <f>IFERROR(__xludf.DUMMYFUNCTION("""COMPUTED_VALUE"""),1216.0)</f>
        <v>1216</v>
      </c>
      <c r="D78" s="1">
        <f>IFERROR(__xludf.DUMMYFUNCTION("""COMPUTED_VALUE"""),1160.0)</f>
        <v>1160</v>
      </c>
      <c r="E78" s="1">
        <f>IFERROR(__xludf.DUMMYFUNCTION("""COMPUTED_VALUE"""),1206.0)</f>
        <v>1206</v>
      </c>
      <c r="F78" s="1">
        <f>IFERROR(__xludf.DUMMYFUNCTION("""COMPUTED_VALUE"""),80180.0)</f>
        <v>80180</v>
      </c>
      <c r="G78" s="2" t="s">
        <v>7</v>
      </c>
    </row>
    <row r="79">
      <c r="A79" s="3">
        <f>IFERROR(__xludf.DUMMYFUNCTION("""COMPUTED_VALUE"""),44676.6875)</f>
        <v>44676.6875</v>
      </c>
      <c r="B79" s="1">
        <f>IFERROR(__xludf.DUMMYFUNCTION("""COMPUTED_VALUE"""),1194.0)</f>
        <v>1194</v>
      </c>
      <c r="C79" s="1">
        <f>IFERROR(__xludf.DUMMYFUNCTION("""COMPUTED_VALUE"""),1218.0)</f>
        <v>1218</v>
      </c>
      <c r="D79" s="1">
        <f>IFERROR(__xludf.DUMMYFUNCTION("""COMPUTED_VALUE"""),1192.5)</f>
        <v>1192.5</v>
      </c>
      <c r="E79" s="1">
        <f>IFERROR(__xludf.DUMMYFUNCTION("""COMPUTED_VALUE"""),1208.0)</f>
        <v>1208</v>
      </c>
      <c r="F79" s="1">
        <f>IFERROR(__xludf.DUMMYFUNCTION("""COMPUTED_VALUE"""),125601.0)</f>
        <v>125601</v>
      </c>
      <c r="G79" s="2" t="s">
        <v>7</v>
      </c>
    </row>
    <row r="80">
      <c r="A80" s="3">
        <f>IFERROR(__xludf.DUMMYFUNCTION("""COMPUTED_VALUE"""),44677.6875)</f>
        <v>44677.6875</v>
      </c>
      <c r="B80" s="1">
        <f>IFERROR(__xludf.DUMMYFUNCTION("""COMPUTED_VALUE"""),1208.0)</f>
        <v>1208</v>
      </c>
      <c r="C80" s="1">
        <f>IFERROR(__xludf.DUMMYFUNCTION("""COMPUTED_VALUE"""),1218.0)</f>
        <v>1218</v>
      </c>
      <c r="D80" s="1">
        <f>IFERROR(__xludf.DUMMYFUNCTION("""COMPUTED_VALUE"""),1200.0)</f>
        <v>1200</v>
      </c>
      <c r="E80" s="1">
        <f>IFERROR(__xludf.DUMMYFUNCTION("""COMPUTED_VALUE"""),1200.0)</f>
        <v>1200</v>
      </c>
      <c r="F80" s="1">
        <f>IFERROR(__xludf.DUMMYFUNCTION("""COMPUTED_VALUE"""),126583.0)</f>
        <v>126583</v>
      </c>
      <c r="G80" s="2" t="s">
        <v>7</v>
      </c>
    </row>
    <row r="81">
      <c r="A81" s="3">
        <f>IFERROR(__xludf.DUMMYFUNCTION("""COMPUTED_VALUE"""),44678.6875)</f>
        <v>44678.6875</v>
      </c>
      <c r="B81" s="1">
        <f>IFERROR(__xludf.DUMMYFUNCTION("""COMPUTED_VALUE"""),1202.0)</f>
        <v>1202</v>
      </c>
      <c r="C81" s="1">
        <f>IFERROR(__xludf.DUMMYFUNCTION("""COMPUTED_VALUE"""),1210.0)</f>
        <v>1210</v>
      </c>
      <c r="D81" s="1">
        <f>IFERROR(__xludf.DUMMYFUNCTION("""COMPUTED_VALUE"""),1192.0)</f>
        <v>1192</v>
      </c>
      <c r="E81" s="1">
        <f>IFERROR(__xludf.DUMMYFUNCTION("""COMPUTED_VALUE"""),1202.0)</f>
        <v>1202</v>
      </c>
      <c r="F81" s="1">
        <f>IFERROR(__xludf.DUMMYFUNCTION("""COMPUTED_VALUE"""),50413.0)</f>
        <v>50413</v>
      </c>
      <c r="G81" s="2" t="s">
        <v>7</v>
      </c>
    </row>
    <row r="82">
      <c r="A82" s="3">
        <f>IFERROR(__xludf.DUMMYFUNCTION("""COMPUTED_VALUE"""),44679.6875)</f>
        <v>44679.6875</v>
      </c>
      <c r="B82" s="1">
        <f>IFERROR(__xludf.DUMMYFUNCTION("""COMPUTED_VALUE"""),1206.0)</f>
        <v>1206</v>
      </c>
      <c r="C82" s="1">
        <f>IFERROR(__xludf.DUMMYFUNCTION("""COMPUTED_VALUE"""),1224.0)</f>
        <v>1224</v>
      </c>
      <c r="D82" s="1">
        <f>IFERROR(__xludf.DUMMYFUNCTION("""COMPUTED_VALUE"""),1198.0)</f>
        <v>1198</v>
      </c>
      <c r="E82" s="1">
        <f>IFERROR(__xludf.DUMMYFUNCTION("""COMPUTED_VALUE"""),1220.0)</f>
        <v>1220</v>
      </c>
      <c r="F82" s="1">
        <f>IFERROR(__xludf.DUMMYFUNCTION("""COMPUTED_VALUE"""),44329.0)</f>
        <v>44329</v>
      </c>
      <c r="G82" s="2" t="s">
        <v>7</v>
      </c>
    </row>
    <row r="83">
      <c r="A83" s="3">
        <f>IFERROR(__xludf.DUMMYFUNCTION("""COMPUTED_VALUE"""),44680.6875)</f>
        <v>44680.6875</v>
      </c>
      <c r="B83" s="1">
        <f>IFERROR(__xludf.DUMMYFUNCTION("""COMPUTED_VALUE"""),1226.0)</f>
        <v>1226</v>
      </c>
      <c r="C83" s="1">
        <f>IFERROR(__xludf.DUMMYFUNCTION("""COMPUTED_VALUE"""),1236.0)</f>
        <v>1236</v>
      </c>
      <c r="D83" s="1">
        <f>IFERROR(__xludf.DUMMYFUNCTION("""COMPUTED_VALUE"""),1214.0)</f>
        <v>1214</v>
      </c>
      <c r="E83" s="1">
        <f>IFERROR(__xludf.DUMMYFUNCTION("""COMPUTED_VALUE"""),1218.0)</f>
        <v>1218</v>
      </c>
      <c r="F83" s="1">
        <f>IFERROR(__xludf.DUMMYFUNCTION("""COMPUTED_VALUE"""),111529.0)</f>
        <v>111529</v>
      </c>
      <c r="G83" s="2" t="s">
        <v>7</v>
      </c>
    </row>
    <row r="84">
      <c r="A84" s="3">
        <f>IFERROR(__xludf.DUMMYFUNCTION("""COMPUTED_VALUE"""),44684.6875)</f>
        <v>44684.6875</v>
      </c>
      <c r="B84" s="1">
        <f>IFERROR(__xludf.DUMMYFUNCTION("""COMPUTED_VALUE"""),1214.0)</f>
        <v>1214</v>
      </c>
      <c r="C84" s="1">
        <f>IFERROR(__xludf.DUMMYFUNCTION("""COMPUTED_VALUE"""),1218.0)</f>
        <v>1218</v>
      </c>
      <c r="D84" s="1">
        <f>IFERROR(__xludf.DUMMYFUNCTION("""COMPUTED_VALUE"""),1170.0)</f>
        <v>1170</v>
      </c>
      <c r="E84" s="1">
        <f>IFERROR(__xludf.DUMMYFUNCTION("""COMPUTED_VALUE"""),1170.0)</f>
        <v>1170</v>
      </c>
      <c r="F84" s="1">
        <f>IFERROR(__xludf.DUMMYFUNCTION("""COMPUTED_VALUE"""),128243.0)</f>
        <v>128243</v>
      </c>
      <c r="G84" s="2" t="s">
        <v>7</v>
      </c>
    </row>
    <row r="85">
      <c r="A85" s="3">
        <f>IFERROR(__xludf.DUMMYFUNCTION("""COMPUTED_VALUE"""),44685.6875)</f>
        <v>44685.6875</v>
      </c>
      <c r="B85" s="1">
        <f>IFERROR(__xludf.DUMMYFUNCTION("""COMPUTED_VALUE"""),1168.0)</f>
        <v>1168</v>
      </c>
      <c r="C85" s="1">
        <f>IFERROR(__xludf.DUMMYFUNCTION("""COMPUTED_VALUE"""),1186.0)</f>
        <v>1186</v>
      </c>
      <c r="D85" s="1">
        <f>IFERROR(__xludf.DUMMYFUNCTION("""COMPUTED_VALUE"""),1148.0)</f>
        <v>1148</v>
      </c>
      <c r="E85" s="1">
        <f>IFERROR(__xludf.DUMMYFUNCTION("""COMPUTED_VALUE"""),1150.0)</f>
        <v>1150</v>
      </c>
      <c r="F85" s="1">
        <f>IFERROR(__xludf.DUMMYFUNCTION("""COMPUTED_VALUE"""),53145.0)</f>
        <v>53145</v>
      </c>
      <c r="G85" s="2" t="s">
        <v>7</v>
      </c>
    </row>
    <row r="86">
      <c r="A86" s="3">
        <f>IFERROR(__xludf.DUMMYFUNCTION("""COMPUTED_VALUE"""),44686.6875)</f>
        <v>44686.6875</v>
      </c>
      <c r="B86" s="1">
        <f>IFERROR(__xludf.DUMMYFUNCTION("""COMPUTED_VALUE"""),1166.0)</f>
        <v>1166</v>
      </c>
      <c r="C86" s="1">
        <f>IFERROR(__xludf.DUMMYFUNCTION("""COMPUTED_VALUE"""),1180.0)</f>
        <v>1180</v>
      </c>
      <c r="D86" s="1">
        <f>IFERROR(__xludf.DUMMYFUNCTION("""COMPUTED_VALUE"""),1154.0)</f>
        <v>1154</v>
      </c>
      <c r="E86" s="1">
        <f>IFERROR(__xludf.DUMMYFUNCTION("""COMPUTED_VALUE"""),1168.0)</f>
        <v>1168</v>
      </c>
      <c r="F86" s="1">
        <f>IFERROR(__xludf.DUMMYFUNCTION("""COMPUTED_VALUE"""),187085.0)</f>
        <v>187085</v>
      </c>
      <c r="G86" s="2" t="s">
        <v>7</v>
      </c>
    </row>
    <row r="87">
      <c r="A87" s="3">
        <f>IFERROR(__xludf.DUMMYFUNCTION("""COMPUTED_VALUE"""),44687.6875)</f>
        <v>44687.6875</v>
      </c>
      <c r="B87" s="1">
        <f>IFERROR(__xludf.DUMMYFUNCTION("""COMPUTED_VALUE"""),1162.0)</f>
        <v>1162</v>
      </c>
      <c r="C87" s="1">
        <f>IFERROR(__xludf.DUMMYFUNCTION("""COMPUTED_VALUE"""),1164.08)</f>
        <v>1164.08</v>
      </c>
      <c r="D87" s="1">
        <f>IFERROR(__xludf.DUMMYFUNCTION("""COMPUTED_VALUE"""),1146.0)</f>
        <v>1146</v>
      </c>
      <c r="E87" s="1">
        <f>IFERROR(__xludf.DUMMYFUNCTION("""COMPUTED_VALUE"""),1152.0)</f>
        <v>1152</v>
      </c>
      <c r="F87" s="1">
        <f>IFERROR(__xludf.DUMMYFUNCTION("""COMPUTED_VALUE"""),220172.0)</f>
        <v>220172</v>
      </c>
      <c r="G87" s="2" t="s">
        <v>7</v>
      </c>
    </row>
    <row r="88">
      <c r="A88" s="3">
        <f>IFERROR(__xludf.DUMMYFUNCTION("""COMPUTED_VALUE"""),44690.6875)</f>
        <v>44690.6875</v>
      </c>
      <c r="B88" s="1">
        <f>IFERROR(__xludf.DUMMYFUNCTION("""COMPUTED_VALUE"""),1172.0)</f>
        <v>1172</v>
      </c>
      <c r="C88" s="1">
        <f>IFERROR(__xludf.DUMMYFUNCTION("""COMPUTED_VALUE"""),1172.0)</f>
        <v>1172</v>
      </c>
      <c r="D88" s="1">
        <f>IFERROR(__xludf.DUMMYFUNCTION("""COMPUTED_VALUE"""),1142.0)</f>
        <v>1142</v>
      </c>
      <c r="E88" s="1">
        <f>IFERROR(__xludf.DUMMYFUNCTION("""COMPUTED_VALUE"""),1156.0)</f>
        <v>1156</v>
      </c>
      <c r="F88" s="1">
        <f>IFERROR(__xludf.DUMMYFUNCTION("""COMPUTED_VALUE"""),44638.0)</f>
        <v>44638</v>
      </c>
      <c r="G88" s="2" t="s">
        <v>7</v>
      </c>
    </row>
    <row r="89">
      <c r="A89" s="3">
        <f>IFERROR(__xludf.DUMMYFUNCTION("""COMPUTED_VALUE"""),44691.6875)</f>
        <v>44691.6875</v>
      </c>
      <c r="B89" s="1">
        <f>IFERROR(__xludf.DUMMYFUNCTION("""COMPUTED_VALUE"""),1162.0)</f>
        <v>1162</v>
      </c>
      <c r="C89" s="1">
        <f>IFERROR(__xludf.DUMMYFUNCTION("""COMPUTED_VALUE"""),1184.0)</f>
        <v>1184</v>
      </c>
      <c r="D89" s="1">
        <f>IFERROR(__xludf.DUMMYFUNCTION("""COMPUTED_VALUE"""),1150.0)</f>
        <v>1150</v>
      </c>
      <c r="E89" s="1">
        <f>IFERROR(__xludf.DUMMYFUNCTION("""COMPUTED_VALUE"""),1166.0)</f>
        <v>1166</v>
      </c>
      <c r="F89" s="1">
        <f>IFERROR(__xludf.DUMMYFUNCTION("""COMPUTED_VALUE"""),54232.0)</f>
        <v>54232</v>
      </c>
      <c r="G89" s="2" t="s">
        <v>7</v>
      </c>
    </row>
    <row r="90">
      <c r="A90" s="3">
        <f>IFERROR(__xludf.DUMMYFUNCTION("""COMPUTED_VALUE"""),44692.6875)</f>
        <v>44692.6875</v>
      </c>
      <c r="B90" s="1">
        <f>IFERROR(__xludf.DUMMYFUNCTION("""COMPUTED_VALUE"""),1154.0)</f>
        <v>1154</v>
      </c>
      <c r="C90" s="1">
        <f>IFERROR(__xludf.DUMMYFUNCTION("""COMPUTED_VALUE"""),1176.0)</f>
        <v>1176</v>
      </c>
      <c r="D90" s="1">
        <f>IFERROR(__xludf.DUMMYFUNCTION("""COMPUTED_VALUE"""),1150.4)</f>
        <v>1150.4</v>
      </c>
      <c r="E90" s="1">
        <f>IFERROR(__xludf.DUMMYFUNCTION("""COMPUTED_VALUE"""),1170.0)</f>
        <v>1170</v>
      </c>
      <c r="F90" s="1">
        <f>IFERROR(__xludf.DUMMYFUNCTION("""COMPUTED_VALUE"""),306149.0)</f>
        <v>306149</v>
      </c>
      <c r="G90" s="2" t="s">
        <v>7</v>
      </c>
    </row>
    <row r="91">
      <c r="A91" s="3">
        <f>IFERROR(__xludf.DUMMYFUNCTION("""COMPUTED_VALUE"""),44693.6875)</f>
        <v>44693.6875</v>
      </c>
      <c r="B91" s="1">
        <f>IFERROR(__xludf.DUMMYFUNCTION("""COMPUTED_VALUE"""),1156.0)</f>
        <v>1156</v>
      </c>
      <c r="C91" s="1">
        <f>IFERROR(__xludf.DUMMYFUNCTION("""COMPUTED_VALUE"""),1184.0)</f>
        <v>1184</v>
      </c>
      <c r="D91" s="1">
        <f>IFERROR(__xludf.DUMMYFUNCTION("""COMPUTED_VALUE"""),1150.0)</f>
        <v>1150</v>
      </c>
      <c r="E91" s="1">
        <f>IFERROR(__xludf.DUMMYFUNCTION("""COMPUTED_VALUE"""),1170.0)</f>
        <v>1170</v>
      </c>
      <c r="F91" s="1">
        <f>IFERROR(__xludf.DUMMYFUNCTION("""COMPUTED_VALUE"""),235742.0)</f>
        <v>235742</v>
      </c>
      <c r="G91" s="2" t="s">
        <v>7</v>
      </c>
    </row>
    <row r="92">
      <c r="A92" s="3">
        <f>IFERROR(__xludf.DUMMYFUNCTION("""COMPUTED_VALUE"""),44694.6875)</f>
        <v>44694.6875</v>
      </c>
      <c r="B92" s="1">
        <f>IFERROR(__xludf.DUMMYFUNCTION("""COMPUTED_VALUE"""),1170.0)</f>
        <v>1170</v>
      </c>
      <c r="C92" s="1">
        <f>IFERROR(__xludf.DUMMYFUNCTION("""COMPUTED_VALUE"""),1204.0)</f>
        <v>1204</v>
      </c>
      <c r="D92" s="1">
        <f>IFERROR(__xludf.DUMMYFUNCTION("""COMPUTED_VALUE"""),1170.0)</f>
        <v>1170</v>
      </c>
      <c r="E92" s="1">
        <f>IFERROR(__xludf.DUMMYFUNCTION("""COMPUTED_VALUE"""),1204.0)</f>
        <v>1204</v>
      </c>
      <c r="F92" s="1">
        <f>IFERROR(__xludf.DUMMYFUNCTION("""COMPUTED_VALUE"""),38764.0)</f>
        <v>38764</v>
      </c>
      <c r="G92" s="2" t="s">
        <v>7</v>
      </c>
    </row>
    <row r="93">
      <c r="A93" s="3">
        <f>IFERROR(__xludf.DUMMYFUNCTION("""COMPUTED_VALUE"""),44697.6875)</f>
        <v>44697.6875</v>
      </c>
      <c r="B93" s="1">
        <f>IFERROR(__xludf.DUMMYFUNCTION("""COMPUTED_VALUE"""),1208.0)</f>
        <v>1208</v>
      </c>
      <c r="C93" s="1">
        <f>IFERROR(__xludf.DUMMYFUNCTION("""COMPUTED_VALUE"""),1222.0)</f>
        <v>1222</v>
      </c>
      <c r="D93" s="1">
        <f>IFERROR(__xludf.DUMMYFUNCTION("""COMPUTED_VALUE"""),1203.08)</f>
        <v>1203.08</v>
      </c>
      <c r="E93" s="1">
        <f>IFERROR(__xludf.DUMMYFUNCTION("""COMPUTED_VALUE"""),1216.0)</f>
        <v>1216</v>
      </c>
      <c r="F93" s="1">
        <f>IFERROR(__xludf.DUMMYFUNCTION("""COMPUTED_VALUE"""),33599.0)</f>
        <v>33599</v>
      </c>
      <c r="G93" s="2" t="s">
        <v>7</v>
      </c>
    </row>
    <row r="94">
      <c r="A94" s="3">
        <f>IFERROR(__xludf.DUMMYFUNCTION("""COMPUTED_VALUE"""),44698.6875)</f>
        <v>44698.6875</v>
      </c>
      <c r="B94" s="1">
        <f>IFERROR(__xludf.DUMMYFUNCTION("""COMPUTED_VALUE"""),1248.0)</f>
        <v>1248</v>
      </c>
      <c r="C94" s="1">
        <f>IFERROR(__xludf.DUMMYFUNCTION("""COMPUTED_VALUE"""),1248.0)</f>
        <v>1248</v>
      </c>
      <c r="D94" s="1">
        <f>IFERROR(__xludf.DUMMYFUNCTION("""COMPUTED_VALUE"""),1197.08)</f>
        <v>1197.08</v>
      </c>
      <c r="E94" s="1">
        <f>IFERROR(__xludf.DUMMYFUNCTION("""COMPUTED_VALUE"""),1206.0)</f>
        <v>1206</v>
      </c>
      <c r="F94" s="1">
        <f>IFERROR(__xludf.DUMMYFUNCTION("""COMPUTED_VALUE"""),29995.0)</f>
        <v>29995</v>
      </c>
      <c r="G94" s="2" t="s">
        <v>7</v>
      </c>
    </row>
    <row r="95">
      <c r="A95" s="3">
        <f>IFERROR(__xludf.DUMMYFUNCTION("""COMPUTED_VALUE"""),44699.6875)</f>
        <v>44699.6875</v>
      </c>
      <c r="B95" s="1">
        <f>IFERROR(__xludf.DUMMYFUNCTION("""COMPUTED_VALUE"""),1206.0)</f>
        <v>1206</v>
      </c>
      <c r="C95" s="1">
        <f>IFERROR(__xludf.DUMMYFUNCTION("""COMPUTED_VALUE"""),1210.0)</f>
        <v>1210</v>
      </c>
      <c r="D95" s="1">
        <f>IFERROR(__xludf.DUMMYFUNCTION("""COMPUTED_VALUE"""),1186.0)</f>
        <v>1186</v>
      </c>
      <c r="E95" s="1">
        <f>IFERROR(__xludf.DUMMYFUNCTION("""COMPUTED_VALUE"""),1196.0)</f>
        <v>1196</v>
      </c>
      <c r="F95" s="1">
        <f>IFERROR(__xludf.DUMMYFUNCTION("""COMPUTED_VALUE"""),27152.0)</f>
        <v>27152</v>
      </c>
      <c r="G95" s="2" t="s">
        <v>7</v>
      </c>
    </row>
    <row r="96">
      <c r="A96" s="3">
        <f>IFERROR(__xludf.DUMMYFUNCTION("""COMPUTED_VALUE"""),44700.6875)</f>
        <v>44700.6875</v>
      </c>
      <c r="B96" s="1">
        <f>IFERROR(__xludf.DUMMYFUNCTION("""COMPUTED_VALUE"""),1182.0)</f>
        <v>1182</v>
      </c>
      <c r="C96" s="1">
        <f>IFERROR(__xludf.DUMMYFUNCTION("""COMPUTED_VALUE"""),1190.0)</f>
        <v>1190</v>
      </c>
      <c r="D96" s="1">
        <f>IFERROR(__xludf.DUMMYFUNCTION("""COMPUTED_VALUE"""),1164.0)</f>
        <v>1164</v>
      </c>
      <c r="E96" s="1">
        <f>IFERROR(__xludf.DUMMYFUNCTION("""COMPUTED_VALUE"""),1180.0)</f>
        <v>1180</v>
      </c>
      <c r="F96" s="1">
        <f>IFERROR(__xludf.DUMMYFUNCTION("""COMPUTED_VALUE"""),39971.0)</f>
        <v>39971</v>
      </c>
      <c r="G96" s="2" t="s">
        <v>7</v>
      </c>
    </row>
    <row r="97">
      <c r="A97" s="3">
        <f>IFERROR(__xludf.DUMMYFUNCTION("""COMPUTED_VALUE"""),44701.6875)</f>
        <v>44701.6875</v>
      </c>
      <c r="B97" s="1">
        <f>IFERROR(__xludf.DUMMYFUNCTION("""COMPUTED_VALUE"""),1184.0)</f>
        <v>1184</v>
      </c>
      <c r="C97" s="1">
        <f>IFERROR(__xludf.DUMMYFUNCTION("""COMPUTED_VALUE"""),1206.0)</f>
        <v>1206</v>
      </c>
      <c r="D97" s="1">
        <f>IFERROR(__xludf.DUMMYFUNCTION("""COMPUTED_VALUE"""),1176.0)</f>
        <v>1176</v>
      </c>
      <c r="E97" s="1">
        <f>IFERROR(__xludf.DUMMYFUNCTION("""COMPUTED_VALUE"""),1188.0)</f>
        <v>1188</v>
      </c>
      <c r="F97" s="1">
        <f>IFERROR(__xludf.DUMMYFUNCTION("""COMPUTED_VALUE"""),29269.0)</f>
        <v>29269</v>
      </c>
      <c r="G97" s="2" t="s">
        <v>7</v>
      </c>
    </row>
    <row r="98">
      <c r="A98" s="3">
        <f>IFERROR(__xludf.DUMMYFUNCTION("""COMPUTED_VALUE"""),44704.6875)</f>
        <v>44704.6875</v>
      </c>
      <c r="B98" s="1">
        <f>IFERROR(__xludf.DUMMYFUNCTION("""COMPUTED_VALUE"""),1216.0)</f>
        <v>1216</v>
      </c>
      <c r="C98" s="1">
        <f>IFERROR(__xludf.DUMMYFUNCTION("""COMPUTED_VALUE"""),1222.0)</f>
        <v>1222</v>
      </c>
      <c r="D98" s="1">
        <f>IFERROR(__xludf.DUMMYFUNCTION("""COMPUTED_VALUE"""),1194.0)</f>
        <v>1194</v>
      </c>
      <c r="E98" s="1">
        <f>IFERROR(__xludf.DUMMYFUNCTION("""COMPUTED_VALUE"""),1218.0)</f>
        <v>1218</v>
      </c>
      <c r="F98" s="1">
        <f>IFERROR(__xludf.DUMMYFUNCTION("""COMPUTED_VALUE"""),190048.0)</f>
        <v>190048</v>
      </c>
      <c r="G98" s="2" t="s">
        <v>7</v>
      </c>
    </row>
    <row r="99">
      <c r="A99" s="3">
        <f>IFERROR(__xludf.DUMMYFUNCTION("""COMPUTED_VALUE"""),44705.6875)</f>
        <v>44705.6875</v>
      </c>
      <c r="B99" s="1">
        <f>IFERROR(__xludf.DUMMYFUNCTION("""COMPUTED_VALUE"""),1206.0)</f>
        <v>1206</v>
      </c>
      <c r="C99" s="1">
        <f>IFERROR(__xludf.DUMMYFUNCTION("""COMPUTED_VALUE"""),1224.0)</f>
        <v>1224</v>
      </c>
      <c r="D99" s="1">
        <f>IFERROR(__xludf.DUMMYFUNCTION("""COMPUTED_VALUE"""),1186.0)</f>
        <v>1186</v>
      </c>
      <c r="E99" s="1">
        <f>IFERROR(__xludf.DUMMYFUNCTION("""COMPUTED_VALUE"""),1186.0)</f>
        <v>1186</v>
      </c>
      <c r="F99" s="1">
        <f>IFERROR(__xludf.DUMMYFUNCTION("""COMPUTED_VALUE"""),46585.0)</f>
        <v>46585</v>
      </c>
      <c r="G99" s="2" t="s">
        <v>7</v>
      </c>
    </row>
    <row r="100">
      <c r="A100" s="3">
        <f>IFERROR(__xludf.DUMMYFUNCTION("""COMPUTED_VALUE"""),44706.6875)</f>
        <v>44706.6875</v>
      </c>
      <c r="B100" s="1">
        <f>IFERROR(__xludf.DUMMYFUNCTION("""COMPUTED_VALUE"""),1190.0)</f>
        <v>1190</v>
      </c>
      <c r="C100" s="1">
        <f>IFERROR(__xludf.DUMMYFUNCTION("""COMPUTED_VALUE"""),1192.0)</f>
        <v>1192</v>
      </c>
      <c r="D100" s="1">
        <f>IFERROR(__xludf.DUMMYFUNCTION("""COMPUTED_VALUE"""),1148.0)</f>
        <v>1148</v>
      </c>
      <c r="E100" s="1">
        <f>IFERROR(__xludf.DUMMYFUNCTION("""COMPUTED_VALUE"""),1156.0)</f>
        <v>1156</v>
      </c>
      <c r="F100" s="1">
        <f>IFERROR(__xludf.DUMMYFUNCTION("""COMPUTED_VALUE"""),69097.0)</f>
        <v>69097</v>
      </c>
      <c r="G100" s="2" t="s">
        <v>7</v>
      </c>
    </row>
    <row r="101">
      <c r="A101" s="3">
        <f>IFERROR(__xludf.DUMMYFUNCTION("""COMPUTED_VALUE"""),44707.6875)</f>
        <v>44707.6875</v>
      </c>
      <c r="B101" s="1">
        <f>IFERROR(__xludf.DUMMYFUNCTION("""COMPUTED_VALUE"""),1148.0)</f>
        <v>1148</v>
      </c>
      <c r="C101" s="1">
        <f>IFERROR(__xludf.DUMMYFUNCTION("""COMPUTED_VALUE"""),1162.32)</f>
        <v>1162.32</v>
      </c>
      <c r="D101" s="1">
        <f>IFERROR(__xludf.DUMMYFUNCTION("""COMPUTED_VALUE"""),1132.0)</f>
        <v>1132</v>
      </c>
      <c r="E101" s="1">
        <f>IFERROR(__xludf.DUMMYFUNCTION("""COMPUTED_VALUE"""),1132.0)</f>
        <v>1132</v>
      </c>
      <c r="F101" s="1">
        <f>IFERROR(__xludf.DUMMYFUNCTION("""COMPUTED_VALUE"""),94265.0)</f>
        <v>94265</v>
      </c>
      <c r="G101" s="2" t="s">
        <v>7</v>
      </c>
    </row>
    <row r="102">
      <c r="A102" s="3">
        <f>IFERROR(__xludf.DUMMYFUNCTION("""COMPUTED_VALUE"""),44708.6875)</f>
        <v>44708.6875</v>
      </c>
      <c r="B102" s="1">
        <f>IFERROR(__xludf.DUMMYFUNCTION("""COMPUTED_VALUE"""),1136.0)</f>
        <v>1136</v>
      </c>
      <c r="C102" s="1">
        <f>IFERROR(__xludf.DUMMYFUNCTION("""COMPUTED_VALUE"""),1136.0)</f>
        <v>1136</v>
      </c>
      <c r="D102" s="1">
        <f>IFERROR(__xludf.DUMMYFUNCTION("""COMPUTED_VALUE"""),1113.92)</f>
        <v>1113.92</v>
      </c>
      <c r="E102" s="1">
        <f>IFERROR(__xludf.DUMMYFUNCTION("""COMPUTED_VALUE"""),1124.0)</f>
        <v>1124</v>
      </c>
      <c r="F102" s="1">
        <f>IFERROR(__xludf.DUMMYFUNCTION("""COMPUTED_VALUE"""),74663.0)</f>
        <v>74663</v>
      </c>
      <c r="G102" s="2" t="s">
        <v>7</v>
      </c>
    </row>
    <row r="103">
      <c r="A103" s="3">
        <f>IFERROR(__xludf.DUMMYFUNCTION("""COMPUTED_VALUE"""),44711.6875)</f>
        <v>44711.6875</v>
      </c>
      <c r="B103" s="1">
        <f>IFERROR(__xludf.DUMMYFUNCTION("""COMPUTED_VALUE"""),1118.0)</f>
        <v>1118</v>
      </c>
      <c r="C103" s="1">
        <f>IFERROR(__xludf.DUMMYFUNCTION("""COMPUTED_VALUE"""),1138.23)</f>
        <v>1138.23</v>
      </c>
      <c r="D103" s="1">
        <f>IFERROR(__xludf.DUMMYFUNCTION("""COMPUTED_VALUE"""),1102.0)</f>
        <v>1102</v>
      </c>
      <c r="E103" s="1">
        <f>IFERROR(__xludf.DUMMYFUNCTION("""COMPUTED_VALUE"""),1114.0)</f>
        <v>1114</v>
      </c>
      <c r="F103" s="1">
        <f>IFERROR(__xludf.DUMMYFUNCTION("""COMPUTED_VALUE"""),81027.0)</f>
        <v>81027</v>
      </c>
      <c r="G103" s="2" t="s">
        <v>7</v>
      </c>
    </row>
    <row r="104">
      <c r="A104" s="3">
        <f>IFERROR(__xludf.DUMMYFUNCTION("""COMPUTED_VALUE"""),44712.6875)</f>
        <v>44712.6875</v>
      </c>
      <c r="B104" s="1">
        <f>IFERROR(__xludf.DUMMYFUNCTION("""COMPUTED_VALUE"""),1130.0)</f>
        <v>1130</v>
      </c>
      <c r="C104" s="1">
        <f>IFERROR(__xludf.DUMMYFUNCTION("""COMPUTED_VALUE"""),1130.0)</f>
        <v>1130</v>
      </c>
      <c r="D104" s="1">
        <f>IFERROR(__xludf.DUMMYFUNCTION("""COMPUTED_VALUE"""),1080.0)</f>
        <v>1080</v>
      </c>
      <c r="E104" s="1">
        <f>IFERROR(__xludf.DUMMYFUNCTION("""COMPUTED_VALUE"""),1086.0)</f>
        <v>1086</v>
      </c>
      <c r="F104" s="1">
        <f>IFERROR(__xludf.DUMMYFUNCTION("""COMPUTED_VALUE"""),45177.0)</f>
        <v>45177</v>
      </c>
      <c r="G104" s="2" t="s">
        <v>7</v>
      </c>
    </row>
    <row r="105">
      <c r="A105" s="3">
        <f>IFERROR(__xludf.DUMMYFUNCTION("""COMPUTED_VALUE"""),44713.6875)</f>
        <v>44713.6875</v>
      </c>
      <c r="B105" s="1">
        <f>IFERROR(__xludf.DUMMYFUNCTION("""COMPUTED_VALUE"""),1100.0)</f>
        <v>1100</v>
      </c>
      <c r="C105" s="1">
        <f>IFERROR(__xludf.DUMMYFUNCTION("""COMPUTED_VALUE"""),1100.0)</f>
        <v>1100</v>
      </c>
      <c r="D105" s="1">
        <f>IFERROR(__xludf.DUMMYFUNCTION("""COMPUTED_VALUE"""),1058.27)</f>
        <v>1058.27</v>
      </c>
      <c r="E105" s="1">
        <f>IFERROR(__xludf.DUMMYFUNCTION("""COMPUTED_VALUE"""),1062.0)</f>
        <v>1062</v>
      </c>
      <c r="F105" s="1">
        <f>IFERROR(__xludf.DUMMYFUNCTION("""COMPUTED_VALUE"""),45786.0)</f>
        <v>45786</v>
      </c>
      <c r="G105" s="2" t="s">
        <v>7</v>
      </c>
    </row>
    <row r="106">
      <c r="A106" s="3">
        <f>IFERROR(__xludf.DUMMYFUNCTION("""COMPUTED_VALUE"""),44718.6875)</f>
        <v>44718.6875</v>
      </c>
      <c r="B106" s="1">
        <f>IFERROR(__xludf.DUMMYFUNCTION("""COMPUTED_VALUE"""),1080.0)</f>
        <v>1080</v>
      </c>
      <c r="C106" s="1">
        <f>IFERROR(__xludf.DUMMYFUNCTION("""COMPUTED_VALUE"""),1088.0)</f>
        <v>1088</v>
      </c>
      <c r="D106" s="1">
        <f>IFERROR(__xludf.DUMMYFUNCTION("""COMPUTED_VALUE"""),1060.0)</f>
        <v>1060</v>
      </c>
      <c r="E106" s="1">
        <f>IFERROR(__xludf.DUMMYFUNCTION("""COMPUTED_VALUE"""),1068.0)</f>
        <v>1068</v>
      </c>
      <c r="F106" s="1">
        <f>IFERROR(__xludf.DUMMYFUNCTION("""COMPUTED_VALUE"""),186394.0)</f>
        <v>186394</v>
      </c>
      <c r="G106" s="2" t="s">
        <v>7</v>
      </c>
    </row>
    <row r="107">
      <c r="A107" s="3">
        <f>IFERROR(__xludf.DUMMYFUNCTION("""COMPUTED_VALUE"""),44719.6875)</f>
        <v>44719.6875</v>
      </c>
      <c r="B107" s="1">
        <f>IFERROR(__xludf.DUMMYFUNCTION("""COMPUTED_VALUE"""),1074.0)</f>
        <v>1074</v>
      </c>
      <c r="C107" s="1">
        <f>IFERROR(__xludf.DUMMYFUNCTION("""COMPUTED_VALUE"""),1074.0)</f>
        <v>1074</v>
      </c>
      <c r="D107" s="1">
        <f>IFERROR(__xludf.DUMMYFUNCTION("""COMPUTED_VALUE"""),1044.0)</f>
        <v>1044</v>
      </c>
      <c r="E107" s="1">
        <f>IFERROR(__xludf.DUMMYFUNCTION("""COMPUTED_VALUE"""),1048.0)</f>
        <v>1048</v>
      </c>
      <c r="F107" s="1">
        <f>IFERROR(__xludf.DUMMYFUNCTION("""COMPUTED_VALUE"""),102766.0)</f>
        <v>102766</v>
      </c>
      <c r="G107" s="2" t="s">
        <v>7</v>
      </c>
    </row>
    <row r="108">
      <c r="A108" s="3">
        <f>IFERROR(__xludf.DUMMYFUNCTION("""COMPUTED_VALUE"""),44720.6875)</f>
        <v>44720.6875</v>
      </c>
      <c r="B108" s="1">
        <f>IFERROR(__xludf.DUMMYFUNCTION("""COMPUTED_VALUE"""),1048.0)</f>
        <v>1048</v>
      </c>
      <c r="C108" s="1">
        <f>IFERROR(__xludf.DUMMYFUNCTION("""COMPUTED_VALUE"""),1078.0)</f>
        <v>1078</v>
      </c>
      <c r="D108" s="1">
        <f>IFERROR(__xludf.DUMMYFUNCTION("""COMPUTED_VALUE"""),1046.0)</f>
        <v>1046</v>
      </c>
      <c r="E108" s="1">
        <f>IFERROR(__xludf.DUMMYFUNCTION("""COMPUTED_VALUE"""),1068.0)</f>
        <v>1068</v>
      </c>
      <c r="F108" s="1">
        <f>IFERROR(__xludf.DUMMYFUNCTION("""COMPUTED_VALUE"""),83751.0)</f>
        <v>83751</v>
      </c>
      <c r="G108" s="2" t="s">
        <v>7</v>
      </c>
    </row>
    <row r="109">
      <c r="A109" s="3">
        <f>IFERROR(__xludf.DUMMYFUNCTION("""COMPUTED_VALUE"""),44721.6875)</f>
        <v>44721.6875</v>
      </c>
      <c r="B109" s="1">
        <f>IFERROR(__xludf.DUMMYFUNCTION("""COMPUTED_VALUE"""),1050.0)</f>
        <v>1050</v>
      </c>
      <c r="C109" s="1">
        <f>IFERROR(__xludf.DUMMYFUNCTION("""COMPUTED_VALUE"""),1080.0)</f>
        <v>1080</v>
      </c>
      <c r="D109" s="1">
        <f>IFERROR(__xludf.DUMMYFUNCTION("""COMPUTED_VALUE"""),1050.0)</f>
        <v>1050</v>
      </c>
      <c r="E109" s="1">
        <f>IFERROR(__xludf.DUMMYFUNCTION("""COMPUTED_VALUE"""),1060.0)</f>
        <v>1060</v>
      </c>
      <c r="F109" s="1">
        <f>IFERROR(__xludf.DUMMYFUNCTION("""COMPUTED_VALUE"""),89838.0)</f>
        <v>89838</v>
      </c>
      <c r="G109" s="2" t="s">
        <v>7</v>
      </c>
    </row>
    <row r="110">
      <c r="A110" s="3">
        <f>IFERROR(__xludf.DUMMYFUNCTION("""COMPUTED_VALUE"""),44722.6875)</f>
        <v>44722.6875</v>
      </c>
      <c r="B110" s="1">
        <f>IFERROR(__xludf.DUMMYFUNCTION("""COMPUTED_VALUE"""),1058.0)</f>
        <v>1058</v>
      </c>
      <c r="C110" s="1">
        <f>IFERROR(__xludf.DUMMYFUNCTION("""COMPUTED_VALUE"""),1066.0)</f>
        <v>1066</v>
      </c>
      <c r="D110" s="1">
        <f>IFERROR(__xludf.DUMMYFUNCTION("""COMPUTED_VALUE"""),1037.56)</f>
        <v>1037.56</v>
      </c>
      <c r="E110" s="1">
        <f>IFERROR(__xludf.DUMMYFUNCTION("""COMPUTED_VALUE"""),1040.0)</f>
        <v>1040</v>
      </c>
      <c r="F110" s="1">
        <f>IFERROR(__xludf.DUMMYFUNCTION("""COMPUTED_VALUE"""),40435.0)</f>
        <v>40435</v>
      </c>
      <c r="G110" s="2" t="s">
        <v>7</v>
      </c>
    </row>
    <row r="111">
      <c r="A111" s="3">
        <f>IFERROR(__xludf.DUMMYFUNCTION("""COMPUTED_VALUE"""),44725.6875)</f>
        <v>44725.6875</v>
      </c>
      <c r="B111" s="1">
        <f>IFERROR(__xludf.DUMMYFUNCTION("""COMPUTED_VALUE"""),1034.0)</f>
        <v>1034</v>
      </c>
      <c r="C111" s="1">
        <f>IFERROR(__xludf.DUMMYFUNCTION("""COMPUTED_VALUE"""),1044.0)</f>
        <v>1044</v>
      </c>
      <c r="D111" s="1">
        <f>IFERROR(__xludf.DUMMYFUNCTION("""COMPUTED_VALUE"""),1022.0)</f>
        <v>1022</v>
      </c>
      <c r="E111" s="1">
        <f>IFERROR(__xludf.DUMMYFUNCTION("""COMPUTED_VALUE"""),1022.0)</f>
        <v>1022</v>
      </c>
      <c r="F111" s="1">
        <f>IFERROR(__xludf.DUMMYFUNCTION("""COMPUTED_VALUE"""),30073.0)</f>
        <v>30073</v>
      </c>
      <c r="G111" s="2" t="s">
        <v>7</v>
      </c>
    </row>
    <row r="112">
      <c r="A112" s="3">
        <f>IFERROR(__xludf.DUMMYFUNCTION("""COMPUTED_VALUE"""),44726.6875)</f>
        <v>44726.6875</v>
      </c>
      <c r="B112" s="1">
        <f>IFERROR(__xludf.DUMMYFUNCTION("""COMPUTED_VALUE"""),1000.0)</f>
        <v>1000</v>
      </c>
      <c r="C112" s="1">
        <f>IFERROR(__xludf.DUMMYFUNCTION("""COMPUTED_VALUE"""),1034.0)</f>
        <v>1034</v>
      </c>
      <c r="D112" s="1">
        <f>IFERROR(__xludf.DUMMYFUNCTION("""COMPUTED_VALUE"""),1000.0)</f>
        <v>1000</v>
      </c>
      <c r="E112" s="1">
        <f>IFERROR(__xludf.DUMMYFUNCTION("""COMPUTED_VALUE"""),1006.0)</f>
        <v>1006</v>
      </c>
      <c r="F112" s="1">
        <f>IFERROR(__xludf.DUMMYFUNCTION("""COMPUTED_VALUE"""),84689.0)</f>
        <v>84689</v>
      </c>
      <c r="G112" s="2" t="s">
        <v>7</v>
      </c>
    </row>
    <row r="113">
      <c r="A113" s="3">
        <f>IFERROR(__xludf.DUMMYFUNCTION("""COMPUTED_VALUE"""),44727.6875)</f>
        <v>44727.6875</v>
      </c>
      <c r="B113" s="1">
        <f>IFERROR(__xludf.DUMMYFUNCTION("""COMPUTED_VALUE"""),1050.0)</f>
        <v>1050</v>
      </c>
      <c r="C113" s="1">
        <f>IFERROR(__xludf.DUMMYFUNCTION("""COMPUTED_VALUE"""),1050.0)</f>
        <v>1050</v>
      </c>
      <c r="D113" s="1">
        <f>IFERROR(__xludf.DUMMYFUNCTION("""COMPUTED_VALUE"""),1012.0)</f>
        <v>1012</v>
      </c>
      <c r="E113" s="1">
        <f>IFERROR(__xludf.DUMMYFUNCTION("""COMPUTED_VALUE"""),1026.0)</f>
        <v>1026</v>
      </c>
      <c r="F113" s="1">
        <f>IFERROR(__xludf.DUMMYFUNCTION("""COMPUTED_VALUE"""),49378.0)</f>
        <v>49378</v>
      </c>
      <c r="G113" s="2" t="s">
        <v>7</v>
      </c>
    </row>
    <row r="114">
      <c r="A114" s="3">
        <f>IFERROR(__xludf.DUMMYFUNCTION("""COMPUTED_VALUE"""),44728.6875)</f>
        <v>44728.6875</v>
      </c>
      <c r="B114" s="1">
        <f>IFERROR(__xludf.DUMMYFUNCTION("""COMPUTED_VALUE"""),1024.0)</f>
        <v>1024</v>
      </c>
      <c r="C114" s="1">
        <f>IFERROR(__xludf.DUMMYFUNCTION("""COMPUTED_VALUE"""),1030.0)</f>
        <v>1030</v>
      </c>
      <c r="D114" s="1">
        <f>IFERROR(__xludf.DUMMYFUNCTION("""COMPUTED_VALUE"""),1008.0)</f>
        <v>1008</v>
      </c>
      <c r="E114" s="1">
        <f>IFERROR(__xludf.DUMMYFUNCTION("""COMPUTED_VALUE"""),1024.0)</f>
        <v>1024</v>
      </c>
      <c r="F114" s="1">
        <f>IFERROR(__xludf.DUMMYFUNCTION("""COMPUTED_VALUE"""),116598.0)</f>
        <v>116598</v>
      </c>
      <c r="G114" s="2" t="s">
        <v>7</v>
      </c>
    </row>
    <row r="115">
      <c r="A115" s="3">
        <f>IFERROR(__xludf.DUMMYFUNCTION("""COMPUTED_VALUE"""),44729.6875)</f>
        <v>44729.6875</v>
      </c>
      <c r="B115" s="1">
        <f>IFERROR(__xludf.DUMMYFUNCTION("""COMPUTED_VALUE"""),1026.0)</f>
        <v>1026</v>
      </c>
      <c r="C115" s="1">
        <f>IFERROR(__xludf.DUMMYFUNCTION("""COMPUTED_VALUE"""),1052.0)</f>
        <v>1052</v>
      </c>
      <c r="D115" s="1">
        <f>IFERROR(__xludf.DUMMYFUNCTION("""COMPUTED_VALUE"""),1004.0)</f>
        <v>1004</v>
      </c>
      <c r="E115" s="1">
        <f>IFERROR(__xludf.DUMMYFUNCTION("""COMPUTED_VALUE"""),1038.0)</f>
        <v>1038</v>
      </c>
      <c r="F115" s="1">
        <f>IFERROR(__xludf.DUMMYFUNCTION("""COMPUTED_VALUE"""),78470.0)</f>
        <v>78470</v>
      </c>
      <c r="G115" s="2" t="s">
        <v>7</v>
      </c>
    </row>
    <row r="116">
      <c r="A116" s="3">
        <f>IFERROR(__xludf.DUMMYFUNCTION("""COMPUTED_VALUE"""),44732.6875)</f>
        <v>44732.6875</v>
      </c>
      <c r="B116" s="1">
        <f>IFERROR(__xludf.DUMMYFUNCTION("""COMPUTED_VALUE"""),1038.0)</f>
        <v>1038</v>
      </c>
      <c r="C116" s="1">
        <f>IFERROR(__xludf.DUMMYFUNCTION("""COMPUTED_VALUE"""),1064.0)</f>
        <v>1064</v>
      </c>
      <c r="D116" s="1">
        <f>IFERROR(__xludf.DUMMYFUNCTION("""COMPUTED_VALUE"""),1032.0)</f>
        <v>1032</v>
      </c>
      <c r="E116" s="1">
        <f>IFERROR(__xludf.DUMMYFUNCTION("""COMPUTED_VALUE"""),1064.0)</f>
        <v>1064</v>
      </c>
      <c r="F116" s="1">
        <f>IFERROR(__xludf.DUMMYFUNCTION("""COMPUTED_VALUE"""),37068.0)</f>
        <v>37068</v>
      </c>
      <c r="G116" s="2" t="s">
        <v>7</v>
      </c>
    </row>
    <row r="117">
      <c r="A117" s="3">
        <f>IFERROR(__xludf.DUMMYFUNCTION("""COMPUTED_VALUE"""),44733.6875)</f>
        <v>44733.6875</v>
      </c>
      <c r="B117" s="1">
        <f>IFERROR(__xludf.DUMMYFUNCTION("""COMPUTED_VALUE"""),1030.0)</f>
        <v>1030</v>
      </c>
      <c r="C117" s="1">
        <f>IFERROR(__xludf.DUMMYFUNCTION("""COMPUTED_VALUE"""),1072.0)</f>
        <v>1072</v>
      </c>
      <c r="D117" s="1">
        <f>IFERROR(__xludf.DUMMYFUNCTION("""COMPUTED_VALUE"""),1020.0)</f>
        <v>1020</v>
      </c>
      <c r="E117" s="1">
        <f>IFERROR(__xludf.DUMMYFUNCTION("""COMPUTED_VALUE"""),1030.0)</f>
        <v>1030</v>
      </c>
      <c r="F117" s="1">
        <f>IFERROR(__xludf.DUMMYFUNCTION("""COMPUTED_VALUE"""),33419.0)</f>
        <v>33419</v>
      </c>
      <c r="G117" s="2" t="s">
        <v>7</v>
      </c>
    </row>
    <row r="118">
      <c r="A118" s="3">
        <f>IFERROR(__xludf.DUMMYFUNCTION("""COMPUTED_VALUE"""),44734.6875)</f>
        <v>44734.6875</v>
      </c>
      <c r="B118" s="1">
        <f>IFERROR(__xludf.DUMMYFUNCTION("""COMPUTED_VALUE"""),1022.0)</f>
        <v>1022</v>
      </c>
      <c r="C118" s="1">
        <f>IFERROR(__xludf.DUMMYFUNCTION("""COMPUTED_VALUE"""),1042.0)</f>
        <v>1042</v>
      </c>
      <c r="D118" s="1">
        <f>IFERROR(__xludf.DUMMYFUNCTION("""COMPUTED_VALUE"""),1022.0)</f>
        <v>1022</v>
      </c>
      <c r="E118" s="1">
        <f>IFERROR(__xludf.DUMMYFUNCTION("""COMPUTED_VALUE"""),1042.0)</f>
        <v>1042</v>
      </c>
      <c r="F118" s="1">
        <f>IFERROR(__xludf.DUMMYFUNCTION("""COMPUTED_VALUE"""),43841.0)</f>
        <v>43841</v>
      </c>
      <c r="G118" s="2" t="s">
        <v>7</v>
      </c>
    </row>
    <row r="119">
      <c r="A119" s="3">
        <f>IFERROR(__xludf.DUMMYFUNCTION("""COMPUTED_VALUE"""),44735.6875)</f>
        <v>44735.6875</v>
      </c>
      <c r="B119" s="1">
        <f>IFERROR(__xludf.DUMMYFUNCTION("""COMPUTED_VALUE"""),1040.0)</f>
        <v>1040</v>
      </c>
      <c r="C119" s="1">
        <f>IFERROR(__xludf.DUMMYFUNCTION("""COMPUTED_VALUE"""),1052.0)</f>
        <v>1052</v>
      </c>
      <c r="D119" s="1">
        <f>IFERROR(__xludf.DUMMYFUNCTION("""COMPUTED_VALUE"""),1032.0)</f>
        <v>1032</v>
      </c>
      <c r="E119" s="1">
        <f>IFERROR(__xludf.DUMMYFUNCTION("""COMPUTED_VALUE"""),1046.0)</f>
        <v>1046</v>
      </c>
      <c r="F119" s="1">
        <f>IFERROR(__xludf.DUMMYFUNCTION("""COMPUTED_VALUE"""),57832.0)</f>
        <v>57832</v>
      </c>
      <c r="G119" s="2" t="s">
        <v>7</v>
      </c>
    </row>
    <row r="120">
      <c r="A120" s="3">
        <f>IFERROR(__xludf.DUMMYFUNCTION("""COMPUTED_VALUE"""),44736.6875)</f>
        <v>44736.6875</v>
      </c>
      <c r="B120" s="1">
        <f>IFERROR(__xludf.DUMMYFUNCTION("""COMPUTED_VALUE"""),1022.0)</f>
        <v>1022</v>
      </c>
      <c r="C120" s="1">
        <f>IFERROR(__xludf.DUMMYFUNCTION("""COMPUTED_VALUE"""),1060.0)</f>
        <v>1060</v>
      </c>
      <c r="D120" s="1">
        <f>IFERROR(__xludf.DUMMYFUNCTION("""COMPUTED_VALUE"""),1022.0)</f>
        <v>1022</v>
      </c>
      <c r="E120" s="1">
        <f>IFERROR(__xludf.DUMMYFUNCTION("""COMPUTED_VALUE"""),1056.0)</f>
        <v>1056</v>
      </c>
      <c r="F120" s="1">
        <f>IFERROR(__xludf.DUMMYFUNCTION("""COMPUTED_VALUE"""),27800.0)</f>
        <v>27800</v>
      </c>
      <c r="G120" s="2" t="s">
        <v>7</v>
      </c>
    </row>
    <row r="121">
      <c r="A121" s="3">
        <f>IFERROR(__xludf.DUMMYFUNCTION("""COMPUTED_VALUE"""),44739.6875)</f>
        <v>44739.6875</v>
      </c>
      <c r="B121" s="1">
        <f>IFERROR(__xludf.DUMMYFUNCTION("""COMPUTED_VALUE"""),1056.0)</f>
        <v>1056</v>
      </c>
      <c r="C121" s="1">
        <f>IFERROR(__xludf.DUMMYFUNCTION("""COMPUTED_VALUE"""),1078.0)</f>
        <v>1078</v>
      </c>
      <c r="D121" s="1">
        <f>IFERROR(__xludf.DUMMYFUNCTION("""COMPUTED_VALUE"""),1055.04)</f>
        <v>1055.04</v>
      </c>
      <c r="E121" s="1">
        <f>IFERROR(__xludf.DUMMYFUNCTION("""COMPUTED_VALUE"""),1064.0)</f>
        <v>1064</v>
      </c>
      <c r="F121" s="1">
        <f>IFERROR(__xludf.DUMMYFUNCTION("""COMPUTED_VALUE"""),67606.0)</f>
        <v>67606</v>
      </c>
      <c r="G121" s="2" t="s">
        <v>7</v>
      </c>
    </row>
    <row r="122">
      <c r="A122" s="3">
        <f>IFERROR(__xludf.DUMMYFUNCTION("""COMPUTED_VALUE"""),44740.6875)</f>
        <v>44740.6875</v>
      </c>
      <c r="B122" s="1">
        <f>IFERROR(__xludf.DUMMYFUNCTION("""COMPUTED_VALUE"""),1062.0)</f>
        <v>1062</v>
      </c>
      <c r="C122" s="1">
        <f>IFERROR(__xludf.DUMMYFUNCTION("""COMPUTED_VALUE"""),1070.76)</f>
        <v>1070.76</v>
      </c>
      <c r="D122" s="1">
        <f>IFERROR(__xludf.DUMMYFUNCTION("""COMPUTED_VALUE"""),1054.0)</f>
        <v>1054</v>
      </c>
      <c r="E122" s="1">
        <f>IFERROR(__xludf.DUMMYFUNCTION("""COMPUTED_VALUE"""),1062.0)</f>
        <v>1062</v>
      </c>
      <c r="F122" s="1">
        <f>IFERROR(__xludf.DUMMYFUNCTION("""COMPUTED_VALUE"""),30117.0)</f>
        <v>30117</v>
      </c>
      <c r="G122" s="2" t="s">
        <v>7</v>
      </c>
    </row>
    <row r="123">
      <c r="A123" s="3">
        <f>IFERROR(__xludf.DUMMYFUNCTION("""COMPUTED_VALUE"""),44741.6875)</f>
        <v>44741.6875</v>
      </c>
      <c r="B123" s="1">
        <f>IFERROR(__xludf.DUMMYFUNCTION("""COMPUTED_VALUE"""),1056.0)</f>
        <v>1056</v>
      </c>
      <c r="C123" s="1">
        <f>IFERROR(__xludf.DUMMYFUNCTION("""COMPUTED_VALUE"""),1060.0)</f>
        <v>1060</v>
      </c>
      <c r="D123" s="1">
        <f>IFERROR(__xludf.DUMMYFUNCTION("""COMPUTED_VALUE"""),1038.0)</f>
        <v>1038</v>
      </c>
      <c r="E123" s="1">
        <f>IFERROR(__xludf.DUMMYFUNCTION("""COMPUTED_VALUE"""),1040.0)</f>
        <v>1040</v>
      </c>
      <c r="F123" s="1">
        <f>IFERROR(__xludf.DUMMYFUNCTION("""COMPUTED_VALUE"""),42359.0)</f>
        <v>42359</v>
      </c>
      <c r="G123" s="2" t="s">
        <v>7</v>
      </c>
    </row>
    <row r="124">
      <c r="A124" s="3">
        <f>IFERROR(__xludf.DUMMYFUNCTION("""COMPUTED_VALUE"""),44742.6875)</f>
        <v>44742.6875</v>
      </c>
      <c r="B124" s="1">
        <f>IFERROR(__xludf.DUMMYFUNCTION("""COMPUTED_VALUE"""),1020.0)</f>
        <v>1020</v>
      </c>
      <c r="C124" s="1">
        <f>IFERROR(__xludf.DUMMYFUNCTION("""COMPUTED_VALUE"""),1036.0)</f>
        <v>1036</v>
      </c>
      <c r="D124" s="1">
        <f>IFERROR(__xludf.DUMMYFUNCTION("""COMPUTED_VALUE"""),1014.0)</f>
        <v>1014</v>
      </c>
      <c r="E124" s="1">
        <f>IFERROR(__xludf.DUMMYFUNCTION("""COMPUTED_VALUE"""),1022.0)</f>
        <v>1022</v>
      </c>
      <c r="F124" s="1">
        <f>IFERROR(__xludf.DUMMYFUNCTION("""COMPUTED_VALUE"""),71444.0)</f>
        <v>71444</v>
      </c>
      <c r="G124" s="2" t="s">
        <v>7</v>
      </c>
    </row>
    <row r="125">
      <c r="A125" s="3">
        <f>IFERROR(__xludf.DUMMYFUNCTION("""COMPUTED_VALUE"""),44743.6875)</f>
        <v>44743.6875</v>
      </c>
      <c r="B125" s="1">
        <f>IFERROR(__xludf.DUMMYFUNCTION("""COMPUTED_VALUE"""),1010.0)</f>
        <v>1010</v>
      </c>
      <c r="C125" s="1">
        <f>IFERROR(__xludf.DUMMYFUNCTION("""COMPUTED_VALUE"""),1031.44)</f>
        <v>1031.44</v>
      </c>
      <c r="D125" s="1">
        <f>IFERROR(__xludf.DUMMYFUNCTION("""COMPUTED_VALUE"""),1004.0)</f>
        <v>1004</v>
      </c>
      <c r="E125" s="1">
        <f>IFERROR(__xludf.DUMMYFUNCTION("""COMPUTED_VALUE"""),1018.0)</f>
        <v>1018</v>
      </c>
      <c r="F125" s="1">
        <f>IFERROR(__xludf.DUMMYFUNCTION("""COMPUTED_VALUE"""),34409.0)</f>
        <v>34409</v>
      </c>
      <c r="G125" s="2" t="s">
        <v>7</v>
      </c>
    </row>
    <row r="126">
      <c r="A126" s="3">
        <f>IFERROR(__xludf.DUMMYFUNCTION("""COMPUTED_VALUE"""),44746.6875)</f>
        <v>44746.6875</v>
      </c>
      <c r="B126" s="1">
        <f>IFERROR(__xludf.DUMMYFUNCTION("""COMPUTED_VALUE"""),1028.0)</f>
        <v>1028</v>
      </c>
      <c r="C126" s="1">
        <f>IFERROR(__xludf.DUMMYFUNCTION("""COMPUTED_VALUE"""),1035.25)</f>
        <v>1035.25</v>
      </c>
      <c r="D126" s="1">
        <f>IFERROR(__xludf.DUMMYFUNCTION("""COMPUTED_VALUE"""),1016.0)</f>
        <v>1016</v>
      </c>
      <c r="E126" s="1">
        <f>IFERROR(__xludf.DUMMYFUNCTION("""COMPUTED_VALUE"""),1018.0)</f>
        <v>1018</v>
      </c>
      <c r="F126" s="1">
        <f>IFERROR(__xludf.DUMMYFUNCTION("""COMPUTED_VALUE"""),41669.0)</f>
        <v>41669</v>
      </c>
      <c r="G126" s="2" t="s">
        <v>7</v>
      </c>
    </row>
    <row r="127">
      <c r="A127" s="3">
        <f>IFERROR(__xludf.DUMMYFUNCTION("""COMPUTED_VALUE"""),44747.6875)</f>
        <v>44747.6875</v>
      </c>
      <c r="B127" s="1">
        <f>IFERROR(__xludf.DUMMYFUNCTION("""COMPUTED_VALUE"""),1040.0)</f>
        <v>1040</v>
      </c>
      <c r="C127" s="1">
        <f>IFERROR(__xludf.DUMMYFUNCTION("""COMPUTED_VALUE"""),1040.0)</f>
        <v>1040</v>
      </c>
      <c r="D127" s="1">
        <f>IFERROR(__xludf.DUMMYFUNCTION("""COMPUTED_VALUE"""),993.0)</f>
        <v>993</v>
      </c>
      <c r="E127" s="1">
        <f>IFERROR(__xludf.DUMMYFUNCTION("""COMPUTED_VALUE"""),996.0)</f>
        <v>996</v>
      </c>
      <c r="F127" s="1">
        <f>IFERROR(__xludf.DUMMYFUNCTION("""COMPUTED_VALUE"""),118160.0)</f>
        <v>118160</v>
      </c>
      <c r="G127" s="2" t="s">
        <v>7</v>
      </c>
    </row>
    <row r="128">
      <c r="A128" s="3">
        <f>IFERROR(__xludf.DUMMYFUNCTION("""COMPUTED_VALUE"""),44748.6875)</f>
        <v>44748.6875</v>
      </c>
      <c r="B128" s="1">
        <f>IFERROR(__xludf.DUMMYFUNCTION("""COMPUTED_VALUE"""),1010.0)</f>
        <v>1010</v>
      </c>
      <c r="C128" s="1">
        <f>IFERROR(__xludf.DUMMYFUNCTION("""COMPUTED_VALUE"""),1018.0)</f>
        <v>1018</v>
      </c>
      <c r="D128" s="1">
        <f>IFERROR(__xludf.DUMMYFUNCTION("""COMPUTED_VALUE"""),990.0)</f>
        <v>990</v>
      </c>
      <c r="E128" s="1">
        <f>IFERROR(__xludf.DUMMYFUNCTION("""COMPUTED_VALUE"""),990.0)</f>
        <v>990</v>
      </c>
      <c r="F128" s="1">
        <f>IFERROR(__xludf.DUMMYFUNCTION("""COMPUTED_VALUE"""),150365.0)</f>
        <v>150365</v>
      </c>
      <c r="G128" s="2" t="s">
        <v>7</v>
      </c>
    </row>
    <row r="129">
      <c r="A129" s="3">
        <f>IFERROR(__xludf.DUMMYFUNCTION("""COMPUTED_VALUE"""),44749.6875)</f>
        <v>44749.6875</v>
      </c>
      <c r="B129" s="1">
        <f>IFERROR(__xludf.DUMMYFUNCTION("""COMPUTED_VALUE"""),990.0)</f>
        <v>990</v>
      </c>
      <c r="C129" s="1">
        <f>IFERROR(__xludf.DUMMYFUNCTION("""COMPUTED_VALUE"""),999.0)</f>
        <v>999</v>
      </c>
      <c r="D129" s="1">
        <f>IFERROR(__xludf.DUMMYFUNCTION("""COMPUTED_VALUE"""),983.0)</f>
        <v>983</v>
      </c>
      <c r="E129" s="1">
        <f>IFERROR(__xludf.DUMMYFUNCTION("""COMPUTED_VALUE"""),991.0)</f>
        <v>991</v>
      </c>
      <c r="F129" s="1">
        <f>IFERROR(__xludf.DUMMYFUNCTION("""COMPUTED_VALUE"""),47957.0)</f>
        <v>47957</v>
      </c>
      <c r="G129" s="2" t="s">
        <v>7</v>
      </c>
    </row>
    <row r="130">
      <c r="A130" s="3">
        <f>IFERROR(__xludf.DUMMYFUNCTION("""COMPUTED_VALUE"""),44750.6875)</f>
        <v>44750.6875</v>
      </c>
      <c r="B130" s="1">
        <f>IFERROR(__xludf.DUMMYFUNCTION("""COMPUTED_VALUE"""),979.0)</f>
        <v>979</v>
      </c>
      <c r="C130" s="1">
        <f>IFERROR(__xludf.DUMMYFUNCTION("""COMPUTED_VALUE"""),990.0)</f>
        <v>990</v>
      </c>
      <c r="D130" s="1">
        <f>IFERROR(__xludf.DUMMYFUNCTION("""COMPUTED_VALUE"""),976.0)</f>
        <v>976</v>
      </c>
      <c r="E130" s="1">
        <f>IFERROR(__xludf.DUMMYFUNCTION("""COMPUTED_VALUE"""),985.0)</f>
        <v>985</v>
      </c>
      <c r="F130" s="1">
        <f>IFERROR(__xludf.DUMMYFUNCTION("""COMPUTED_VALUE"""),131487.0)</f>
        <v>131487</v>
      </c>
      <c r="G130" s="2" t="s">
        <v>7</v>
      </c>
    </row>
    <row r="131">
      <c r="A131" s="3">
        <f>IFERROR(__xludf.DUMMYFUNCTION("""COMPUTED_VALUE"""),44753.6875)</f>
        <v>44753.6875</v>
      </c>
      <c r="B131" s="1">
        <f>IFERROR(__xludf.DUMMYFUNCTION("""COMPUTED_VALUE"""),998.0)</f>
        <v>998</v>
      </c>
      <c r="C131" s="1">
        <f>IFERROR(__xludf.DUMMYFUNCTION("""COMPUTED_VALUE"""),998.0)</f>
        <v>998</v>
      </c>
      <c r="D131" s="1">
        <f>IFERROR(__xludf.DUMMYFUNCTION("""COMPUTED_VALUE"""),979.0)</f>
        <v>979</v>
      </c>
      <c r="E131" s="1">
        <f>IFERROR(__xludf.DUMMYFUNCTION("""COMPUTED_VALUE"""),988.0)</f>
        <v>988</v>
      </c>
      <c r="F131" s="1">
        <f>IFERROR(__xludf.DUMMYFUNCTION("""COMPUTED_VALUE"""),60132.0)</f>
        <v>60132</v>
      </c>
      <c r="G131" s="2" t="s">
        <v>7</v>
      </c>
    </row>
    <row r="132">
      <c r="A132" s="3">
        <f>IFERROR(__xludf.DUMMYFUNCTION("""COMPUTED_VALUE"""),44754.6875)</f>
        <v>44754.6875</v>
      </c>
      <c r="B132" s="1">
        <f>IFERROR(__xludf.DUMMYFUNCTION("""COMPUTED_VALUE"""),985.0)</f>
        <v>985</v>
      </c>
      <c r="C132" s="1">
        <f>IFERROR(__xludf.DUMMYFUNCTION("""COMPUTED_VALUE"""),992.0)</f>
        <v>992</v>
      </c>
      <c r="D132" s="1">
        <f>IFERROR(__xludf.DUMMYFUNCTION("""COMPUTED_VALUE"""),980.0)</f>
        <v>980</v>
      </c>
      <c r="E132" s="1">
        <f>IFERROR(__xludf.DUMMYFUNCTION("""COMPUTED_VALUE"""),983.0)</f>
        <v>983</v>
      </c>
      <c r="F132" s="1">
        <f>IFERROR(__xludf.DUMMYFUNCTION("""COMPUTED_VALUE"""),23072.0)</f>
        <v>23072</v>
      </c>
      <c r="G132" s="2" t="s">
        <v>7</v>
      </c>
    </row>
    <row r="133">
      <c r="A133" s="3">
        <f>IFERROR(__xludf.DUMMYFUNCTION("""COMPUTED_VALUE"""),44755.6875)</f>
        <v>44755.6875</v>
      </c>
      <c r="B133" s="1">
        <f>IFERROR(__xludf.DUMMYFUNCTION("""COMPUTED_VALUE"""),1006.0)</f>
        <v>1006</v>
      </c>
      <c r="C133" s="1">
        <f>IFERROR(__xludf.DUMMYFUNCTION("""COMPUTED_VALUE"""),1006.0)</f>
        <v>1006</v>
      </c>
      <c r="D133" s="1">
        <f>IFERROR(__xludf.DUMMYFUNCTION("""COMPUTED_VALUE"""),979.0)</f>
        <v>979</v>
      </c>
      <c r="E133" s="1">
        <f>IFERROR(__xludf.DUMMYFUNCTION("""COMPUTED_VALUE"""),982.0)</f>
        <v>982</v>
      </c>
      <c r="F133" s="1">
        <f>IFERROR(__xludf.DUMMYFUNCTION("""COMPUTED_VALUE"""),56276.0)</f>
        <v>56276</v>
      </c>
      <c r="G133" s="2" t="s">
        <v>7</v>
      </c>
    </row>
    <row r="134">
      <c r="A134" s="3">
        <f>IFERROR(__xludf.DUMMYFUNCTION("""COMPUTED_VALUE"""),44756.6875)</f>
        <v>44756.6875</v>
      </c>
      <c r="B134" s="1">
        <f>IFERROR(__xludf.DUMMYFUNCTION("""COMPUTED_VALUE"""),984.0)</f>
        <v>984</v>
      </c>
      <c r="C134" s="1">
        <f>IFERROR(__xludf.DUMMYFUNCTION("""COMPUTED_VALUE"""),991.0)</f>
        <v>991</v>
      </c>
      <c r="D134" s="1">
        <f>IFERROR(__xludf.DUMMYFUNCTION("""COMPUTED_VALUE"""),961.0)</f>
        <v>961</v>
      </c>
      <c r="E134" s="1">
        <f>IFERROR(__xludf.DUMMYFUNCTION("""COMPUTED_VALUE"""),971.0)</f>
        <v>971</v>
      </c>
      <c r="F134" s="1">
        <f>IFERROR(__xludf.DUMMYFUNCTION("""COMPUTED_VALUE"""),41635.0)</f>
        <v>41635</v>
      </c>
      <c r="G134" s="2" t="s">
        <v>7</v>
      </c>
    </row>
    <row r="135">
      <c r="A135" s="3">
        <f>IFERROR(__xludf.DUMMYFUNCTION("""COMPUTED_VALUE"""),44757.6875)</f>
        <v>44757.6875</v>
      </c>
      <c r="B135" s="1">
        <f>IFERROR(__xludf.DUMMYFUNCTION("""COMPUTED_VALUE"""),971.0)</f>
        <v>971</v>
      </c>
      <c r="C135" s="1">
        <f>IFERROR(__xludf.DUMMYFUNCTION("""COMPUTED_VALUE"""),989.0)</f>
        <v>989</v>
      </c>
      <c r="D135" s="1">
        <f>IFERROR(__xludf.DUMMYFUNCTION("""COMPUTED_VALUE"""),970.34)</f>
        <v>970.34</v>
      </c>
      <c r="E135" s="1">
        <f>IFERROR(__xludf.DUMMYFUNCTION("""COMPUTED_VALUE"""),989.0)</f>
        <v>989</v>
      </c>
      <c r="F135" s="1">
        <f>IFERROR(__xludf.DUMMYFUNCTION("""COMPUTED_VALUE"""),28361.0)</f>
        <v>28361</v>
      </c>
      <c r="G135" s="2" t="s">
        <v>7</v>
      </c>
    </row>
    <row r="136">
      <c r="A136" s="3">
        <f>IFERROR(__xludf.DUMMYFUNCTION("""COMPUTED_VALUE"""),44760.6875)</f>
        <v>44760.6875</v>
      </c>
      <c r="B136" s="1">
        <f>IFERROR(__xludf.DUMMYFUNCTION("""COMPUTED_VALUE"""),1008.0)</f>
        <v>1008</v>
      </c>
      <c r="C136" s="1">
        <f>IFERROR(__xludf.DUMMYFUNCTION("""COMPUTED_VALUE"""),1010.0)</f>
        <v>1010</v>
      </c>
      <c r="D136" s="1">
        <f>IFERROR(__xludf.DUMMYFUNCTION("""COMPUTED_VALUE"""),998.0)</f>
        <v>998</v>
      </c>
      <c r="E136" s="1">
        <f>IFERROR(__xludf.DUMMYFUNCTION("""COMPUTED_VALUE"""),1004.0)</f>
        <v>1004</v>
      </c>
      <c r="F136" s="1">
        <f>IFERROR(__xludf.DUMMYFUNCTION("""COMPUTED_VALUE"""),25570.0)</f>
        <v>25570</v>
      </c>
      <c r="G136" s="2" t="s">
        <v>7</v>
      </c>
    </row>
    <row r="137">
      <c r="A137" s="3">
        <f>IFERROR(__xludf.DUMMYFUNCTION("""COMPUTED_VALUE"""),44761.6875)</f>
        <v>44761.6875</v>
      </c>
      <c r="B137" s="1">
        <f>IFERROR(__xludf.DUMMYFUNCTION("""COMPUTED_VALUE"""),990.0)</f>
        <v>990</v>
      </c>
      <c r="C137" s="1">
        <f>IFERROR(__xludf.DUMMYFUNCTION("""COMPUTED_VALUE"""),1046.0)</f>
        <v>1046</v>
      </c>
      <c r="D137" s="1">
        <f>IFERROR(__xludf.DUMMYFUNCTION("""COMPUTED_VALUE"""),990.0)</f>
        <v>990</v>
      </c>
      <c r="E137" s="1">
        <f>IFERROR(__xludf.DUMMYFUNCTION("""COMPUTED_VALUE"""),1030.0)</f>
        <v>1030</v>
      </c>
      <c r="F137" s="1">
        <f>IFERROR(__xludf.DUMMYFUNCTION("""COMPUTED_VALUE"""),50772.0)</f>
        <v>50772</v>
      </c>
      <c r="G137" s="2" t="s">
        <v>7</v>
      </c>
    </row>
    <row r="138">
      <c r="A138" s="3">
        <f>IFERROR(__xludf.DUMMYFUNCTION("""COMPUTED_VALUE"""),44762.6875)</f>
        <v>44762.6875</v>
      </c>
      <c r="B138" s="1">
        <f>IFERROR(__xludf.DUMMYFUNCTION("""COMPUTED_VALUE"""),1022.0)</f>
        <v>1022</v>
      </c>
      <c r="C138" s="1">
        <f>IFERROR(__xludf.DUMMYFUNCTION("""COMPUTED_VALUE"""),1042.0)</f>
        <v>1042</v>
      </c>
      <c r="D138" s="1">
        <f>IFERROR(__xludf.DUMMYFUNCTION("""COMPUTED_VALUE"""),1018.05)</f>
        <v>1018.05</v>
      </c>
      <c r="E138" s="1">
        <f>IFERROR(__xludf.DUMMYFUNCTION("""COMPUTED_VALUE"""),1038.0)</f>
        <v>1038</v>
      </c>
      <c r="F138" s="1">
        <f>IFERROR(__xludf.DUMMYFUNCTION("""COMPUTED_VALUE"""),48292.0)</f>
        <v>48292</v>
      </c>
      <c r="G138" s="2" t="s">
        <v>7</v>
      </c>
    </row>
    <row r="139">
      <c r="A139" s="3">
        <f>IFERROR(__xludf.DUMMYFUNCTION("""COMPUTED_VALUE"""),44763.6875)</f>
        <v>44763.6875</v>
      </c>
      <c r="B139" s="1">
        <f>IFERROR(__xludf.DUMMYFUNCTION("""COMPUTED_VALUE"""),1000.0)</f>
        <v>1000</v>
      </c>
      <c r="C139" s="1">
        <f>IFERROR(__xludf.DUMMYFUNCTION("""COMPUTED_VALUE"""),1064.0)</f>
        <v>1064</v>
      </c>
      <c r="D139" s="1">
        <f>IFERROR(__xludf.DUMMYFUNCTION("""COMPUTED_VALUE"""),1000.0)</f>
        <v>1000</v>
      </c>
      <c r="E139" s="1">
        <f>IFERROR(__xludf.DUMMYFUNCTION("""COMPUTED_VALUE"""),1056.0)</f>
        <v>1056</v>
      </c>
      <c r="F139" s="1">
        <f>IFERROR(__xludf.DUMMYFUNCTION("""COMPUTED_VALUE"""),37959.0)</f>
        <v>37959</v>
      </c>
      <c r="G139" s="2" t="s">
        <v>7</v>
      </c>
    </row>
    <row r="140">
      <c r="A140" s="3">
        <f>IFERROR(__xludf.DUMMYFUNCTION("""COMPUTED_VALUE"""),44764.6875)</f>
        <v>44764.6875</v>
      </c>
      <c r="B140" s="1">
        <f>IFERROR(__xludf.DUMMYFUNCTION("""COMPUTED_VALUE"""),1068.0)</f>
        <v>1068</v>
      </c>
      <c r="C140" s="1">
        <f>IFERROR(__xludf.DUMMYFUNCTION("""COMPUTED_VALUE"""),1080.0)</f>
        <v>1080</v>
      </c>
      <c r="D140" s="1">
        <f>IFERROR(__xludf.DUMMYFUNCTION("""COMPUTED_VALUE"""),1062.0)</f>
        <v>1062</v>
      </c>
      <c r="E140" s="1">
        <f>IFERROR(__xludf.DUMMYFUNCTION("""COMPUTED_VALUE"""),1072.0)</f>
        <v>1072</v>
      </c>
      <c r="F140" s="1">
        <f>IFERROR(__xludf.DUMMYFUNCTION("""COMPUTED_VALUE"""),38130.0)</f>
        <v>38130</v>
      </c>
      <c r="G140" s="2" t="s">
        <v>7</v>
      </c>
    </row>
    <row r="141">
      <c r="A141" s="3">
        <f>IFERROR(__xludf.DUMMYFUNCTION("""COMPUTED_VALUE"""),44767.6875)</f>
        <v>44767.6875</v>
      </c>
      <c r="B141" s="1">
        <f>IFERROR(__xludf.DUMMYFUNCTION("""COMPUTED_VALUE"""),1084.0)</f>
        <v>1084</v>
      </c>
      <c r="C141" s="1">
        <f>IFERROR(__xludf.DUMMYFUNCTION("""COMPUTED_VALUE"""),1086.0)</f>
        <v>1086</v>
      </c>
      <c r="D141" s="1">
        <f>IFERROR(__xludf.DUMMYFUNCTION("""COMPUTED_VALUE"""),1068.0)</f>
        <v>1068</v>
      </c>
      <c r="E141" s="1">
        <f>IFERROR(__xludf.DUMMYFUNCTION("""COMPUTED_VALUE"""),1082.0)</f>
        <v>1082</v>
      </c>
      <c r="F141" s="1">
        <f>IFERROR(__xludf.DUMMYFUNCTION("""COMPUTED_VALUE"""),43661.0)</f>
        <v>43661</v>
      </c>
      <c r="G141" s="2" t="s">
        <v>7</v>
      </c>
    </row>
    <row r="142">
      <c r="A142" s="3">
        <f>IFERROR(__xludf.DUMMYFUNCTION("""COMPUTED_VALUE"""),44768.6875)</f>
        <v>44768.6875</v>
      </c>
      <c r="B142" s="1">
        <f>IFERROR(__xludf.DUMMYFUNCTION("""COMPUTED_VALUE"""),1088.0)</f>
        <v>1088</v>
      </c>
      <c r="C142" s="1">
        <f>IFERROR(__xludf.DUMMYFUNCTION("""COMPUTED_VALUE"""),1098.0)</f>
        <v>1098</v>
      </c>
      <c r="D142" s="1">
        <f>IFERROR(__xludf.DUMMYFUNCTION("""COMPUTED_VALUE"""),1078.0)</f>
        <v>1078</v>
      </c>
      <c r="E142" s="1">
        <f>IFERROR(__xludf.DUMMYFUNCTION("""COMPUTED_VALUE"""),1092.0)</f>
        <v>1092</v>
      </c>
      <c r="F142" s="1">
        <f>IFERROR(__xludf.DUMMYFUNCTION("""COMPUTED_VALUE"""),41570.0)</f>
        <v>41570</v>
      </c>
      <c r="G142" s="2" t="s">
        <v>7</v>
      </c>
    </row>
    <row r="143">
      <c r="A143" s="3">
        <f>IFERROR(__xludf.DUMMYFUNCTION("""COMPUTED_VALUE"""),44769.6875)</f>
        <v>44769.6875</v>
      </c>
      <c r="B143" s="1">
        <f>IFERROR(__xludf.DUMMYFUNCTION("""COMPUTED_VALUE"""),1080.0)</f>
        <v>1080</v>
      </c>
      <c r="C143" s="1">
        <f>IFERROR(__xludf.DUMMYFUNCTION("""COMPUTED_VALUE"""),1094.0)</f>
        <v>1094</v>
      </c>
      <c r="D143" s="1">
        <f>IFERROR(__xludf.DUMMYFUNCTION("""COMPUTED_VALUE"""),1072.0)</f>
        <v>1072</v>
      </c>
      <c r="E143" s="1">
        <f>IFERROR(__xludf.DUMMYFUNCTION("""COMPUTED_VALUE"""),1072.0)</f>
        <v>1072</v>
      </c>
      <c r="F143" s="1">
        <f>IFERROR(__xludf.DUMMYFUNCTION("""COMPUTED_VALUE"""),43563.0)</f>
        <v>43563</v>
      </c>
      <c r="G143" s="2" t="s">
        <v>7</v>
      </c>
    </row>
    <row r="144">
      <c r="A144" s="3">
        <f>IFERROR(__xludf.DUMMYFUNCTION("""COMPUTED_VALUE"""),44770.6875)</f>
        <v>44770.6875</v>
      </c>
      <c r="B144" s="1">
        <f>IFERROR(__xludf.DUMMYFUNCTION("""COMPUTED_VALUE"""),1068.0)</f>
        <v>1068</v>
      </c>
      <c r="C144" s="1">
        <f>IFERROR(__xludf.DUMMYFUNCTION("""COMPUTED_VALUE"""),1080.0)</f>
        <v>1080</v>
      </c>
      <c r="D144" s="1">
        <f>IFERROR(__xludf.DUMMYFUNCTION("""COMPUTED_VALUE"""),1057.32)</f>
        <v>1057.32</v>
      </c>
      <c r="E144" s="1">
        <f>IFERROR(__xludf.DUMMYFUNCTION("""COMPUTED_VALUE"""),1080.0)</f>
        <v>1080</v>
      </c>
      <c r="F144" s="1">
        <f>IFERROR(__xludf.DUMMYFUNCTION("""COMPUTED_VALUE"""),22965.0)</f>
        <v>22965</v>
      </c>
      <c r="G144" s="2" t="s">
        <v>7</v>
      </c>
    </row>
    <row r="145">
      <c r="A145" s="3">
        <f>IFERROR(__xludf.DUMMYFUNCTION("""COMPUTED_VALUE"""),44771.6875)</f>
        <v>44771.6875</v>
      </c>
      <c r="B145" s="1">
        <f>IFERROR(__xludf.DUMMYFUNCTION("""COMPUTED_VALUE"""),1082.0)</f>
        <v>1082</v>
      </c>
      <c r="C145" s="1">
        <f>IFERROR(__xludf.DUMMYFUNCTION("""COMPUTED_VALUE"""),1112.0)</f>
        <v>1112</v>
      </c>
      <c r="D145" s="1">
        <f>IFERROR(__xludf.DUMMYFUNCTION("""COMPUTED_VALUE"""),1082.0)</f>
        <v>1082</v>
      </c>
      <c r="E145" s="1">
        <f>IFERROR(__xludf.DUMMYFUNCTION("""COMPUTED_VALUE"""),1104.0)</f>
        <v>1104</v>
      </c>
      <c r="F145" s="1">
        <f>IFERROR(__xludf.DUMMYFUNCTION("""COMPUTED_VALUE"""),41646.0)</f>
        <v>41646</v>
      </c>
      <c r="G145" s="2" t="s">
        <v>7</v>
      </c>
    </row>
    <row r="146">
      <c r="A146" s="3">
        <f>IFERROR(__xludf.DUMMYFUNCTION("""COMPUTED_VALUE"""),44774.6875)</f>
        <v>44774.6875</v>
      </c>
      <c r="B146" s="1">
        <f>IFERROR(__xludf.DUMMYFUNCTION("""COMPUTED_VALUE"""),1104.0)</f>
        <v>1104</v>
      </c>
      <c r="C146" s="1">
        <f>IFERROR(__xludf.DUMMYFUNCTION("""COMPUTED_VALUE"""),1126.0)</f>
        <v>1126</v>
      </c>
      <c r="D146" s="1">
        <f>IFERROR(__xludf.DUMMYFUNCTION("""COMPUTED_VALUE"""),1086.44)</f>
        <v>1086.44</v>
      </c>
      <c r="E146" s="1">
        <f>IFERROR(__xludf.DUMMYFUNCTION("""COMPUTED_VALUE"""),1104.0)</f>
        <v>1104</v>
      </c>
      <c r="F146" s="1">
        <f>IFERROR(__xludf.DUMMYFUNCTION("""COMPUTED_VALUE"""),72720.0)</f>
        <v>72720</v>
      </c>
      <c r="G146" s="2" t="s">
        <v>7</v>
      </c>
    </row>
    <row r="147">
      <c r="A147" s="3">
        <f>IFERROR(__xludf.DUMMYFUNCTION("""COMPUTED_VALUE"""),44775.6875)</f>
        <v>44775.6875</v>
      </c>
      <c r="B147" s="1">
        <f>IFERROR(__xludf.DUMMYFUNCTION("""COMPUTED_VALUE"""),1094.0)</f>
        <v>1094</v>
      </c>
      <c r="C147" s="1">
        <f>IFERROR(__xludf.DUMMYFUNCTION("""COMPUTED_VALUE"""),1112.0)</f>
        <v>1112</v>
      </c>
      <c r="D147" s="1">
        <f>IFERROR(__xludf.DUMMYFUNCTION("""COMPUTED_VALUE"""),1094.0)</f>
        <v>1094</v>
      </c>
      <c r="E147" s="1">
        <f>IFERROR(__xludf.DUMMYFUNCTION("""COMPUTED_VALUE"""),1106.0)</f>
        <v>1106</v>
      </c>
      <c r="F147" s="1">
        <f>IFERROR(__xludf.DUMMYFUNCTION("""COMPUTED_VALUE"""),15964.0)</f>
        <v>15964</v>
      </c>
      <c r="G147" s="2" t="s">
        <v>7</v>
      </c>
    </row>
    <row r="148">
      <c r="A148" s="3">
        <f>IFERROR(__xludf.DUMMYFUNCTION("""COMPUTED_VALUE"""),44776.6875)</f>
        <v>44776.6875</v>
      </c>
      <c r="B148" s="1">
        <f>IFERROR(__xludf.DUMMYFUNCTION("""COMPUTED_VALUE"""),1102.0)</f>
        <v>1102</v>
      </c>
      <c r="C148" s="1">
        <f>IFERROR(__xludf.DUMMYFUNCTION("""COMPUTED_VALUE"""),1102.0)</f>
        <v>1102</v>
      </c>
      <c r="D148" s="1">
        <f>IFERROR(__xludf.DUMMYFUNCTION("""COMPUTED_VALUE"""),1044.0)</f>
        <v>1044</v>
      </c>
      <c r="E148" s="1">
        <f>IFERROR(__xludf.DUMMYFUNCTION("""COMPUTED_VALUE"""),1052.0)</f>
        <v>1052</v>
      </c>
      <c r="F148" s="1">
        <f>IFERROR(__xludf.DUMMYFUNCTION("""COMPUTED_VALUE"""),39058.0)</f>
        <v>39058</v>
      </c>
      <c r="G148" s="2" t="s">
        <v>7</v>
      </c>
    </row>
    <row r="149">
      <c r="A149" s="3">
        <f>IFERROR(__xludf.DUMMYFUNCTION("""COMPUTED_VALUE"""),44777.6875)</f>
        <v>44777.6875</v>
      </c>
      <c r="B149" s="1">
        <f>IFERROR(__xludf.DUMMYFUNCTION("""COMPUTED_VALUE"""),1054.0)</f>
        <v>1054</v>
      </c>
      <c r="C149" s="1">
        <f>IFERROR(__xludf.DUMMYFUNCTION("""COMPUTED_VALUE"""),1068.0)</f>
        <v>1068</v>
      </c>
      <c r="D149" s="1">
        <f>IFERROR(__xludf.DUMMYFUNCTION("""COMPUTED_VALUE"""),1040.0)</f>
        <v>1040</v>
      </c>
      <c r="E149" s="1">
        <f>IFERROR(__xludf.DUMMYFUNCTION("""COMPUTED_VALUE"""),1042.0)</f>
        <v>1042</v>
      </c>
      <c r="F149" s="1">
        <f>IFERROR(__xludf.DUMMYFUNCTION("""COMPUTED_VALUE"""),37306.0)</f>
        <v>37306</v>
      </c>
      <c r="G149" s="2" t="s">
        <v>7</v>
      </c>
    </row>
    <row r="150">
      <c r="A150" s="3">
        <f>IFERROR(__xludf.DUMMYFUNCTION("""COMPUTED_VALUE"""),44778.6875)</f>
        <v>44778.6875</v>
      </c>
      <c r="B150" s="1">
        <f>IFERROR(__xludf.DUMMYFUNCTION("""COMPUTED_VALUE"""),1052.0)</f>
        <v>1052</v>
      </c>
      <c r="C150" s="1">
        <f>IFERROR(__xludf.DUMMYFUNCTION("""COMPUTED_VALUE"""),1067.08)</f>
        <v>1067.08</v>
      </c>
      <c r="D150" s="1">
        <f>IFERROR(__xludf.DUMMYFUNCTION("""COMPUTED_VALUE"""),1032.0)</f>
        <v>1032</v>
      </c>
      <c r="E150" s="1">
        <f>IFERROR(__xludf.DUMMYFUNCTION("""COMPUTED_VALUE"""),1038.0)</f>
        <v>1038</v>
      </c>
      <c r="F150" s="1">
        <f>IFERROR(__xludf.DUMMYFUNCTION("""COMPUTED_VALUE"""),61651.0)</f>
        <v>61651</v>
      </c>
      <c r="G150" s="2" t="s">
        <v>7</v>
      </c>
    </row>
    <row r="151">
      <c r="A151" s="3">
        <f>IFERROR(__xludf.DUMMYFUNCTION("""COMPUTED_VALUE"""),44781.6875)</f>
        <v>44781.6875</v>
      </c>
      <c r="B151" s="1">
        <f>IFERROR(__xludf.DUMMYFUNCTION("""COMPUTED_VALUE"""),1038.0)</f>
        <v>1038</v>
      </c>
      <c r="C151" s="1">
        <f>IFERROR(__xludf.DUMMYFUNCTION("""COMPUTED_VALUE"""),1050.5)</f>
        <v>1050.5</v>
      </c>
      <c r="D151" s="1">
        <f>IFERROR(__xludf.DUMMYFUNCTION("""COMPUTED_VALUE"""),1010.0)</f>
        <v>1010</v>
      </c>
      <c r="E151" s="1">
        <f>IFERROR(__xludf.DUMMYFUNCTION("""COMPUTED_VALUE"""),1018.0)</f>
        <v>1018</v>
      </c>
      <c r="F151" s="1">
        <f>IFERROR(__xludf.DUMMYFUNCTION("""COMPUTED_VALUE"""),62403.0)</f>
        <v>62403</v>
      </c>
      <c r="G151" s="2" t="s">
        <v>7</v>
      </c>
    </row>
    <row r="152">
      <c r="A152" s="3">
        <f>IFERROR(__xludf.DUMMYFUNCTION("""COMPUTED_VALUE"""),44782.6875)</f>
        <v>44782.6875</v>
      </c>
      <c r="B152" s="1">
        <f>IFERROR(__xludf.DUMMYFUNCTION("""COMPUTED_VALUE"""),1028.0)</f>
        <v>1028</v>
      </c>
      <c r="C152" s="1">
        <f>IFERROR(__xludf.DUMMYFUNCTION("""COMPUTED_VALUE"""),1028.0)</f>
        <v>1028</v>
      </c>
      <c r="D152" s="1">
        <f>IFERROR(__xludf.DUMMYFUNCTION("""COMPUTED_VALUE"""),1004.0)</f>
        <v>1004</v>
      </c>
      <c r="E152" s="1">
        <f>IFERROR(__xludf.DUMMYFUNCTION("""COMPUTED_VALUE"""),1016.0)</f>
        <v>1016</v>
      </c>
      <c r="F152" s="1">
        <f>IFERROR(__xludf.DUMMYFUNCTION("""COMPUTED_VALUE"""),158901.0)</f>
        <v>158901</v>
      </c>
      <c r="G152" s="2" t="s">
        <v>7</v>
      </c>
    </row>
    <row r="153">
      <c r="A153" s="3">
        <f>IFERROR(__xludf.DUMMYFUNCTION("""COMPUTED_VALUE"""),44783.6875)</f>
        <v>44783.6875</v>
      </c>
      <c r="B153" s="1">
        <f>IFERROR(__xludf.DUMMYFUNCTION("""COMPUTED_VALUE"""),1014.0)</f>
        <v>1014</v>
      </c>
      <c r="C153" s="1">
        <f>IFERROR(__xludf.DUMMYFUNCTION("""COMPUTED_VALUE"""),1054.0)</f>
        <v>1054</v>
      </c>
      <c r="D153" s="1">
        <f>IFERROR(__xludf.DUMMYFUNCTION("""COMPUTED_VALUE"""),1006.0)</f>
        <v>1006</v>
      </c>
      <c r="E153" s="1">
        <f>IFERROR(__xludf.DUMMYFUNCTION("""COMPUTED_VALUE"""),1054.0)</f>
        <v>1054</v>
      </c>
      <c r="F153" s="1">
        <f>IFERROR(__xludf.DUMMYFUNCTION("""COMPUTED_VALUE"""),51468.0)</f>
        <v>51468</v>
      </c>
      <c r="G153" s="2" t="s">
        <v>7</v>
      </c>
    </row>
    <row r="154">
      <c r="A154" s="3">
        <f>IFERROR(__xludf.DUMMYFUNCTION("""COMPUTED_VALUE"""),44784.6875)</f>
        <v>44784.6875</v>
      </c>
      <c r="B154" s="1">
        <f>IFERROR(__xludf.DUMMYFUNCTION("""COMPUTED_VALUE"""),1060.0)</f>
        <v>1060</v>
      </c>
      <c r="C154" s="1">
        <f>IFERROR(__xludf.DUMMYFUNCTION("""COMPUTED_VALUE"""),1076.0)</f>
        <v>1076</v>
      </c>
      <c r="D154" s="1">
        <f>IFERROR(__xludf.DUMMYFUNCTION("""COMPUTED_VALUE"""),1050.33)</f>
        <v>1050.33</v>
      </c>
      <c r="E154" s="1">
        <f>IFERROR(__xludf.DUMMYFUNCTION("""COMPUTED_VALUE"""),1058.0)</f>
        <v>1058</v>
      </c>
      <c r="F154" s="1">
        <f>IFERROR(__xludf.DUMMYFUNCTION("""COMPUTED_VALUE"""),11486.0)</f>
        <v>11486</v>
      </c>
      <c r="G154" s="2" t="s">
        <v>7</v>
      </c>
    </row>
    <row r="155">
      <c r="A155" s="3">
        <f>IFERROR(__xludf.DUMMYFUNCTION("""COMPUTED_VALUE"""),44785.6875)</f>
        <v>44785.6875</v>
      </c>
      <c r="B155" s="1">
        <f>IFERROR(__xludf.DUMMYFUNCTION("""COMPUTED_VALUE"""),1064.0)</f>
        <v>1064</v>
      </c>
      <c r="C155" s="1">
        <f>IFERROR(__xludf.DUMMYFUNCTION("""COMPUTED_VALUE"""),1072.0)</f>
        <v>1072</v>
      </c>
      <c r="D155" s="1">
        <f>IFERROR(__xludf.DUMMYFUNCTION("""COMPUTED_VALUE"""),1050.0)</f>
        <v>1050</v>
      </c>
      <c r="E155" s="1">
        <f>IFERROR(__xludf.DUMMYFUNCTION("""COMPUTED_VALUE"""),1056.0)</f>
        <v>1056</v>
      </c>
      <c r="F155" s="1">
        <f>IFERROR(__xludf.DUMMYFUNCTION("""COMPUTED_VALUE"""),16702.0)</f>
        <v>16702</v>
      </c>
      <c r="G155" s="2" t="s">
        <v>7</v>
      </c>
    </row>
    <row r="156">
      <c r="A156" s="3">
        <f>IFERROR(__xludf.DUMMYFUNCTION("""COMPUTED_VALUE"""),44788.6875)</f>
        <v>44788.6875</v>
      </c>
      <c r="B156" s="1">
        <f>IFERROR(__xludf.DUMMYFUNCTION("""COMPUTED_VALUE"""),1076.0)</f>
        <v>1076</v>
      </c>
      <c r="C156" s="1">
        <f>IFERROR(__xludf.DUMMYFUNCTION("""COMPUTED_VALUE"""),1076.0)</f>
        <v>1076</v>
      </c>
      <c r="D156" s="1">
        <f>IFERROR(__xludf.DUMMYFUNCTION("""COMPUTED_VALUE"""),1032.6)</f>
        <v>1032.6</v>
      </c>
      <c r="E156" s="1">
        <f>IFERROR(__xludf.DUMMYFUNCTION("""COMPUTED_VALUE"""),1050.0)</f>
        <v>1050</v>
      </c>
      <c r="F156" s="1">
        <f>IFERROR(__xludf.DUMMYFUNCTION("""COMPUTED_VALUE"""),33272.0)</f>
        <v>33272</v>
      </c>
      <c r="G156" s="2" t="s">
        <v>7</v>
      </c>
    </row>
    <row r="157">
      <c r="A157" s="3">
        <f>IFERROR(__xludf.DUMMYFUNCTION("""COMPUTED_VALUE"""),44789.6875)</f>
        <v>44789.6875</v>
      </c>
      <c r="B157" s="1">
        <f>IFERROR(__xludf.DUMMYFUNCTION("""COMPUTED_VALUE"""),1052.0)</f>
        <v>1052</v>
      </c>
      <c r="C157" s="1">
        <f>IFERROR(__xludf.DUMMYFUNCTION("""COMPUTED_VALUE"""),1078.0)</f>
        <v>1078</v>
      </c>
      <c r="D157" s="1">
        <f>IFERROR(__xludf.DUMMYFUNCTION("""COMPUTED_VALUE"""),1038.0)</f>
        <v>1038</v>
      </c>
      <c r="E157" s="1">
        <f>IFERROR(__xludf.DUMMYFUNCTION("""COMPUTED_VALUE"""),1042.0)</f>
        <v>1042</v>
      </c>
      <c r="F157" s="1">
        <f>IFERROR(__xludf.DUMMYFUNCTION("""COMPUTED_VALUE"""),16316.0)</f>
        <v>16316</v>
      </c>
      <c r="G157" s="2" t="s">
        <v>7</v>
      </c>
    </row>
    <row r="158">
      <c r="A158" s="3">
        <f>IFERROR(__xludf.DUMMYFUNCTION("""COMPUTED_VALUE"""),44790.6875)</f>
        <v>44790.6875</v>
      </c>
      <c r="B158" s="1">
        <f>IFERROR(__xludf.DUMMYFUNCTION("""COMPUTED_VALUE"""),1044.0)</f>
        <v>1044</v>
      </c>
      <c r="C158" s="1">
        <f>IFERROR(__xludf.DUMMYFUNCTION("""COMPUTED_VALUE"""),1048.0)</f>
        <v>1048</v>
      </c>
      <c r="D158" s="1">
        <f>IFERROR(__xludf.DUMMYFUNCTION("""COMPUTED_VALUE"""),1028.0)</f>
        <v>1028</v>
      </c>
      <c r="E158" s="1">
        <f>IFERROR(__xludf.DUMMYFUNCTION("""COMPUTED_VALUE"""),1032.0)</f>
        <v>1032</v>
      </c>
      <c r="F158" s="1">
        <f>IFERROR(__xludf.DUMMYFUNCTION("""COMPUTED_VALUE"""),70948.0)</f>
        <v>70948</v>
      </c>
      <c r="G158" s="2" t="s">
        <v>7</v>
      </c>
    </row>
    <row r="159">
      <c r="A159" s="3">
        <f>IFERROR(__xludf.DUMMYFUNCTION("""COMPUTED_VALUE"""),44791.6875)</f>
        <v>44791.6875</v>
      </c>
      <c r="B159" s="1">
        <f>IFERROR(__xludf.DUMMYFUNCTION("""COMPUTED_VALUE"""),1070.0)</f>
        <v>1070</v>
      </c>
      <c r="C159" s="1">
        <f>IFERROR(__xludf.DUMMYFUNCTION("""COMPUTED_VALUE"""),1070.0)</f>
        <v>1070</v>
      </c>
      <c r="D159" s="1">
        <f>IFERROR(__xludf.DUMMYFUNCTION("""COMPUTED_VALUE"""),1012.0)</f>
        <v>1012</v>
      </c>
      <c r="E159" s="1">
        <f>IFERROR(__xludf.DUMMYFUNCTION("""COMPUTED_VALUE"""),1032.0)</f>
        <v>1032</v>
      </c>
      <c r="F159" s="1">
        <f>IFERROR(__xludf.DUMMYFUNCTION("""COMPUTED_VALUE"""),11506.0)</f>
        <v>11506</v>
      </c>
      <c r="G159" s="2" t="s">
        <v>7</v>
      </c>
    </row>
    <row r="160">
      <c r="A160" s="3">
        <f>IFERROR(__xludf.DUMMYFUNCTION("""COMPUTED_VALUE"""),44792.6875)</f>
        <v>44792.6875</v>
      </c>
      <c r="B160" s="1">
        <f>IFERROR(__xludf.DUMMYFUNCTION("""COMPUTED_VALUE"""),1032.0)</f>
        <v>1032</v>
      </c>
      <c r="C160" s="1">
        <f>IFERROR(__xludf.DUMMYFUNCTION("""COMPUTED_VALUE"""),1040.0)</f>
        <v>1040</v>
      </c>
      <c r="D160" s="1">
        <f>IFERROR(__xludf.DUMMYFUNCTION("""COMPUTED_VALUE"""),1022.0)</f>
        <v>1022</v>
      </c>
      <c r="E160" s="1">
        <f>IFERROR(__xludf.DUMMYFUNCTION("""COMPUTED_VALUE"""),1024.0)</f>
        <v>1024</v>
      </c>
      <c r="F160" s="1">
        <f>IFERROR(__xludf.DUMMYFUNCTION("""COMPUTED_VALUE"""),15836.0)</f>
        <v>15836</v>
      </c>
      <c r="G160" s="2" t="s">
        <v>7</v>
      </c>
    </row>
    <row r="161">
      <c r="A161" s="3">
        <f>IFERROR(__xludf.DUMMYFUNCTION("""COMPUTED_VALUE"""),44795.6875)</f>
        <v>44795.6875</v>
      </c>
      <c r="B161" s="1">
        <f>IFERROR(__xludf.DUMMYFUNCTION("""COMPUTED_VALUE"""),1048.0)</f>
        <v>1048</v>
      </c>
      <c r="C161" s="1">
        <f>IFERROR(__xludf.DUMMYFUNCTION("""COMPUTED_VALUE"""),1048.0)</f>
        <v>1048</v>
      </c>
      <c r="D161" s="1">
        <f>IFERROR(__xludf.DUMMYFUNCTION("""COMPUTED_VALUE"""),1010.0)</f>
        <v>1010</v>
      </c>
      <c r="E161" s="1">
        <f>IFERROR(__xludf.DUMMYFUNCTION("""COMPUTED_VALUE"""),1020.0)</f>
        <v>1020</v>
      </c>
      <c r="F161" s="1">
        <f>IFERROR(__xludf.DUMMYFUNCTION("""COMPUTED_VALUE"""),35730.0)</f>
        <v>35730</v>
      </c>
      <c r="G161" s="2" t="s">
        <v>7</v>
      </c>
    </row>
    <row r="162">
      <c r="A162" s="3">
        <f>IFERROR(__xludf.DUMMYFUNCTION("""COMPUTED_VALUE"""),44796.6875)</f>
        <v>44796.6875</v>
      </c>
      <c r="B162" s="1">
        <f>IFERROR(__xludf.DUMMYFUNCTION("""COMPUTED_VALUE"""),1012.0)</f>
        <v>1012</v>
      </c>
      <c r="C162" s="1">
        <f>IFERROR(__xludf.DUMMYFUNCTION("""COMPUTED_VALUE"""),1020.0)</f>
        <v>1020</v>
      </c>
      <c r="D162" s="1">
        <f>IFERROR(__xludf.DUMMYFUNCTION("""COMPUTED_VALUE"""),1008.0)</f>
        <v>1008</v>
      </c>
      <c r="E162" s="1">
        <f>IFERROR(__xludf.DUMMYFUNCTION("""COMPUTED_VALUE"""),1012.0)</f>
        <v>1012</v>
      </c>
      <c r="F162" s="1">
        <f>IFERROR(__xludf.DUMMYFUNCTION("""COMPUTED_VALUE"""),54065.0)</f>
        <v>54065</v>
      </c>
      <c r="G162" s="2" t="s">
        <v>7</v>
      </c>
    </row>
    <row r="163">
      <c r="A163" s="3">
        <f>IFERROR(__xludf.DUMMYFUNCTION("""COMPUTED_VALUE"""),44797.6875)</f>
        <v>44797.6875</v>
      </c>
      <c r="B163" s="1">
        <f>IFERROR(__xludf.DUMMYFUNCTION("""COMPUTED_VALUE"""),1008.0)</f>
        <v>1008</v>
      </c>
      <c r="C163" s="1">
        <f>IFERROR(__xludf.DUMMYFUNCTION("""COMPUTED_VALUE"""),1010.0)</f>
        <v>1010</v>
      </c>
      <c r="D163" s="1">
        <f>IFERROR(__xludf.DUMMYFUNCTION("""COMPUTED_VALUE"""),987.0)</f>
        <v>987</v>
      </c>
      <c r="E163" s="1">
        <f>IFERROR(__xludf.DUMMYFUNCTION("""COMPUTED_VALUE"""),1002.0)</f>
        <v>1002</v>
      </c>
      <c r="F163" s="1">
        <f>IFERROR(__xludf.DUMMYFUNCTION("""COMPUTED_VALUE"""),38074.0)</f>
        <v>38074</v>
      </c>
      <c r="G163" s="2" t="s">
        <v>7</v>
      </c>
    </row>
    <row r="164">
      <c r="A164" s="3">
        <f>IFERROR(__xludf.DUMMYFUNCTION("""COMPUTED_VALUE"""),44798.6875)</f>
        <v>44798.6875</v>
      </c>
      <c r="B164" s="1">
        <f>IFERROR(__xludf.DUMMYFUNCTION("""COMPUTED_VALUE"""),990.0)</f>
        <v>990</v>
      </c>
      <c r="C164" s="1">
        <f>IFERROR(__xludf.DUMMYFUNCTION("""COMPUTED_VALUE"""),1006.0)</f>
        <v>1006</v>
      </c>
      <c r="D164" s="1">
        <f>IFERROR(__xludf.DUMMYFUNCTION("""COMPUTED_VALUE"""),988.0)</f>
        <v>988</v>
      </c>
      <c r="E164" s="1">
        <f>IFERROR(__xludf.DUMMYFUNCTION("""COMPUTED_VALUE"""),988.0)</f>
        <v>988</v>
      </c>
      <c r="F164" s="1">
        <f>IFERROR(__xludf.DUMMYFUNCTION("""COMPUTED_VALUE"""),45979.0)</f>
        <v>45979</v>
      </c>
      <c r="G164" s="2" t="s">
        <v>7</v>
      </c>
    </row>
    <row r="165">
      <c r="A165" s="3">
        <f>IFERROR(__xludf.DUMMYFUNCTION("""COMPUTED_VALUE"""),44799.6875)</f>
        <v>44799.6875</v>
      </c>
      <c r="B165" s="1">
        <f>IFERROR(__xludf.DUMMYFUNCTION("""COMPUTED_VALUE"""),982.0)</f>
        <v>982</v>
      </c>
      <c r="C165" s="1">
        <f>IFERROR(__xludf.DUMMYFUNCTION("""COMPUTED_VALUE"""),991.0)</f>
        <v>991</v>
      </c>
      <c r="D165" s="1">
        <f>IFERROR(__xludf.DUMMYFUNCTION("""COMPUTED_VALUE"""),969.0)</f>
        <v>969</v>
      </c>
      <c r="E165" s="1">
        <f>IFERROR(__xludf.DUMMYFUNCTION("""COMPUTED_VALUE"""),979.0)</f>
        <v>979</v>
      </c>
      <c r="F165" s="1">
        <f>IFERROR(__xludf.DUMMYFUNCTION("""COMPUTED_VALUE"""),85074.0)</f>
        <v>85074</v>
      </c>
      <c r="G165" s="2" t="s">
        <v>7</v>
      </c>
    </row>
    <row r="166">
      <c r="A166" s="3">
        <f>IFERROR(__xludf.DUMMYFUNCTION("""COMPUTED_VALUE"""),44803.6875)</f>
        <v>44803.6875</v>
      </c>
      <c r="B166" s="1">
        <f>IFERROR(__xludf.DUMMYFUNCTION("""COMPUTED_VALUE"""),989.0)</f>
        <v>989</v>
      </c>
      <c r="C166" s="1">
        <f>IFERROR(__xludf.DUMMYFUNCTION("""COMPUTED_VALUE"""),989.0)</f>
        <v>989</v>
      </c>
      <c r="D166" s="1">
        <f>IFERROR(__xludf.DUMMYFUNCTION("""COMPUTED_VALUE"""),970.0)</f>
        <v>970</v>
      </c>
      <c r="E166" s="1">
        <f>IFERROR(__xludf.DUMMYFUNCTION("""COMPUTED_VALUE"""),970.0)</f>
        <v>970</v>
      </c>
      <c r="F166" s="1">
        <f>IFERROR(__xludf.DUMMYFUNCTION("""COMPUTED_VALUE"""),51778.0)</f>
        <v>51778</v>
      </c>
      <c r="G166" s="2" t="s">
        <v>7</v>
      </c>
    </row>
    <row r="167">
      <c r="A167" s="3">
        <f>IFERROR(__xludf.DUMMYFUNCTION("""COMPUTED_VALUE"""),44804.6875)</f>
        <v>44804.6875</v>
      </c>
      <c r="B167" s="1">
        <f>IFERROR(__xludf.DUMMYFUNCTION("""COMPUTED_VALUE"""),964.0)</f>
        <v>964</v>
      </c>
      <c r="C167" s="1">
        <f>IFERROR(__xludf.DUMMYFUNCTION("""COMPUTED_VALUE"""),970.8)</f>
        <v>970.8</v>
      </c>
      <c r="D167" s="1">
        <f>IFERROR(__xludf.DUMMYFUNCTION("""COMPUTED_VALUE"""),944.0)</f>
        <v>944</v>
      </c>
      <c r="E167" s="1">
        <f>IFERROR(__xludf.DUMMYFUNCTION("""COMPUTED_VALUE"""),970.0)</f>
        <v>970</v>
      </c>
      <c r="F167" s="1">
        <f>IFERROR(__xludf.DUMMYFUNCTION("""COMPUTED_VALUE"""),31732.0)</f>
        <v>31732</v>
      </c>
      <c r="G167" s="2" t="s">
        <v>7</v>
      </c>
    </row>
    <row r="168">
      <c r="A168" s="3">
        <f>IFERROR(__xludf.DUMMYFUNCTION("""COMPUTED_VALUE"""),44805.6875)</f>
        <v>44805.6875</v>
      </c>
      <c r="B168" s="1">
        <f>IFERROR(__xludf.DUMMYFUNCTION("""COMPUTED_VALUE"""),966.0)</f>
        <v>966</v>
      </c>
      <c r="C168" s="1">
        <f>IFERROR(__xludf.DUMMYFUNCTION("""COMPUTED_VALUE"""),966.0)</f>
        <v>966</v>
      </c>
      <c r="D168" s="1">
        <f>IFERROR(__xludf.DUMMYFUNCTION("""COMPUTED_VALUE"""),936.0)</f>
        <v>936</v>
      </c>
      <c r="E168" s="1">
        <f>IFERROR(__xludf.DUMMYFUNCTION("""COMPUTED_VALUE"""),942.0)</f>
        <v>942</v>
      </c>
      <c r="F168" s="1">
        <f>IFERROR(__xludf.DUMMYFUNCTION("""COMPUTED_VALUE"""),39098.0)</f>
        <v>39098</v>
      </c>
      <c r="G168" s="2" t="s">
        <v>7</v>
      </c>
    </row>
    <row r="169">
      <c r="A169" s="3">
        <f>IFERROR(__xludf.DUMMYFUNCTION("""COMPUTED_VALUE"""),44806.6875)</f>
        <v>44806.6875</v>
      </c>
      <c r="B169" s="1">
        <f>IFERROR(__xludf.DUMMYFUNCTION("""COMPUTED_VALUE"""),970.0)</f>
        <v>970</v>
      </c>
      <c r="C169" s="1">
        <f>IFERROR(__xludf.DUMMYFUNCTION("""COMPUTED_VALUE"""),970.0)</f>
        <v>970</v>
      </c>
      <c r="D169" s="1">
        <f>IFERROR(__xludf.DUMMYFUNCTION("""COMPUTED_VALUE"""),927.0)</f>
        <v>927</v>
      </c>
      <c r="E169" s="1">
        <f>IFERROR(__xludf.DUMMYFUNCTION("""COMPUTED_VALUE"""),930.0)</f>
        <v>930</v>
      </c>
      <c r="F169" s="1">
        <f>IFERROR(__xludf.DUMMYFUNCTION("""COMPUTED_VALUE"""),83598.0)</f>
        <v>83598</v>
      </c>
      <c r="G169" s="2" t="s">
        <v>7</v>
      </c>
    </row>
    <row r="170">
      <c r="A170" s="3">
        <f>IFERROR(__xludf.DUMMYFUNCTION("""COMPUTED_VALUE"""),44809.6875)</f>
        <v>44809.6875</v>
      </c>
      <c r="B170" s="1">
        <f>IFERROR(__xludf.DUMMYFUNCTION("""COMPUTED_VALUE"""),930.0)</f>
        <v>930</v>
      </c>
      <c r="C170" s="1">
        <f>IFERROR(__xludf.DUMMYFUNCTION("""COMPUTED_VALUE"""),945.0)</f>
        <v>945</v>
      </c>
      <c r="D170" s="1">
        <f>IFERROR(__xludf.DUMMYFUNCTION("""COMPUTED_VALUE"""),916.0)</f>
        <v>916</v>
      </c>
      <c r="E170" s="1">
        <f>IFERROR(__xludf.DUMMYFUNCTION("""COMPUTED_VALUE"""),939.0)</f>
        <v>939</v>
      </c>
      <c r="F170" s="1">
        <f>IFERROR(__xludf.DUMMYFUNCTION("""COMPUTED_VALUE"""),119133.0)</f>
        <v>119133</v>
      </c>
      <c r="G170" s="2" t="s">
        <v>7</v>
      </c>
    </row>
    <row r="171">
      <c r="A171" s="3">
        <f>IFERROR(__xludf.DUMMYFUNCTION("""COMPUTED_VALUE"""),44810.6875)</f>
        <v>44810.6875</v>
      </c>
      <c r="B171" s="1">
        <f>IFERROR(__xludf.DUMMYFUNCTION("""COMPUTED_VALUE"""),944.0)</f>
        <v>944</v>
      </c>
      <c r="C171" s="1">
        <f>IFERROR(__xludf.DUMMYFUNCTION("""COMPUTED_VALUE"""),970.0)</f>
        <v>970</v>
      </c>
      <c r="D171" s="1">
        <f>IFERROR(__xludf.DUMMYFUNCTION("""COMPUTED_VALUE"""),944.0)</f>
        <v>944</v>
      </c>
      <c r="E171" s="1">
        <f>IFERROR(__xludf.DUMMYFUNCTION("""COMPUTED_VALUE"""),959.0)</f>
        <v>959</v>
      </c>
      <c r="F171" s="1">
        <f>IFERROR(__xludf.DUMMYFUNCTION("""COMPUTED_VALUE"""),38313.0)</f>
        <v>38313</v>
      </c>
      <c r="G171" s="2" t="s">
        <v>7</v>
      </c>
    </row>
    <row r="172">
      <c r="A172" s="3">
        <f>IFERROR(__xludf.DUMMYFUNCTION("""COMPUTED_VALUE"""),44811.6875)</f>
        <v>44811.6875</v>
      </c>
      <c r="B172" s="1">
        <f>IFERROR(__xludf.DUMMYFUNCTION("""COMPUTED_VALUE"""),955.0)</f>
        <v>955</v>
      </c>
      <c r="C172" s="1">
        <f>IFERROR(__xludf.DUMMYFUNCTION("""COMPUTED_VALUE"""),975.0)</f>
        <v>975</v>
      </c>
      <c r="D172" s="1">
        <f>IFERROR(__xludf.DUMMYFUNCTION("""COMPUTED_VALUE"""),943.0)</f>
        <v>943</v>
      </c>
      <c r="E172" s="1">
        <f>IFERROR(__xludf.DUMMYFUNCTION("""COMPUTED_VALUE"""),949.0)</f>
        <v>949</v>
      </c>
      <c r="F172" s="1">
        <f>IFERROR(__xludf.DUMMYFUNCTION("""COMPUTED_VALUE"""),96665.0)</f>
        <v>96665</v>
      </c>
      <c r="G172" s="2" t="s">
        <v>7</v>
      </c>
    </row>
    <row r="173">
      <c r="A173" s="3">
        <f>IFERROR(__xludf.DUMMYFUNCTION("""COMPUTED_VALUE"""),44812.6875)</f>
        <v>44812.6875</v>
      </c>
      <c r="B173" s="1">
        <f>IFERROR(__xludf.DUMMYFUNCTION("""COMPUTED_VALUE"""),950.0)</f>
        <v>950</v>
      </c>
      <c r="C173" s="1">
        <f>IFERROR(__xludf.DUMMYFUNCTION("""COMPUTED_VALUE"""),966.66)</f>
        <v>966.66</v>
      </c>
      <c r="D173" s="1">
        <f>IFERROR(__xludf.DUMMYFUNCTION("""COMPUTED_VALUE"""),939.68)</f>
        <v>939.68</v>
      </c>
      <c r="E173" s="1">
        <f>IFERROR(__xludf.DUMMYFUNCTION("""COMPUTED_VALUE"""),947.0)</f>
        <v>947</v>
      </c>
      <c r="F173" s="1">
        <f>IFERROR(__xludf.DUMMYFUNCTION("""COMPUTED_VALUE"""),55215.0)</f>
        <v>55215</v>
      </c>
      <c r="G173" s="2" t="s">
        <v>7</v>
      </c>
    </row>
    <row r="174">
      <c r="A174" s="3">
        <f>IFERROR(__xludf.DUMMYFUNCTION("""COMPUTED_VALUE"""),44813.6875)</f>
        <v>44813.6875</v>
      </c>
      <c r="B174" s="1">
        <f>IFERROR(__xludf.DUMMYFUNCTION("""COMPUTED_VALUE"""),966.0)</f>
        <v>966</v>
      </c>
      <c r="C174" s="1">
        <f>IFERROR(__xludf.DUMMYFUNCTION("""COMPUTED_VALUE"""),974.0)</f>
        <v>974</v>
      </c>
      <c r="D174" s="1">
        <f>IFERROR(__xludf.DUMMYFUNCTION("""COMPUTED_VALUE"""),954.0)</f>
        <v>954</v>
      </c>
      <c r="E174" s="1">
        <f>IFERROR(__xludf.DUMMYFUNCTION("""COMPUTED_VALUE"""),961.0)</f>
        <v>961</v>
      </c>
      <c r="F174" s="1">
        <f>IFERROR(__xludf.DUMMYFUNCTION("""COMPUTED_VALUE"""),100830.0)</f>
        <v>100830</v>
      </c>
      <c r="G174" s="2" t="s">
        <v>7</v>
      </c>
    </row>
    <row r="175">
      <c r="A175" s="3">
        <f>IFERROR(__xludf.DUMMYFUNCTION("""COMPUTED_VALUE"""),44816.6875)</f>
        <v>44816.6875</v>
      </c>
      <c r="B175" s="1">
        <f>IFERROR(__xludf.DUMMYFUNCTION("""COMPUTED_VALUE"""),950.0)</f>
        <v>950</v>
      </c>
      <c r="C175" s="1">
        <f>IFERROR(__xludf.DUMMYFUNCTION("""COMPUTED_VALUE"""),982.0)</f>
        <v>982</v>
      </c>
      <c r="D175" s="1">
        <f>IFERROR(__xludf.DUMMYFUNCTION("""COMPUTED_VALUE"""),950.0)</f>
        <v>950</v>
      </c>
      <c r="E175" s="1">
        <f>IFERROR(__xludf.DUMMYFUNCTION("""COMPUTED_VALUE"""),973.0)</f>
        <v>973</v>
      </c>
      <c r="F175" s="1">
        <f>IFERROR(__xludf.DUMMYFUNCTION("""COMPUTED_VALUE"""),161737.0)</f>
        <v>161737</v>
      </c>
      <c r="G175" s="2" t="s">
        <v>7</v>
      </c>
    </row>
    <row r="176">
      <c r="A176" s="3">
        <f>IFERROR(__xludf.DUMMYFUNCTION("""COMPUTED_VALUE"""),44817.6875)</f>
        <v>44817.6875</v>
      </c>
      <c r="B176" s="1">
        <f>IFERROR(__xludf.DUMMYFUNCTION("""COMPUTED_VALUE"""),980.0)</f>
        <v>980</v>
      </c>
      <c r="C176" s="1">
        <f>IFERROR(__xludf.DUMMYFUNCTION("""COMPUTED_VALUE"""),984.0)</f>
        <v>984</v>
      </c>
      <c r="D176" s="1">
        <f>IFERROR(__xludf.DUMMYFUNCTION("""COMPUTED_VALUE"""),967.0)</f>
        <v>967</v>
      </c>
      <c r="E176" s="1">
        <f>IFERROR(__xludf.DUMMYFUNCTION("""COMPUTED_VALUE"""),967.0)</f>
        <v>967</v>
      </c>
      <c r="F176" s="1">
        <f>IFERROR(__xludf.DUMMYFUNCTION("""COMPUTED_VALUE"""),90691.0)</f>
        <v>90691</v>
      </c>
      <c r="G176" s="2" t="s">
        <v>7</v>
      </c>
    </row>
    <row r="177">
      <c r="A177" s="3">
        <f>IFERROR(__xludf.DUMMYFUNCTION("""COMPUTED_VALUE"""),44818.6875)</f>
        <v>44818.6875</v>
      </c>
      <c r="B177" s="1">
        <f>IFERROR(__xludf.DUMMYFUNCTION("""COMPUTED_VALUE"""),973.0)</f>
        <v>973</v>
      </c>
      <c r="C177" s="1">
        <f>IFERROR(__xludf.DUMMYFUNCTION("""COMPUTED_VALUE"""),983.0)</f>
        <v>983</v>
      </c>
      <c r="D177" s="1">
        <f>IFERROR(__xludf.DUMMYFUNCTION("""COMPUTED_VALUE"""),932.0)</f>
        <v>932</v>
      </c>
      <c r="E177" s="1">
        <f>IFERROR(__xludf.DUMMYFUNCTION("""COMPUTED_VALUE"""),941.0)</f>
        <v>941</v>
      </c>
      <c r="F177" s="1">
        <f>IFERROR(__xludf.DUMMYFUNCTION("""COMPUTED_VALUE"""),75802.0)</f>
        <v>75802</v>
      </c>
      <c r="G177" s="2" t="s">
        <v>7</v>
      </c>
    </row>
    <row r="178">
      <c r="A178" s="3">
        <f>IFERROR(__xludf.DUMMYFUNCTION("""COMPUTED_VALUE"""),44819.6875)</f>
        <v>44819.6875</v>
      </c>
      <c r="B178" s="1">
        <f>IFERROR(__xludf.DUMMYFUNCTION("""COMPUTED_VALUE"""),750.0)</f>
        <v>750</v>
      </c>
      <c r="C178" s="1">
        <f>IFERROR(__xludf.DUMMYFUNCTION("""COMPUTED_VALUE"""),750.0)</f>
        <v>750</v>
      </c>
      <c r="D178" s="1">
        <f>IFERROR(__xludf.DUMMYFUNCTION("""COMPUTED_VALUE"""),642.55)</f>
        <v>642.55</v>
      </c>
      <c r="E178" s="1">
        <f>IFERROR(__xludf.DUMMYFUNCTION("""COMPUTED_VALUE"""),675.0)</f>
        <v>675</v>
      </c>
      <c r="F178" s="1">
        <f>IFERROR(__xludf.DUMMYFUNCTION("""COMPUTED_VALUE"""),1001691.0)</f>
        <v>1001691</v>
      </c>
      <c r="G178" s="2" t="s">
        <v>7</v>
      </c>
    </row>
    <row r="179">
      <c r="A179" s="3">
        <f>IFERROR(__xludf.DUMMYFUNCTION("""COMPUTED_VALUE"""),44820.6875)</f>
        <v>44820.6875</v>
      </c>
      <c r="B179" s="1">
        <f>IFERROR(__xludf.DUMMYFUNCTION("""COMPUTED_VALUE"""),700.0)</f>
        <v>700</v>
      </c>
      <c r="C179" s="1">
        <f>IFERROR(__xludf.DUMMYFUNCTION("""COMPUTED_VALUE"""),700.0)</f>
        <v>700</v>
      </c>
      <c r="D179" s="1">
        <f>IFERROR(__xludf.DUMMYFUNCTION("""COMPUTED_VALUE"""),658.44)</f>
        <v>658.44</v>
      </c>
      <c r="E179" s="1">
        <f>IFERROR(__xludf.DUMMYFUNCTION("""COMPUTED_VALUE"""),664.0)</f>
        <v>664</v>
      </c>
      <c r="F179" s="1">
        <f>IFERROR(__xludf.DUMMYFUNCTION("""COMPUTED_VALUE"""),651495.0)</f>
        <v>651495</v>
      </c>
      <c r="G179" s="2" t="s">
        <v>7</v>
      </c>
    </row>
    <row r="180">
      <c r="A180" s="3">
        <f>IFERROR(__xludf.DUMMYFUNCTION("""COMPUTED_VALUE"""),44824.6875)</f>
        <v>44824.6875</v>
      </c>
      <c r="B180" s="1">
        <f>IFERROR(__xludf.DUMMYFUNCTION("""COMPUTED_VALUE"""),681.0)</f>
        <v>681</v>
      </c>
      <c r="C180" s="1">
        <f>IFERROR(__xludf.DUMMYFUNCTION("""COMPUTED_VALUE"""),694.0)</f>
        <v>694</v>
      </c>
      <c r="D180" s="1">
        <f>IFERROR(__xludf.DUMMYFUNCTION("""COMPUTED_VALUE"""),638.0)</f>
        <v>638</v>
      </c>
      <c r="E180" s="1">
        <f>IFERROR(__xludf.DUMMYFUNCTION("""COMPUTED_VALUE"""),650.0)</f>
        <v>650</v>
      </c>
      <c r="F180" s="1">
        <f>IFERROR(__xludf.DUMMYFUNCTION("""COMPUTED_VALUE"""),142021.0)</f>
        <v>142021</v>
      </c>
      <c r="G180" s="2" t="s">
        <v>7</v>
      </c>
    </row>
    <row r="181">
      <c r="A181" s="3">
        <f>IFERROR(__xludf.DUMMYFUNCTION("""COMPUTED_VALUE"""),44825.6875)</f>
        <v>44825.6875</v>
      </c>
      <c r="B181" s="1">
        <f>IFERROR(__xludf.DUMMYFUNCTION("""COMPUTED_VALUE"""),663.0)</f>
        <v>663</v>
      </c>
      <c r="C181" s="1">
        <f>IFERROR(__xludf.DUMMYFUNCTION("""COMPUTED_VALUE"""),663.0)</f>
        <v>663</v>
      </c>
      <c r="D181" s="1">
        <f>IFERROR(__xludf.DUMMYFUNCTION("""COMPUTED_VALUE"""),638.0)</f>
        <v>638</v>
      </c>
      <c r="E181" s="1">
        <f>IFERROR(__xludf.DUMMYFUNCTION("""COMPUTED_VALUE"""),646.0)</f>
        <v>646</v>
      </c>
      <c r="F181" s="1">
        <f>IFERROR(__xludf.DUMMYFUNCTION("""COMPUTED_VALUE"""),646216.0)</f>
        <v>646216</v>
      </c>
      <c r="G181" s="2" t="s">
        <v>7</v>
      </c>
    </row>
    <row r="182">
      <c r="A182" s="3">
        <f>IFERROR(__xludf.DUMMYFUNCTION("""COMPUTED_VALUE"""),44826.6875)</f>
        <v>44826.6875</v>
      </c>
      <c r="B182" s="1">
        <f>IFERROR(__xludf.DUMMYFUNCTION("""COMPUTED_VALUE"""),646.0)</f>
        <v>646</v>
      </c>
      <c r="C182" s="1">
        <f>IFERROR(__xludf.DUMMYFUNCTION("""COMPUTED_VALUE"""),652.0)</f>
        <v>652</v>
      </c>
      <c r="D182" s="1">
        <f>IFERROR(__xludf.DUMMYFUNCTION("""COMPUTED_VALUE"""),634.0)</f>
        <v>634</v>
      </c>
      <c r="E182" s="1">
        <f>IFERROR(__xludf.DUMMYFUNCTION("""COMPUTED_VALUE"""),634.0)</f>
        <v>634</v>
      </c>
      <c r="F182" s="1">
        <f>IFERROR(__xludf.DUMMYFUNCTION("""COMPUTED_VALUE"""),518040.0)</f>
        <v>518040</v>
      </c>
      <c r="G182" s="2" t="s">
        <v>7</v>
      </c>
    </row>
    <row r="183">
      <c r="A183" s="3">
        <f>IFERROR(__xludf.DUMMYFUNCTION("""COMPUTED_VALUE"""),44827.6875)</f>
        <v>44827.6875</v>
      </c>
      <c r="B183" s="1">
        <f>IFERROR(__xludf.DUMMYFUNCTION("""COMPUTED_VALUE"""),638.0)</f>
        <v>638</v>
      </c>
      <c r="C183" s="1">
        <f>IFERROR(__xludf.DUMMYFUNCTION("""COMPUTED_VALUE"""),638.0)</f>
        <v>638</v>
      </c>
      <c r="D183" s="1">
        <f>IFERROR(__xludf.DUMMYFUNCTION("""COMPUTED_VALUE"""),600.0)</f>
        <v>600</v>
      </c>
      <c r="E183" s="1">
        <f>IFERROR(__xludf.DUMMYFUNCTION("""COMPUTED_VALUE"""),615.0)</f>
        <v>615</v>
      </c>
      <c r="F183" s="1">
        <f>IFERROR(__xludf.DUMMYFUNCTION("""COMPUTED_VALUE"""),426877.0)</f>
        <v>426877</v>
      </c>
      <c r="G183" s="2" t="s">
        <v>7</v>
      </c>
    </row>
    <row r="184">
      <c r="A184" s="3">
        <f>IFERROR(__xludf.DUMMYFUNCTION("""COMPUTED_VALUE"""),44830.6875)</f>
        <v>44830.6875</v>
      </c>
      <c r="B184" s="1">
        <f>IFERROR(__xludf.DUMMYFUNCTION("""COMPUTED_VALUE"""),611.0)</f>
        <v>611</v>
      </c>
      <c r="C184" s="1">
        <f>IFERROR(__xludf.DUMMYFUNCTION("""COMPUTED_VALUE"""),623.24)</f>
        <v>623.24</v>
      </c>
      <c r="D184" s="1">
        <f>IFERROR(__xludf.DUMMYFUNCTION("""COMPUTED_VALUE"""),601.0)</f>
        <v>601</v>
      </c>
      <c r="E184" s="1">
        <f>IFERROR(__xludf.DUMMYFUNCTION("""COMPUTED_VALUE"""),610.0)</f>
        <v>610</v>
      </c>
      <c r="F184" s="1">
        <f>IFERROR(__xludf.DUMMYFUNCTION("""COMPUTED_VALUE"""),616341.0)</f>
        <v>616341</v>
      </c>
      <c r="G184" s="2" t="s">
        <v>7</v>
      </c>
    </row>
    <row r="185">
      <c r="A185" s="3">
        <f>IFERROR(__xludf.DUMMYFUNCTION("""COMPUTED_VALUE"""),44831.6875)</f>
        <v>44831.6875</v>
      </c>
      <c r="B185" s="1">
        <f>IFERROR(__xludf.DUMMYFUNCTION("""COMPUTED_VALUE"""),609.0)</f>
        <v>609</v>
      </c>
      <c r="C185" s="1">
        <f>IFERROR(__xludf.DUMMYFUNCTION("""COMPUTED_VALUE"""),624.0)</f>
        <v>624</v>
      </c>
      <c r="D185" s="1">
        <f>IFERROR(__xludf.DUMMYFUNCTION("""COMPUTED_VALUE"""),564.0)</f>
        <v>564</v>
      </c>
      <c r="E185" s="1">
        <f>IFERROR(__xludf.DUMMYFUNCTION("""COMPUTED_VALUE"""),564.0)</f>
        <v>564</v>
      </c>
      <c r="F185" s="1">
        <f>IFERROR(__xludf.DUMMYFUNCTION("""COMPUTED_VALUE"""),209128.0)</f>
        <v>209128</v>
      </c>
      <c r="G185" s="2" t="s">
        <v>7</v>
      </c>
    </row>
    <row r="186">
      <c r="A186" s="3">
        <f>IFERROR(__xludf.DUMMYFUNCTION("""COMPUTED_VALUE"""),44832.6875)</f>
        <v>44832.6875</v>
      </c>
      <c r="B186" s="1">
        <f>IFERROR(__xludf.DUMMYFUNCTION("""COMPUTED_VALUE"""),559.0)</f>
        <v>559</v>
      </c>
      <c r="C186" s="1">
        <f>IFERROR(__xludf.DUMMYFUNCTION("""COMPUTED_VALUE"""),569.05)</f>
        <v>569.05</v>
      </c>
      <c r="D186" s="1">
        <f>IFERROR(__xludf.DUMMYFUNCTION("""COMPUTED_VALUE"""),531.0)</f>
        <v>531</v>
      </c>
      <c r="E186" s="1">
        <f>IFERROR(__xludf.DUMMYFUNCTION("""COMPUTED_VALUE"""),548.0)</f>
        <v>548</v>
      </c>
      <c r="F186" s="1">
        <f>IFERROR(__xludf.DUMMYFUNCTION("""COMPUTED_VALUE"""),749342.0)</f>
        <v>749342</v>
      </c>
      <c r="G186" s="2" t="s">
        <v>7</v>
      </c>
    </row>
    <row r="187">
      <c r="A187" s="3">
        <f>IFERROR(__xludf.DUMMYFUNCTION("""COMPUTED_VALUE"""),44833.6875)</f>
        <v>44833.6875</v>
      </c>
      <c r="B187" s="1">
        <f>IFERROR(__xludf.DUMMYFUNCTION("""COMPUTED_VALUE"""),535.0)</f>
        <v>535</v>
      </c>
      <c r="C187" s="1">
        <f>IFERROR(__xludf.DUMMYFUNCTION("""COMPUTED_VALUE"""),556.21)</f>
        <v>556.21</v>
      </c>
      <c r="D187" s="1">
        <f>IFERROR(__xludf.DUMMYFUNCTION("""COMPUTED_VALUE"""),517.0)</f>
        <v>517</v>
      </c>
      <c r="E187" s="1">
        <f>IFERROR(__xludf.DUMMYFUNCTION("""COMPUTED_VALUE"""),529.0)</f>
        <v>529</v>
      </c>
      <c r="F187" s="1">
        <f>IFERROR(__xludf.DUMMYFUNCTION("""COMPUTED_VALUE"""),170649.0)</f>
        <v>170649</v>
      </c>
      <c r="G187" s="2" t="s">
        <v>7</v>
      </c>
    </row>
    <row r="188">
      <c r="A188" s="3">
        <f>IFERROR(__xludf.DUMMYFUNCTION("""COMPUTED_VALUE"""),44834.6875)</f>
        <v>44834.6875</v>
      </c>
      <c r="B188" s="1">
        <f>IFERROR(__xludf.DUMMYFUNCTION("""COMPUTED_VALUE"""),511.0)</f>
        <v>511</v>
      </c>
      <c r="C188" s="1">
        <f>IFERROR(__xludf.DUMMYFUNCTION("""COMPUTED_VALUE"""),551.0)</f>
        <v>551</v>
      </c>
      <c r="D188" s="1">
        <f>IFERROR(__xludf.DUMMYFUNCTION("""COMPUTED_VALUE"""),511.0)</f>
        <v>511</v>
      </c>
      <c r="E188" s="1">
        <f>IFERROR(__xludf.DUMMYFUNCTION("""COMPUTED_VALUE"""),535.0)</f>
        <v>535</v>
      </c>
      <c r="F188" s="1">
        <f>IFERROR(__xludf.DUMMYFUNCTION("""COMPUTED_VALUE"""),122439.0)</f>
        <v>122439</v>
      </c>
      <c r="G188" s="2" t="s">
        <v>7</v>
      </c>
    </row>
    <row r="189">
      <c r="A189" s="3">
        <f>IFERROR(__xludf.DUMMYFUNCTION("""COMPUTED_VALUE"""),44837.6875)</f>
        <v>44837.6875</v>
      </c>
      <c r="B189" s="1">
        <f>IFERROR(__xludf.DUMMYFUNCTION("""COMPUTED_VALUE"""),530.0)</f>
        <v>530</v>
      </c>
      <c r="C189" s="1">
        <f>IFERROR(__xludf.DUMMYFUNCTION("""COMPUTED_VALUE"""),552.0)</f>
        <v>552</v>
      </c>
      <c r="D189" s="1">
        <f>IFERROR(__xludf.DUMMYFUNCTION("""COMPUTED_VALUE"""),508.57)</f>
        <v>508.57</v>
      </c>
      <c r="E189" s="1">
        <f>IFERROR(__xludf.DUMMYFUNCTION("""COMPUTED_VALUE"""),547.0)</f>
        <v>547</v>
      </c>
      <c r="F189" s="1">
        <f>IFERROR(__xludf.DUMMYFUNCTION("""COMPUTED_VALUE"""),700534.0)</f>
        <v>700534</v>
      </c>
      <c r="G189" s="2" t="s">
        <v>7</v>
      </c>
    </row>
    <row r="190">
      <c r="A190" s="3">
        <f>IFERROR(__xludf.DUMMYFUNCTION("""COMPUTED_VALUE"""),44838.6875)</f>
        <v>44838.6875</v>
      </c>
      <c r="B190" s="1">
        <f>IFERROR(__xludf.DUMMYFUNCTION("""COMPUTED_VALUE"""),574.0)</f>
        <v>574</v>
      </c>
      <c r="C190" s="1">
        <f>IFERROR(__xludf.DUMMYFUNCTION("""COMPUTED_VALUE"""),591.0)</f>
        <v>591</v>
      </c>
      <c r="D190" s="1">
        <f>IFERROR(__xludf.DUMMYFUNCTION("""COMPUTED_VALUE"""),549.0)</f>
        <v>549</v>
      </c>
      <c r="E190" s="1">
        <f>IFERROR(__xludf.DUMMYFUNCTION("""COMPUTED_VALUE"""),562.0)</f>
        <v>562</v>
      </c>
      <c r="F190" s="1">
        <f>IFERROR(__xludf.DUMMYFUNCTION("""COMPUTED_VALUE"""),574604.0)</f>
        <v>574604</v>
      </c>
      <c r="G190" s="2" t="s">
        <v>7</v>
      </c>
    </row>
    <row r="191">
      <c r="A191" s="3">
        <f>IFERROR(__xludf.DUMMYFUNCTION("""COMPUTED_VALUE"""),44839.6875)</f>
        <v>44839.6875</v>
      </c>
      <c r="B191" s="1">
        <f>IFERROR(__xludf.DUMMYFUNCTION("""COMPUTED_VALUE"""),581.0)</f>
        <v>581</v>
      </c>
      <c r="C191" s="1">
        <f>IFERROR(__xludf.DUMMYFUNCTION("""COMPUTED_VALUE"""),598.0)</f>
        <v>598</v>
      </c>
      <c r="D191" s="1">
        <f>IFERROR(__xludf.DUMMYFUNCTION("""COMPUTED_VALUE"""),557.0)</f>
        <v>557</v>
      </c>
      <c r="E191" s="1">
        <f>IFERROR(__xludf.DUMMYFUNCTION("""COMPUTED_VALUE"""),597.0)</f>
        <v>597</v>
      </c>
      <c r="F191" s="1">
        <f>IFERROR(__xludf.DUMMYFUNCTION("""COMPUTED_VALUE"""),358124.0)</f>
        <v>358124</v>
      </c>
      <c r="G191" s="2" t="s">
        <v>7</v>
      </c>
    </row>
    <row r="192">
      <c r="A192" s="3">
        <f>IFERROR(__xludf.DUMMYFUNCTION("""COMPUTED_VALUE"""),44840.6875)</f>
        <v>44840.6875</v>
      </c>
      <c r="B192" s="1">
        <f>IFERROR(__xludf.DUMMYFUNCTION("""COMPUTED_VALUE"""),595.0)</f>
        <v>595</v>
      </c>
      <c r="C192" s="1">
        <f>IFERROR(__xludf.DUMMYFUNCTION("""COMPUTED_VALUE"""),643.0)</f>
        <v>643</v>
      </c>
      <c r="D192" s="1">
        <f>IFERROR(__xludf.DUMMYFUNCTION("""COMPUTED_VALUE"""),595.0)</f>
        <v>595</v>
      </c>
      <c r="E192" s="1">
        <f>IFERROR(__xludf.DUMMYFUNCTION("""COMPUTED_VALUE"""),621.0)</f>
        <v>621</v>
      </c>
      <c r="F192" s="1">
        <f>IFERROR(__xludf.DUMMYFUNCTION("""COMPUTED_VALUE"""),697824.0)</f>
        <v>697824</v>
      </c>
      <c r="G192" s="2" t="s">
        <v>7</v>
      </c>
    </row>
    <row r="193">
      <c r="A193" s="3">
        <f>IFERROR(__xludf.DUMMYFUNCTION("""COMPUTED_VALUE"""),44841.6875)</f>
        <v>44841.6875</v>
      </c>
      <c r="B193" s="1">
        <f>IFERROR(__xludf.DUMMYFUNCTION("""COMPUTED_VALUE"""),636.0)</f>
        <v>636</v>
      </c>
      <c r="C193" s="1">
        <f>IFERROR(__xludf.DUMMYFUNCTION("""COMPUTED_VALUE"""),636.0)</f>
        <v>636</v>
      </c>
      <c r="D193" s="1">
        <f>IFERROR(__xludf.DUMMYFUNCTION("""COMPUTED_VALUE"""),610.0)</f>
        <v>610</v>
      </c>
      <c r="E193" s="1">
        <f>IFERROR(__xludf.DUMMYFUNCTION("""COMPUTED_VALUE"""),620.0)</f>
        <v>620</v>
      </c>
      <c r="F193" s="1">
        <f>IFERROR(__xludf.DUMMYFUNCTION("""COMPUTED_VALUE"""),184606.0)</f>
        <v>184606</v>
      </c>
      <c r="G193" s="2" t="s">
        <v>7</v>
      </c>
    </row>
    <row r="194">
      <c r="A194" s="3">
        <f>IFERROR(__xludf.DUMMYFUNCTION("""COMPUTED_VALUE"""),44844.6875)</f>
        <v>44844.6875</v>
      </c>
      <c r="B194" s="1">
        <f>IFERROR(__xludf.DUMMYFUNCTION("""COMPUTED_VALUE"""),604.0)</f>
        <v>604</v>
      </c>
      <c r="C194" s="1">
        <f>IFERROR(__xludf.DUMMYFUNCTION("""COMPUTED_VALUE"""),630.0)</f>
        <v>630</v>
      </c>
      <c r="D194" s="1">
        <f>IFERROR(__xludf.DUMMYFUNCTION("""COMPUTED_VALUE"""),604.0)</f>
        <v>604</v>
      </c>
      <c r="E194" s="1">
        <f>IFERROR(__xludf.DUMMYFUNCTION("""COMPUTED_VALUE"""),616.0)</f>
        <v>616</v>
      </c>
      <c r="F194" s="1">
        <f>IFERROR(__xludf.DUMMYFUNCTION("""COMPUTED_VALUE"""),185290.0)</f>
        <v>185290</v>
      </c>
      <c r="G194" s="2" t="s">
        <v>7</v>
      </c>
    </row>
    <row r="195">
      <c r="A195" s="3">
        <f>IFERROR(__xludf.DUMMYFUNCTION("""COMPUTED_VALUE"""),44845.6875)</f>
        <v>44845.6875</v>
      </c>
      <c r="B195" s="1">
        <f>IFERROR(__xludf.DUMMYFUNCTION("""COMPUTED_VALUE"""),612.0)</f>
        <v>612</v>
      </c>
      <c r="C195" s="1">
        <f>IFERROR(__xludf.DUMMYFUNCTION("""COMPUTED_VALUE"""),656.0)</f>
        <v>656</v>
      </c>
      <c r="D195" s="1">
        <f>IFERROR(__xludf.DUMMYFUNCTION("""COMPUTED_VALUE"""),600.0)</f>
        <v>600</v>
      </c>
      <c r="E195" s="1">
        <f>IFERROR(__xludf.DUMMYFUNCTION("""COMPUTED_VALUE"""),606.0)</f>
        <v>606</v>
      </c>
      <c r="F195" s="1">
        <f>IFERROR(__xludf.DUMMYFUNCTION("""COMPUTED_VALUE"""),202069.0)</f>
        <v>202069</v>
      </c>
      <c r="G195" s="2" t="s">
        <v>7</v>
      </c>
    </row>
    <row r="196">
      <c r="A196" s="3">
        <f>IFERROR(__xludf.DUMMYFUNCTION("""COMPUTED_VALUE"""),44846.6875)</f>
        <v>44846.6875</v>
      </c>
      <c r="B196" s="1">
        <f>IFERROR(__xludf.DUMMYFUNCTION("""COMPUTED_VALUE"""),600.0)</f>
        <v>600</v>
      </c>
      <c r="C196" s="1">
        <f>IFERROR(__xludf.DUMMYFUNCTION("""COMPUTED_VALUE"""),608.0)</f>
        <v>608</v>
      </c>
      <c r="D196" s="1">
        <f>IFERROR(__xludf.DUMMYFUNCTION("""COMPUTED_VALUE"""),595.0)</f>
        <v>595</v>
      </c>
      <c r="E196" s="1">
        <f>IFERROR(__xludf.DUMMYFUNCTION("""COMPUTED_VALUE"""),600.0)</f>
        <v>600</v>
      </c>
      <c r="F196" s="1">
        <f>IFERROR(__xludf.DUMMYFUNCTION("""COMPUTED_VALUE"""),336408.0)</f>
        <v>336408</v>
      </c>
      <c r="G196" s="2" t="s">
        <v>7</v>
      </c>
    </row>
    <row r="197">
      <c r="A197" s="3">
        <f>IFERROR(__xludf.DUMMYFUNCTION("""COMPUTED_VALUE"""),44847.6875)</f>
        <v>44847.6875</v>
      </c>
      <c r="B197" s="1">
        <f>IFERROR(__xludf.DUMMYFUNCTION("""COMPUTED_VALUE"""),597.0)</f>
        <v>597</v>
      </c>
      <c r="C197" s="1">
        <f>IFERROR(__xludf.DUMMYFUNCTION("""COMPUTED_VALUE"""),626.0)</f>
        <v>626</v>
      </c>
      <c r="D197" s="1">
        <f>IFERROR(__xludf.DUMMYFUNCTION("""COMPUTED_VALUE"""),597.0)</f>
        <v>597</v>
      </c>
      <c r="E197" s="1">
        <f>IFERROR(__xludf.DUMMYFUNCTION("""COMPUTED_VALUE"""),623.0)</f>
        <v>623</v>
      </c>
      <c r="F197" s="1">
        <f>IFERROR(__xludf.DUMMYFUNCTION("""COMPUTED_VALUE"""),125542.0)</f>
        <v>125542</v>
      </c>
      <c r="G197" s="2" t="s">
        <v>7</v>
      </c>
    </row>
    <row r="198">
      <c r="A198" s="3">
        <f>IFERROR(__xludf.DUMMYFUNCTION("""COMPUTED_VALUE"""),44848.6875)</f>
        <v>44848.6875</v>
      </c>
      <c r="B198" s="1">
        <f>IFERROR(__xludf.DUMMYFUNCTION("""COMPUTED_VALUE"""),649.0)</f>
        <v>649</v>
      </c>
      <c r="C198" s="1">
        <f>IFERROR(__xludf.DUMMYFUNCTION("""COMPUTED_VALUE"""),651.0)</f>
        <v>651</v>
      </c>
      <c r="D198" s="1">
        <f>IFERROR(__xludf.DUMMYFUNCTION("""COMPUTED_VALUE"""),622.64)</f>
        <v>622.64</v>
      </c>
      <c r="E198" s="1">
        <f>IFERROR(__xludf.DUMMYFUNCTION("""COMPUTED_VALUE"""),628.0)</f>
        <v>628</v>
      </c>
      <c r="F198" s="1">
        <f>IFERROR(__xludf.DUMMYFUNCTION("""COMPUTED_VALUE"""),152174.0)</f>
        <v>152174</v>
      </c>
      <c r="G198" s="2" t="s">
        <v>7</v>
      </c>
    </row>
    <row r="199">
      <c r="A199" s="3">
        <f>IFERROR(__xludf.DUMMYFUNCTION("""COMPUTED_VALUE"""),44851.6875)</f>
        <v>44851.6875</v>
      </c>
      <c r="B199" s="1">
        <f>IFERROR(__xludf.DUMMYFUNCTION("""COMPUTED_VALUE"""),649.0)</f>
        <v>649</v>
      </c>
      <c r="C199" s="1">
        <f>IFERROR(__xludf.DUMMYFUNCTION("""COMPUTED_VALUE"""),658.0)</f>
        <v>658</v>
      </c>
      <c r="D199" s="1">
        <f>IFERROR(__xludf.DUMMYFUNCTION("""COMPUTED_VALUE"""),623.0)</f>
        <v>623</v>
      </c>
      <c r="E199" s="1">
        <f>IFERROR(__xludf.DUMMYFUNCTION("""COMPUTED_VALUE"""),657.0)</f>
        <v>657</v>
      </c>
      <c r="F199" s="1">
        <f>IFERROR(__xludf.DUMMYFUNCTION("""COMPUTED_VALUE"""),193203.0)</f>
        <v>193203</v>
      </c>
      <c r="G199" s="2" t="s">
        <v>7</v>
      </c>
    </row>
    <row r="200">
      <c r="A200" s="3">
        <f>IFERROR(__xludf.DUMMYFUNCTION("""COMPUTED_VALUE"""),44852.6875)</f>
        <v>44852.6875</v>
      </c>
      <c r="B200" s="1">
        <f>IFERROR(__xludf.DUMMYFUNCTION("""COMPUTED_VALUE"""),667.0)</f>
        <v>667</v>
      </c>
      <c r="C200" s="1">
        <f>IFERROR(__xludf.DUMMYFUNCTION("""COMPUTED_VALUE"""),703.0)</f>
        <v>703</v>
      </c>
      <c r="D200" s="1">
        <f>IFERROR(__xludf.DUMMYFUNCTION("""COMPUTED_VALUE"""),649.0)</f>
        <v>649</v>
      </c>
      <c r="E200" s="1">
        <f>IFERROR(__xludf.DUMMYFUNCTION("""COMPUTED_VALUE"""),656.0)</f>
        <v>656</v>
      </c>
      <c r="F200" s="1">
        <f>IFERROR(__xludf.DUMMYFUNCTION("""COMPUTED_VALUE"""),168227.0)</f>
        <v>168227</v>
      </c>
      <c r="G200" s="2" t="s">
        <v>7</v>
      </c>
    </row>
    <row r="201">
      <c r="A201" s="3">
        <f>IFERROR(__xludf.DUMMYFUNCTION("""COMPUTED_VALUE"""),44853.6875)</f>
        <v>44853.6875</v>
      </c>
      <c r="B201" s="1">
        <f>IFERROR(__xludf.DUMMYFUNCTION("""COMPUTED_VALUE"""),629.0)</f>
        <v>629</v>
      </c>
      <c r="C201" s="1">
        <f>IFERROR(__xludf.DUMMYFUNCTION("""COMPUTED_VALUE"""),658.0)</f>
        <v>658</v>
      </c>
      <c r="D201" s="1">
        <f>IFERROR(__xludf.DUMMYFUNCTION("""COMPUTED_VALUE"""),622.0)</f>
        <v>622</v>
      </c>
      <c r="E201" s="1">
        <f>IFERROR(__xludf.DUMMYFUNCTION("""COMPUTED_VALUE"""),626.0)</f>
        <v>626</v>
      </c>
      <c r="F201" s="1">
        <f>IFERROR(__xludf.DUMMYFUNCTION("""COMPUTED_VALUE"""),153635.0)</f>
        <v>153635</v>
      </c>
      <c r="G201" s="2" t="s">
        <v>7</v>
      </c>
    </row>
    <row r="202">
      <c r="A202" s="3">
        <f>IFERROR(__xludf.DUMMYFUNCTION("""COMPUTED_VALUE"""),44854.6875)</f>
        <v>44854.6875</v>
      </c>
      <c r="B202" s="1">
        <f>IFERROR(__xludf.DUMMYFUNCTION("""COMPUTED_VALUE"""),630.0)</f>
        <v>630</v>
      </c>
      <c r="C202" s="1">
        <f>IFERROR(__xludf.DUMMYFUNCTION("""COMPUTED_VALUE"""),654.0)</f>
        <v>654</v>
      </c>
      <c r="D202" s="1">
        <f>IFERROR(__xludf.DUMMYFUNCTION("""COMPUTED_VALUE"""),619.84)</f>
        <v>619.84</v>
      </c>
      <c r="E202" s="1">
        <f>IFERROR(__xludf.DUMMYFUNCTION("""COMPUTED_VALUE"""),622.0)</f>
        <v>622</v>
      </c>
      <c r="F202" s="1">
        <f>IFERROR(__xludf.DUMMYFUNCTION("""COMPUTED_VALUE"""),303367.0)</f>
        <v>303367</v>
      </c>
      <c r="G202" s="2" t="s">
        <v>7</v>
      </c>
    </row>
    <row r="203">
      <c r="A203" s="3">
        <f>IFERROR(__xludf.DUMMYFUNCTION("""COMPUTED_VALUE"""),44855.6875)</f>
        <v>44855.6875</v>
      </c>
      <c r="B203" s="1">
        <f>IFERROR(__xludf.DUMMYFUNCTION("""COMPUTED_VALUE"""),630.0)</f>
        <v>630</v>
      </c>
      <c r="C203" s="1">
        <f>IFERROR(__xludf.DUMMYFUNCTION("""COMPUTED_VALUE"""),636.0)</f>
        <v>636</v>
      </c>
      <c r="D203" s="1">
        <f>IFERROR(__xludf.DUMMYFUNCTION("""COMPUTED_VALUE"""),600.0)</f>
        <v>600</v>
      </c>
      <c r="E203" s="1">
        <f>IFERROR(__xludf.DUMMYFUNCTION("""COMPUTED_VALUE"""),611.0)</f>
        <v>611</v>
      </c>
      <c r="F203" s="1">
        <f>IFERROR(__xludf.DUMMYFUNCTION("""COMPUTED_VALUE"""),125674.0)</f>
        <v>125674</v>
      </c>
      <c r="G203" s="2" t="s">
        <v>7</v>
      </c>
    </row>
    <row r="204">
      <c r="A204" s="3">
        <f>IFERROR(__xludf.DUMMYFUNCTION("""COMPUTED_VALUE"""),44858.6875)</f>
        <v>44858.6875</v>
      </c>
      <c r="B204" s="1">
        <f>IFERROR(__xludf.DUMMYFUNCTION("""COMPUTED_VALUE"""),600.0)</f>
        <v>600</v>
      </c>
      <c r="C204" s="1">
        <f>IFERROR(__xludf.DUMMYFUNCTION("""COMPUTED_VALUE"""),626.0)</f>
        <v>626</v>
      </c>
      <c r="D204" s="1">
        <f>IFERROR(__xludf.DUMMYFUNCTION("""COMPUTED_VALUE"""),592.34)</f>
        <v>592.34</v>
      </c>
      <c r="E204" s="1">
        <f>IFERROR(__xludf.DUMMYFUNCTION("""COMPUTED_VALUE"""),598.0)</f>
        <v>598</v>
      </c>
      <c r="F204" s="1">
        <f>IFERROR(__xludf.DUMMYFUNCTION("""COMPUTED_VALUE"""),218830.0)</f>
        <v>218830</v>
      </c>
      <c r="G204" s="2" t="s">
        <v>7</v>
      </c>
    </row>
    <row r="205">
      <c r="A205" s="3">
        <f>IFERROR(__xludf.DUMMYFUNCTION("""COMPUTED_VALUE"""),44859.6875)</f>
        <v>44859.6875</v>
      </c>
      <c r="B205" s="1">
        <f>IFERROR(__xludf.DUMMYFUNCTION("""COMPUTED_VALUE"""),612.0)</f>
        <v>612</v>
      </c>
      <c r="C205" s="1">
        <f>IFERROR(__xludf.DUMMYFUNCTION("""COMPUTED_VALUE"""),641.0)</f>
        <v>641</v>
      </c>
      <c r="D205" s="1">
        <f>IFERROR(__xludf.DUMMYFUNCTION("""COMPUTED_VALUE"""),595.0)</f>
        <v>595</v>
      </c>
      <c r="E205" s="1">
        <f>IFERROR(__xludf.DUMMYFUNCTION("""COMPUTED_VALUE"""),611.0)</f>
        <v>611</v>
      </c>
      <c r="F205" s="1">
        <f>IFERROR(__xludf.DUMMYFUNCTION("""COMPUTED_VALUE"""),236925.0)</f>
        <v>236925</v>
      </c>
      <c r="G205" s="2" t="s">
        <v>7</v>
      </c>
    </row>
    <row r="206">
      <c r="A206" s="3">
        <f>IFERROR(__xludf.DUMMYFUNCTION("""COMPUTED_VALUE"""),44860.6875)</f>
        <v>44860.6875</v>
      </c>
      <c r="B206" s="1">
        <f>IFERROR(__xludf.DUMMYFUNCTION("""COMPUTED_VALUE"""),608.0)</f>
        <v>608</v>
      </c>
      <c r="C206" s="1">
        <f>IFERROR(__xludf.DUMMYFUNCTION("""COMPUTED_VALUE"""),622.0)</f>
        <v>622</v>
      </c>
      <c r="D206" s="1">
        <f>IFERROR(__xludf.DUMMYFUNCTION("""COMPUTED_VALUE"""),603.16)</f>
        <v>603.16</v>
      </c>
      <c r="E206" s="1">
        <f>IFERROR(__xludf.DUMMYFUNCTION("""COMPUTED_VALUE"""),617.0)</f>
        <v>617</v>
      </c>
      <c r="F206" s="1">
        <f>IFERROR(__xludf.DUMMYFUNCTION("""COMPUTED_VALUE"""),345963.0)</f>
        <v>345963</v>
      </c>
      <c r="G206" s="2" t="s">
        <v>7</v>
      </c>
    </row>
    <row r="207">
      <c r="A207" s="3">
        <f>IFERROR(__xludf.DUMMYFUNCTION("""COMPUTED_VALUE"""),44861.6875)</f>
        <v>44861.6875</v>
      </c>
      <c r="B207" s="1">
        <f>IFERROR(__xludf.DUMMYFUNCTION("""COMPUTED_VALUE"""),600.0)</f>
        <v>600</v>
      </c>
      <c r="C207" s="1">
        <f>IFERROR(__xludf.DUMMYFUNCTION("""COMPUTED_VALUE"""),620.0)</f>
        <v>620</v>
      </c>
      <c r="D207" s="1">
        <f>IFERROR(__xludf.DUMMYFUNCTION("""COMPUTED_VALUE"""),599.0)</f>
        <v>599</v>
      </c>
      <c r="E207" s="1">
        <f>IFERROR(__xludf.DUMMYFUNCTION("""COMPUTED_VALUE"""),608.0)</f>
        <v>608</v>
      </c>
      <c r="F207" s="1">
        <f>IFERROR(__xludf.DUMMYFUNCTION("""COMPUTED_VALUE"""),72281.0)</f>
        <v>72281</v>
      </c>
      <c r="G207" s="2" t="s">
        <v>7</v>
      </c>
    </row>
    <row r="208">
      <c r="A208" s="3">
        <f>IFERROR(__xludf.DUMMYFUNCTION("""COMPUTED_VALUE"""),44862.6875)</f>
        <v>44862.6875</v>
      </c>
      <c r="B208" s="1">
        <f>IFERROR(__xludf.DUMMYFUNCTION("""COMPUTED_VALUE"""),604.0)</f>
        <v>604</v>
      </c>
      <c r="C208" s="1">
        <f>IFERROR(__xludf.DUMMYFUNCTION("""COMPUTED_VALUE"""),615.0)</f>
        <v>615</v>
      </c>
      <c r="D208" s="1">
        <f>IFERROR(__xludf.DUMMYFUNCTION("""COMPUTED_VALUE"""),595.0)</f>
        <v>595</v>
      </c>
      <c r="E208" s="1">
        <f>IFERROR(__xludf.DUMMYFUNCTION("""COMPUTED_VALUE"""),602.0)</f>
        <v>602</v>
      </c>
      <c r="F208" s="1">
        <f>IFERROR(__xludf.DUMMYFUNCTION("""COMPUTED_VALUE"""),232666.0)</f>
        <v>232666</v>
      </c>
      <c r="G208" s="2" t="s">
        <v>7</v>
      </c>
    </row>
    <row r="209">
      <c r="A209" s="3">
        <f>IFERROR(__xludf.DUMMYFUNCTION("""COMPUTED_VALUE"""),44865.6875)</f>
        <v>44865.6875</v>
      </c>
      <c r="B209" s="1">
        <f>IFERROR(__xludf.DUMMYFUNCTION("""COMPUTED_VALUE"""),608.0)</f>
        <v>608</v>
      </c>
      <c r="C209" s="1">
        <f>IFERROR(__xludf.DUMMYFUNCTION("""COMPUTED_VALUE"""),620.0)</f>
        <v>620</v>
      </c>
      <c r="D209" s="1">
        <f>IFERROR(__xludf.DUMMYFUNCTION("""COMPUTED_VALUE"""),594.0)</f>
        <v>594</v>
      </c>
      <c r="E209" s="1">
        <f>IFERROR(__xludf.DUMMYFUNCTION("""COMPUTED_VALUE"""),610.0)</f>
        <v>610</v>
      </c>
      <c r="F209" s="1">
        <f>IFERROR(__xludf.DUMMYFUNCTION("""COMPUTED_VALUE"""),62800.0)</f>
        <v>62800</v>
      </c>
      <c r="G209" s="2" t="s">
        <v>7</v>
      </c>
    </row>
    <row r="210">
      <c r="A210" s="3">
        <f>IFERROR(__xludf.DUMMYFUNCTION("""COMPUTED_VALUE"""),44866.6875)</f>
        <v>44866.6875</v>
      </c>
      <c r="B210" s="1">
        <f>IFERROR(__xludf.DUMMYFUNCTION("""COMPUTED_VALUE"""),600.0)</f>
        <v>600</v>
      </c>
      <c r="C210" s="1">
        <f>IFERROR(__xludf.DUMMYFUNCTION("""COMPUTED_VALUE"""),639.0)</f>
        <v>639</v>
      </c>
      <c r="D210" s="1">
        <f>IFERROR(__xludf.DUMMYFUNCTION("""COMPUTED_VALUE"""),600.0)</f>
        <v>600</v>
      </c>
      <c r="E210" s="1">
        <f>IFERROR(__xludf.DUMMYFUNCTION("""COMPUTED_VALUE"""),622.0)</f>
        <v>622</v>
      </c>
      <c r="F210" s="1">
        <f>IFERROR(__xludf.DUMMYFUNCTION("""COMPUTED_VALUE"""),97564.0)</f>
        <v>97564</v>
      </c>
      <c r="G210" s="2" t="s">
        <v>7</v>
      </c>
    </row>
    <row r="211">
      <c r="A211" s="3">
        <f>IFERROR(__xludf.DUMMYFUNCTION("""COMPUTED_VALUE"""),44867.6875)</f>
        <v>44867.6875</v>
      </c>
      <c r="B211" s="1">
        <f>IFERROR(__xludf.DUMMYFUNCTION("""COMPUTED_VALUE"""),640.0)</f>
        <v>640</v>
      </c>
      <c r="C211" s="1">
        <f>IFERROR(__xludf.DUMMYFUNCTION("""COMPUTED_VALUE"""),640.0)</f>
        <v>640</v>
      </c>
      <c r="D211" s="1">
        <f>IFERROR(__xludf.DUMMYFUNCTION("""COMPUTED_VALUE"""),612.57)</f>
        <v>612.57</v>
      </c>
      <c r="E211" s="1">
        <f>IFERROR(__xludf.DUMMYFUNCTION("""COMPUTED_VALUE"""),624.0)</f>
        <v>624</v>
      </c>
      <c r="F211" s="1">
        <f>IFERROR(__xludf.DUMMYFUNCTION("""COMPUTED_VALUE"""),105820.0)</f>
        <v>105820</v>
      </c>
      <c r="G211" s="2" t="s">
        <v>7</v>
      </c>
    </row>
    <row r="212">
      <c r="A212" s="3">
        <f>IFERROR(__xludf.DUMMYFUNCTION("""COMPUTED_VALUE"""),44868.6875)</f>
        <v>44868.6875</v>
      </c>
      <c r="B212" s="1">
        <f>IFERROR(__xludf.DUMMYFUNCTION("""COMPUTED_VALUE"""),614.0)</f>
        <v>614</v>
      </c>
      <c r="C212" s="1">
        <f>IFERROR(__xludf.DUMMYFUNCTION("""COMPUTED_VALUE"""),626.55)</f>
        <v>626.55</v>
      </c>
      <c r="D212" s="1">
        <f>IFERROR(__xludf.DUMMYFUNCTION("""COMPUTED_VALUE"""),600.0)</f>
        <v>600</v>
      </c>
      <c r="E212" s="1">
        <f>IFERROR(__xludf.DUMMYFUNCTION("""COMPUTED_VALUE"""),609.0)</f>
        <v>609</v>
      </c>
      <c r="F212" s="1">
        <f>IFERROR(__xludf.DUMMYFUNCTION("""COMPUTED_VALUE"""),77096.0)</f>
        <v>77096</v>
      </c>
      <c r="G212" s="2" t="s">
        <v>7</v>
      </c>
    </row>
    <row r="213">
      <c r="A213" s="3">
        <f>IFERROR(__xludf.DUMMYFUNCTION("""COMPUTED_VALUE"""),44869.6875)</f>
        <v>44869.6875</v>
      </c>
      <c r="B213" s="1">
        <f>IFERROR(__xludf.DUMMYFUNCTION("""COMPUTED_VALUE"""),618.0)</f>
        <v>618</v>
      </c>
      <c r="C213" s="1">
        <f>IFERROR(__xludf.DUMMYFUNCTION("""COMPUTED_VALUE"""),620.0)</f>
        <v>620</v>
      </c>
      <c r="D213" s="1">
        <f>IFERROR(__xludf.DUMMYFUNCTION("""COMPUTED_VALUE"""),606.0)</f>
        <v>606</v>
      </c>
      <c r="E213" s="1">
        <f>IFERROR(__xludf.DUMMYFUNCTION("""COMPUTED_VALUE"""),613.0)</f>
        <v>613</v>
      </c>
      <c r="F213" s="1">
        <f>IFERROR(__xludf.DUMMYFUNCTION("""COMPUTED_VALUE"""),1054036.0)</f>
        <v>1054036</v>
      </c>
      <c r="G213" s="2" t="s">
        <v>7</v>
      </c>
    </row>
    <row r="214">
      <c r="A214" s="3">
        <f>IFERROR(__xludf.DUMMYFUNCTION("""COMPUTED_VALUE"""),44872.6875)</f>
        <v>44872.6875</v>
      </c>
      <c r="B214" s="1">
        <f>IFERROR(__xludf.DUMMYFUNCTION("""COMPUTED_VALUE"""),619.0)</f>
        <v>619</v>
      </c>
      <c r="C214" s="1">
        <f>IFERROR(__xludf.DUMMYFUNCTION("""COMPUTED_VALUE"""),649.08)</f>
        <v>649.08</v>
      </c>
      <c r="D214" s="1">
        <f>IFERROR(__xludf.DUMMYFUNCTION("""COMPUTED_VALUE"""),614.0)</f>
        <v>614</v>
      </c>
      <c r="E214" s="1">
        <f>IFERROR(__xludf.DUMMYFUNCTION("""COMPUTED_VALUE"""),634.0)</f>
        <v>634</v>
      </c>
      <c r="F214" s="1">
        <f>IFERROR(__xludf.DUMMYFUNCTION("""COMPUTED_VALUE"""),478035.0)</f>
        <v>478035</v>
      </c>
      <c r="G214" s="2" t="s">
        <v>7</v>
      </c>
    </row>
    <row r="215">
      <c r="A215" s="3">
        <f>IFERROR(__xludf.DUMMYFUNCTION("""COMPUTED_VALUE"""),44873.6875)</f>
        <v>44873.6875</v>
      </c>
      <c r="B215" s="1">
        <f>IFERROR(__xludf.DUMMYFUNCTION("""COMPUTED_VALUE"""),587.0)</f>
        <v>587</v>
      </c>
      <c r="C215" s="1">
        <f>IFERROR(__xludf.DUMMYFUNCTION("""COMPUTED_VALUE"""),608.0)</f>
        <v>608</v>
      </c>
      <c r="D215" s="1">
        <f>IFERROR(__xludf.DUMMYFUNCTION("""COMPUTED_VALUE"""),528.25)</f>
        <v>528.25</v>
      </c>
      <c r="E215" s="1">
        <f>IFERROR(__xludf.DUMMYFUNCTION("""COMPUTED_VALUE"""),538.0)</f>
        <v>538</v>
      </c>
      <c r="F215" s="1">
        <f>IFERROR(__xludf.DUMMYFUNCTION("""COMPUTED_VALUE"""),789806.0)</f>
        <v>789806</v>
      </c>
      <c r="G215" s="2" t="s">
        <v>7</v>
      </c>
    </row>
    <row r="216">
      <c r="A216" s="3">
        <f>IFERROR(__xludf.DUMMYFUNCTION("""COMPUTED_VALUE"""),44874.6875)</f>
        <v>44874.6875</v>
      </c>
      <c r="B216" s="1">
        <f>IFERROR(__xludf.DUMMYFUNCTION("""COMPUTED_VALUE"""),538.0)</f>
        <v>538</v>
      </c>
      <c r="C216" s="1">
        <f>IFERROR(__xludf.DUMMYFUNCTION("""COMPUTED_VALUE"""),555.0)</f>
        <v>555</v>
      </c>
      <c r="D216" s="1">
        <f>IFERROR(__xludf.DUMMYFUNCTION("""COMPUTED_VALUE"""),529.0)</f>
        <v>529</v>
      </c>
      <c r="E216" s="1">
        <f>IFERROR(__xludf.DUMMYFUNCTION("""COMPUTED_VALUE"""),550.0)</f>
        <v>550</v>
      </c>
      <c r="F216" s="1">
        <f>IFERROR(__xludf.DUMMYFUNCTION("""COMPUTED_VALUE"""),1098107.0)</f>
        <v>1098107</v>
      </c>
      <c r="G216" s="2" t="s">
        <v>7</v>
      </c>
    </row>
    <row r="217">
      <c r="A217" s="3">
        <f>IFERROR(__xludf.DUMMYFUNCTION("""COMPUTED_VALUE"""),44875.6875)</f>
        <v>44875.6875</v>
      </c>
      <c r="B217" s="1">
        <f>IFERROR(__xludf.DUMMYFUNCTION("""COMPUTED_VALUE"""),540.0)</f>
        <v>540</v>
      </c>
      <c r="C217" s="1">
        <f>IFERROR(__xludf.DUMMYFUNCTION("""COMPUTED_VALUE"""),564.0)</f>
        <v>564</v>
      </c>
      <c r="D217" s="1">
        <f>IFERROR(__xludf.DUMMYFUNCTION("""COMPUTED_VALUE"""),540.0)</f>
        <v>540</v>
      </c>
      <c r="E217" s="1">
        <f>IFERROR(__xludf.DUMMYFUNCTION("""COMPUTED_VALUE"""),560.0)</f>
        <v>560</v>
      </c>
      <c r="F217" s="1">
        <f>IFERROR(__xludf.DUMMYFUNCTION("""COMPUTED_VALUE"""),335260.0)</f>
        <v>335260</v>
      </c>
      <c r="G217" s="2" t="s">
        <v>7</v>
      </c>
    </row>
    <row r="218">
      <c r="A218" s="3">
        <f>IFERROR(__xludf.DUMMYFUNCTION("""COMPUTED_VALUE"""),44876.6875)</f>
        <v>44876.6875</v>
      </c>
      <c r="B218" s="1">
        <f>IFERROR(__xludf.DUMMYFUNCTION("""COMPUTED_VALUE"""),550.0)</f>
        <v>550</v>
      </c>
      <c r="C218" s="1">
        <f>IFERROR(__xludf.DUMMYFUNCTION("""COMPUTED_VALUE"""),584.0)</f>
        <v>584</v>
      </c>
      <c r="D218" s="1">
        <f>IFERROR(__xludf.DUMMYFUNCTION("""COMPUTED_VALUE"""),550.0)</f>
        <v>550</v>
      </c>
      <c r="E218" s="1">
        <f>IFERROR(__xludf.DUMMYFUNCTION("""COMPUTED_VALUE"""),572.0)</f>
        <v>572</v>
      </c>
      <c r="F218" s="1">
        <f>IFERROR(__xludf.DUMMYFUNCTION("""COMPUTED_VALUE"""),607870.0)</f>
        <v>607870</v>
      </c>
      <c r="G218" s="2" t="s">
        <v>7</v>
      </c>
    </row>
    <row r="219">
      <c r="A219" s="3">
        <f>IFERROR(__xludf.DUMMYFUNCTION("""COMPUTED_VALUE"""),44879.6875)</f>
        <v>44879.6875</v>
      </c>
      <c r="B219" s="1">
        <f>IFERROR(__xludf.DUMMYFUNCTION("""COMPUTED_VALUE"""),565.0)</f>
        <v>565</v>
      </c>
      <c r="C219" s="1">
        <f>IFERROR(__xludf.DUMMYFUNCTION("""COMPUTED_VALUE"""),585.0)</f>
        <v>585</v>
      </c>
      <c r="D219" s="1">
        <f>IFERROR(__xludf.DUMMYFUNCTION("""COMPUTED_VALUE"""),545.76)</f>
        <v>545.76</v>
      </c>
      <c r="E219" s="1">
        <f>IFERROR(__xludf.DUMMYFUNCTION("""COMPUTED_VALUE"""),567.0)</f>
        <v>567</v>
      </c>
      <c r="F219" s="1">
        <f>IFERROR(__xludf.DUMMYFUNCTION("""COMPUTED_VALUE"""),207143.0)</f>
        <v>207143</v>
      </c>
      <c r="G219" s="2" t="s">
        <v>7</v>
      </c>
    </row>
    <row r="220">
      <c r="A220" s="3">
        <f>IFERROR(__xludf.DUMMYFUNCTION("""COMPUTED_VALUE"""),44880.6875)</f>
        <v>44880.6875</v>
      </c>
      <c r="B220" s="1">
        <f>IFERROR(__xludf.DUMMYFUNCTION("""COMPUTED_VALUE"""),578.0)</f>
        <v>578</v>
      </c>
      <c r="C220" s="1">
        <f>IFERROR(__xludf.DUMMYFUNCTION("""COMPUTED_VALUE"""),590.0)</f>
        <v>590</v>
      </c>
      <c r="D220" s="1">
        <f>IFERROR(__xludf.DUMMYFUNCTION("""COMPUTED_VALUE"""),549.0)</f>
        <v>549</v>
      </c>
      <c r="E220" s="1">
        <f>IFERROR(__xludf.DUMMYFUNCTION("""COMPUTED_VALUE"""),551.0)</f>
        <v>551</v>
      </c>
      <c r="F220" s="1">
        <f>IFERROR(__xludf.DUMMYFUNCTION("""COMPUTED_VALUE"""),166367.0)</f>
        <v>166367</v>
      </c>
      <c r="G220" s="2" t="s">
        <v>7</v>
      </c>
    </row>
    <row r="221">
      <c r="A221" s="3">
        <f>IFERROR(__xludf.DUMMYFUNCTION("""COMPUTED_VALUE"""),44881.6875)</f>
        <v>44881.6875</v>
      </c>
      <c r="B221" s="1">
        <f>IFERROR(__xludf.DUMMYFUNCTION("""COMPUTED_VALUE"""),563.0)</f>
        <v>563</v>
      </c>
      <c r="C221" s="1">
        <f>IFERROR(__xludf.DUMMYFUNCTION("""COMPUTED_VALUE"""),563.0)</f>
        <v>563</v>
      </c>
      <c r="D221" s="1">
        <f>IFERROR(__xludf.DUMMYFUNCTION("""COMPUTED_VALUE"""),535.0)</f>
        <v>535</v>
      </c>
      <c r="E221" s="1">
        <f>IFERROR(__xludf.DUMMYFUNCTION("""COMPUTED_VALUE"""),552.0)</f>
        <v>552</v>
      </c>
      <c r="F221" s="1">
        <f>IFERROR(__xludf.DUMMYFUNCTION("""COMPUTED_VALUE"""),203227.0)</f>
        <v>203227</v>
      </c>
      <c r="G221" s="2" t="s">
        <v>7</v>
      </c>
    </row>
    <row r="222">
      <c r="A222" s="3">
        <f>IFERROR(__xludf.DUMMYFUNCTION("""COMPUTED_VALUE"""),44882.6875)</f>
        <v>44882.6875</v>
      </c>
      <c r="B222" s="1">
        <f>IFERROR(__xludf.DUMMYFUNCTION("""COMPUTED_VALUE"""),561.0)</f>
        <v>561</v>
      </c>
      <c r="C222" s="1">
        <f>IFERROR(__xludf.DUMMYFUNCTION("""COMPUTED_VALUE"""),588.32)</f>
        <v>588.32</v>
      </c>
      <c r="D222" s="1">
        <f>IFERROR(__xludf.DUMMYFUNCTION("""COMPUTED_VALUE"""),537.0)</f>
        <v>537</v>
      </c>
      <c r="E222" s="1">
        <f>IFERROR(__xludf.DUMMYFUNCTION("""COMPUTED_VALUE"""),544.0)</f>
        <v>544</v>
      </c>
      <c r="F222" s="1">
        <f>IFERROR(__xludf.DUMMYFUNCTION("""COMPUTED_VALUE"""),194501.0)</f>
        <v>194501</v>
      </c>
      <c r="G222" s="2" t="s">
        <v>7</v>
      </c>
    </row>
    <row r="223">
      <c r="A223" s="3">
        <f>IFERROR(__xludf.DUMMYFUNCTION("""COMPUTED_VALUE"""),44883.6875)</f>
        <v>44883.6875</v>
      </c>
      <c r="B223" s="1">
        <f>IFERROR(__xludf.DUMMYFUNCTION("""COMPUTED_VALUE"""),560.0)</f>
        <v>560</v>
      </c>
      <c r="C223" s="1">
        <f>IFERROR(__xludf.DUMMYFUNCTION("""COMPUTED_VALUE"""),569.23)</f>
        <v>569.23</v>
      </c>
      <c r="D223" s="1">
        <f>IFERROR(__xludf.DUMMYFUNCTION("""COMPUTED_VALUE"""),540.0)</f>
        <v>540</v>
      </c>
      <c r="E223" s="1">
        <f>IFERROR(__xludf.DUMMYFUNCTION("""COMPUTED_VALUE"""),552.0)</f>
        <v>552</v>
      </c>
      <c r="F223" s="1">
        <f>IFERROR(__xludf.DUMMYFUNCTION("""COMPUTED_VALUE"""),335052.0)</f>
        <v>335052</v>
      </c>
      <c r="G223" s="2" t="s">
        <v>7</v>
      </c>
    </row>
    <row r="224">
      <c r="A224" s="3">
        <f>IFERROR(__xludf.DUMMYFUNCTION("""COMPUTED_VALUE"""),44886.6875)</f>
        <v>44886.6875</v>
      </c>
      <c r="B224" s="1">
        <f>IFERROR(__xludf.DUMMYFUNCTION("""COMPUTED_VALUE"""),561.0)</f>
        <v>561</v>
      </c>
      <c r="C224" s="1">
        <f>IFERROR(__xludf.DUMMYFUNCTION("""COMPUTED_VALUE"""),569.0)</f>
        <v>569</v>
      </c>
      <c r="D224" s="1">
        <f>IFERROR(__xludf.DUMMYFUNCTION("""COMPUTED_VALUE"""),542.0)</f>
        <v>542</v>
      </c>
      <c r="E224" s="1">
        <f>IFERROR(__xludf.DUMMYFUNCTION("""COMPUTED_VALUE"""),542.0)</f>
        <v>542</v>
      </c>
      <c r="F224" s="1">
        <f>IFERROR(__xludf.DUMMYFUNCTION("""COMPUTED_VALUE"""),654651.0)</f>
        <v>654651</v>
      </c>
      <c r="G224" s="2" t="s">
        <v>7</v>
      </c>
    </row>
    <row r="225">
      <c r="A225" s="3">
        <f>IFERROR(__xludf.DUMMYFUNCTION("""COMPUTED_VALUE"""),44887.6875)</f>
        <v>44887.6875</v>
      </c>
      <c r="B225" s="1">
        <f>IFERROR(__xludf.DUMMYFUNCTION("""COMPUTED_VALUE"""),560.0)</f>
        <v>560</v>
      </c>
      <c r="C225" s="1">
        <f>IFERROR(__xludf.DUMMYFUNCTION("""COMPUTED_VALUE"""),560.0)</f>
        <v>560</v>
      </c>
      <c r="D225" s="1">
        <f>IFERROR(__xludf.DUMMYFUNCTION("""COMPUTED_VALUE"""),540.0)</f>
        <v>540</v>
      </c>
      <c r="E225" s="1">
        <f>IFERROR(__xludf.DUMMYFUNCTION("""COMPUTED_VALUE"""),543.0)</f>
        <v>543</v>
      </c>
      <c r="F225" s="1">
        <f>IFERROR(__xludf.DUMMYFUNCTION("""COMPUTED_VALUE"""),78164.0)</f>
        <v>78164</v>
      </c>
      <c r="G225" s="2" t="s">
        <v>7</v>
      </c>
    </row>
    <row r="226">
      <c r="A226" s="3">
        <f>IFERROR(__xludf.DUMMYFUNCTION("""COMPUTED_VALUE"""),44888.6875)</f>
        <v>44888.6875</v>
      </c>
      <c r="B226" s="1">
        <f>IFERROR(__xludf.DUMMYFUNCTION("""COMPUTED_VALUE"""),543.0)</f>
        <v>543</v>
      </c>
      <c r="C226" s="1">
        <f>IFERROR(__xludf.DUMMYFUNCTION("""COMPUTED_VALUE"""),550.0)</f>
        <v>550</v>
      </c>
      <c r="D226" s="1">
        <f>IFERROR(__xludf.DUMMYFUNCTION("""COMPUTED_VALUE"""),530.0)</f>
        <v>530</v>
      </c>
      <c r="E226" s="1">
        <f>IFERROR(__xludf.DUMMYFUNCTION("""COMPUTED_VALUE"""),535.0)</f>
        <v>535</v>
      </c>
      <c r="F226" s="1">
        <f>IFERROR(__xludf.DUMMYFUNCTION("""COMPUTED_VALUE"""),110389.0)</f>
        <v>110389</v>
      </c>
      <c r="G226" s="2" t="s">
        <v>7</v>
      </c>
    </row>
    <row r="227">
      <c r="A227" s="3">
        <f>IFERROR(__xludf.DUMMYFUNCTION("""COMPUTED_VALUE"""),44889.6875)</f>
        <v>44889.6875</v>
      </c>
      <c r="B227" s="1">
        <f>IFERROR(__xludf.DUMMYFUNCTION("""COMPUTED_VALUE"""),541.0)</f>
        <v>541</v>
      </c>
      <c r="C227" s="1">
        <f>IFERROR(__xludf.DUMMYFUNCTION("""COMPUTED_VALUE"""),541.0)</f>
        <v>541</v>
      </c>
      <c r="D227" s="1">
        <f>IFERROR(__xludf.DUMMYFUNCTION("""COMPUTED_VALUE"""),530.0)</f>
        <v>530</v>
      </c>
      <c r="E227" s="1">
        <f>IFERROR(__xludf.DUMMYFUNCTION("""COMPUTED_VALUE"""),530.0)</f>
        <v>530</v>
      </c>
      <c r="F227" s="1">
        <f>IFERROR(__xludf.DUMMYFUNCTION("""COMPUTED_VALUE"""),144624.0)</f>
        <v>144624</v>
      </c>
      <c r="G227" s="2" t="s">
        <v>7</v>
      </c>
    </row>
    <row r="228">
      <c r="A228" s="3">
        <f>IFERROR(__xludf.DUMMYFUNCTION("""COMPUTED_VALUE"""),44890.6875)</f>
        <v>44890.6875</v>
      </c>
      <c r="B228" s="1">
        <f>IFERROR(__xludf.DUMMYFUNCTION("""COMPUTED_VALUE"""),535.0)</f>
        <v>535</v>
      </c>
      <c r="C228" s="1">
        <f>IFERROR(__xludf.DUMMYFUNCTION("""COMPUTED_VALUE"""),538.0)</f>
        <v>538</v>
      </c>
      <c r="D228" s="1">
        <f>IFERROR(__xludf.DUMMYFUNCTION("""COMPUTED_VALUE"""),530.0)</f>
        <v>530</v>
      </c>
      <c r="E228" s="1">
        <f>IFERROR(__xludf.DUMMYFUNCTION("""COMPUTED_VALUE"""),535.0)</f>
        <v>535</v>
      </c>
      <c r="F228" s="1">
        <f>IFERROR(__xludf.DUMMYFUNCTION("""COMPUTED_VALUE"""),556385.0)</f>
        <v>556385</v>
      </c>
      <c r="G228" s="2" t="s">
        <v>7</v>
      </c>
    </row>
    <row r="229">
      <c r="A229" s="3">
        <f>IFERROR(__xludf.DUMMYFUNCTION("""COMPUTED_VALUE"""),44893.6875)</f>
        <v>44893.6875</v>
      </c>
      <c r="B229" s="1">
        <f>IFERROR(__xludf.DUMMYFUNCTION("""COMPUTED_VALUE"""),550.0)</f>
        <v>550</v>
      </c>
      <c r="C229" s="1">
        <f>IFERROR(__xludf.DUMMYFUNCTION("""COMPUTED_VALUE"""),550.0)</f>
        <v>550</v>
      </c>
      <c r="D229" s="1">
        <f>IFERROR(__xludf.DUMMYFUNCTION("""COMPUTED_VALUE"""),533.0)</f>
        <v>533</v>
      </c>
      <c r="E229" s="1">
        <f>IFERROR(__xludf.DUMMYFUNCTION("""COMPUTED_VALUE"""),544.0)</f>
        <v>544</v>
      </c>
      <c r="F229" s="1">
        <f>IFERROR(__xludf.DUMMYFUNCTION("""COMPUTED_VALUE"""),1357036.0)</f>
        <v>1357036</v>
      </c>
      <c r="G229" s="2" t="s">
        <v>7</v>
      </c>
    </row>
    <row r="230">
      <c r="A230" s="3">
        <f>IFERROR(__xludf.DUMMYFUNCTION("""COMPUTED_VALUE"""),44894.6875)</f>
        <v>44894.6875</v>
      </c>
      <c r="B230" s="1">
        <f>IFERROR(__xludf.DUMMYFUNCTION("""COMPUTED_VALUE"""),540.0)</f>
        <v>540</v>
      </c>
      <c r="C230" s="1">
        <f>IFERROR(__xludf.DUMMYFUNCTION("""COMPUTED_VALUE"""),543.0)</f>
        <v>543</v>
      </c>
      <c r="D230" s="1">
        <f>IFERROR(__xludf.DUMMYFUNCTION("""COMPUTED_VALUE"""),530.0)</f>
        <v>530</v>
      </c>
      <c r="E230" s="1">
        <f>IFERROR(__xludf.DUMMYFUNCTION("""COMPUTED_VALUE"""),534.0)</f>
        <v>534</v>
      </c>
      <c r="F230" s="1">
        <f>IFERROR(__xludf.DUMMYFUNCTION("""COMPUTED_VALUE"""),723071.0)</f>
        <v>723071</v>
      </c>
      <c r="G230" s="2" t="s">
        <v>7</v>
      </c>
    </row>
    <row r="231">
      <c r="A231" s="3">
        <f>IFERROR(__xludf.DUMMYFUNCTION("""COMPUTED_VALUE"""),44895.6875)</f>
        <v>44895.6875</v>
      </c>
      <c r="B231" s="1">
        <f>IFERROR(__xludf.DUMMYFUNCTION("""COMPUTED_VALUE"""),534.0)</f>
        <v>534</v>
      </c>
      <c r="C231" s="1">
        <f>IFERROR(__xludf.DUMMYFUNCTION("""COMPUTED_VALUE"""),553.0)</f>
        <v>553</v>
      </c>
      <c r="D231" s="1">
        <f>IFERROR(__xludf.DUMMYFUNCTION("""COMPUTED_VALUE"""),521.0)</f>
        <v>521</v>
      </c>
      <c r="E231" s="1">
        <f>IFERROR(__xludf.DUMMYFUNCTION("""COMPUTED_VALUE"""),541.0)</f>
        <v>541</v>
      </c>
      <c r="F231" s="1">
        <f>IFERROR(__xludf.DUMMYFUNCTION("""COMPUTED_VALUE"""),498733.0)</f>
        <v>498733</v>
      </c>
      <c r="G231" s="2" t="s">
        <v>7</v>
      </c>
    </row>
    <row r="232">
      <c r="A232" s="3">
        <f>IFERROR(__xludf.DUMMYFUNCTION("""COMPUTED_VALUE"""),44896.6875)</f>
        <v>44896.6875</v>
      </c>
      <c r="B232" s="1">
        <f>IFERROR(__xludf.DUMMYFUNCTION("""COMPUTED_VALUE"""),555.0)</f>
        <v>555</v>
      </c>
      <c r="C232" s="1">
        <f>IFERROR(__xludf.DUMMYFUNCTION("""COMPUTED_VALUE"""),555.0)</f>
        <v>555</v>
      </c>
      <c r="D232" s="1">
        <f>IFERROR(__xludf.DUMMYFUNCTION("""COMPUTED_VALUE"""),535.0)</f>
        <v>535</v>
      </c>
      <c r="E232" s="1">
        <f>IFERROR(__xludf.DUMMYFUNCTION("""COMPUTED_VALUE"""),535.0)</f>
        <v>535</v>
      </c>
      <c r="F232" s="1">
        <f>IFERROR(__xludf.DUMMYFUNCTION("""COMPUTED_VALUE"""),629346.0)</f>
        <v>629346</v>
      </c>
      <c r="G232" s="2" t="s">
        <v>7</v>
      </c>
    </row>
    <row r="233">
      <c r="A233" s="3">
        <f>IFERROR(__xludf.DUMMYFUNCTION("""COMPUTED_VALUE"""),44897.6875)</f>
        <v>44897.6875</v>
      </c>
      <c r="B233" s="1">
        <f>IFERROR(__xludf.DUMMYFUNCTION("""COMPUTED_VALUE"""),541.0)</f>
        <v>541</v>
      </c>
      <c r="C233" s="1">
        <f>IFERROR(__xludf.DUMMYFUNCTION("""COMPUTED_VALUE"""),545.0)</f>
        <v>545</v>
      </c>
      <c r="D233" s="1">
        <f>IFERROR(__xludf.DUMMYFUNCTION("""COMPUTED_VALUE"""),533.0)</f>
        <v>533</v>
      </c>
      <c r="E233" s="1">
        <f>IFERROR(__xludf.DUMMYFUNCTION("""COMPUTED_VALUE"""),539.0)</f>
        <v>539</v>
      </c>
      <c r="F233" s="1">
        <f>IFERROR(__xludf.DUMMYFUNCTION("""COMPUTED_VALUE"""),404149.0)</f>
        <v>404149</v>
      </c>
      <c r="G233" s="2" t="s">
        <v>7</v>
      </c>
    </row>
    <row r="234">
      <c r="A234" s="3">
        <f>IFERROR(__xludf.DUMMYFUNCTION("""COMPUTED_VALUE"""),44900.6875)</f>
        <v>44900.6875</v>
      </c>
      <c r="B234" s="1">
        <f>IFERROR(__xludf.DUMMYFUNCTION("""COMPUTED_VALUE"""),540.0)</f>
        <v>540</v>
      </c>
      <c r="C234" s="1">
        <f>IFERROR(__xludf.DUMMYFUNCTION("""COMPUTED_VALUE"""),551.0)</f>
        <v>551</v>
      </c>
      <c r="D234" s="1">
        <f>IFERROR(__xludf.DUMMYFUNCTION("""COMPUTED_VALUE"""),531.5)</f>
        <v>531.5</v>
      </c>
      <c r="E234" s="1">
        <f>IFERROR(__xludf.DUMMYFUNCTION("""COMPUTED_VALUE"""),540.0)</f>
        <v>540</v>
      </c>
      <c r="F234" s="1">
        <f>IFERROR(__xludf.DUMMYFUNCTION("""COMPUTED_VALUE"""),178779.0)</f>
        <v>178779</v>
      </c>
      <c r="G234" s="2" t="s">
        <v>7</v>
      </c>
    </row>
    <row r="235">
      <c r="A235" s="3">
        <f>IFERROR(__xludf.DUMMYFUNCTION("""COMPUTED_VALUE"""),44901.6875)</f>
        <v>44901.6875</v>
      </c>
      <c r="B235" s="1">
        <f>IFERROR(__xludf.DUMMYFUNCTION("""COMPUTED_VALUE"""),540.0)</f>
        <v>540</v>
      </c>
      <c r="C235" s="1">
        <f>IFERROR(__xludf.DUMMYFUNCTION("""COMPUTED_VALUE"""),540.0)</f>
        <v>540</v>
      </c>
      <c r="D235" s="1">
        <f>IFERROR(__xludf.DUMMYFUNCTION("""COMPUTED_VALUE"""),525.0)</f>
        <v>525</v>
      </c>
      <c r="E235" s="1">
        <f>IFERROR(__xludf.DUMMYFUNCTION("""COMPUTED_VALUE"""),528.0)</f>
        <v>528</v>
      </c>
      <c r="F235" s="1">
        <f>IFERROR(__xludf.DUMMYFUNCTION("""COMPUTED_VALUE"""),860504.0)</f>
        <v>860504</v>
      </c>
      <c r="G235" s="2" t="s">
        <v>7</v>
      </c>
    </row>
    <row r="236">
      <c r="A236" s="3">
        <f>IFERROR(__xludf.DUMMYFUNCTION("""COMPUTED_VALUE"""),44902.6875)</f>
        <v>44902.6875</v>
      </c>
      <c r="B236" s="1">
        <f>IFERROR(__xludf.DUMMYFUNCTION("""COMPUTED_VALUE"""),551.0)</f>
        <v>551</v>
      </c>
      <c r="C236" s="1">
        <f>IFERROR(__xludf.DUMMYFUNCTION("""COMPUTED_VALUE"""),551.0)</f>
        <v>551</v>
      </c>
      <c r="D236" s="1">
        <f>IFERROR(__xludf.DUMMYFUNCTION("""COMPUTED_VALUE"""),515.0)</f>
        <v>515</v>
      </c>
      <c r="E236" s="1">
        <f>IFERROR(__xludf.DUMMYFUNCTION("""COMPUTED_VALUE"""),518.0)</f>
        <v>518</v>
      </c>
      <c r="F236" s="1">
        <f>IFERROR(__xludf.DUMMYFUNCTION("""COMPUTED_VALUE"""),134237.0)</f>
        <v>134237</v>
      </c>
      <c r="G236" s="2" t="s">
        <v>7</v>
      </c>
    </row>
    <row r="237">
      <c r="A237" s="3">
        <f>IFERROR(__xludf.DUMMYFUNCTION("""COMPUTED_VALUE"""),44903.6875)</f>
        <v>44903.6875</v>
      </c>
      <c r="B237" s="1">
        <f>IFERROR(__xludf.DUMMYFUNCTION("""COMPUTED_VALUE"""),534.0)</f>
        <v>534</v>
      </c>
      <c r="C237" s="1">
        <f>IFERROR(__xludf.DUMMYFUNCTION("""COMPUTED_VALUE"""),547.0)</f>
        <v>547</v>
      </c>
      <c r="D237" s="1">
        <f>IFERROR(__xludf.DUMMYFUNCTION("""COMPUTED_VALUE"""),500.0)</f>
        <v>500</v>
      </c>
      <c r="E237" s="1">
        <f>IFERROR(__xludf.DUMMYFUNCTION("""COMPUTED_VALUE"""),500.0)</f>
        <v>500</v>
      </c>
      <c r="F237" s="1">
        <f>IFERROR(__xludf.DUMMYFUNCTION("""COMPUTED_VALUE"""),135469.0)</f>
        <v>135469</v>
      </c>
      <c r="G237" s="2" t="s">
        <v>7</v>
      </c>
    </row>
    <row r="238">
      <c r="A238" s="3">
        <f>IFERROR(__xludf.DUMMYFUNCTION("""COMPUTED_VALUE"""),44904.6875)</f>
        <v>44904.6875</v>
      </c>
      <c r="B238" s="1">
        <f>IFERROR(__xludf.DUMMYFUNCTION("""COMPUTED_VALUE"""),508.0)</f>
        <v>508</v>
      </c>
      <c r="C238" s="1">
        <f>IFERROR(__xludf.DUMMYFUNCTION("""COMPUTED_VALUE"""),528.96)</f>
        <v>528.96</v>
      </c>
      <c r="D238" s="1">
        <f>IFERROR(__xludf.DUMMYFUNCTION("""COMPUTED_VALUE"""),495.42)</f>
        <v>495.42</v>
      </c>
      <c r="E238" s="1">
        <f>IFERROR(__xludf.DUMMYFUNCTION("""COMPUTED_VALUE"""),519.0)</f>
        <v>519</v>
      </c>
      <c r="F238" s="1">
        <f>IFERROR(__xludf.DUMMYFUNCTION("""COMPUTED_VALUE"""),439395.0)</f>
        <v>439395</v>
      </c>
      <c r="G238" s="2" t="s">
        <v>7</v>
      </c>
    </row>
    <row r="239">
      <c r="A239" s="3">
        <f>IFERROR(__xludf.DUMMYFUNCTION("""COMPUTED_VALUE"""),44907.6875)</f>
        <v>44907.6875</v>
      </c>
      <c r="B239" s="1">
        <f>IFERROR(__xludf.DUMMYFUNCTION("""COMPUTED_VALUE"""),520.0)</f>
        <v>520</v>
      </c>
      <c r="C239" s="1">
        <f>IFERROR(__xludf.DUMMYFUNCTION("""COMPUTED_VALUE"""),537.0)</f>
        <v>537</v>
      </c>
      <c r="D239" s="1">
        <f>IFERROR(__xludf.DUMMYFUNCTION("""COMPUTED_VALUE"""),512.0)</f>
        <v>512</v>
      </c>
      <c r="E239" s="1">
        <f>IFERROR(__xludf.DUMMYFUNCTION("""COMPUTED_VALUE"""),529.0)</f>
        <v>529</v>
      </c>
      <c r="F239" s="1">
        <f>IFERROR(__xludf.DUMMYFUNCTION("""COMPUTED_VALUE"""),194123.0)</f>
        <v>194123</v>
      </c>
      <c r="G239" s="2" t="s">
        <v>7</v>
      </c>
    </row>
    <row r="240">
      <c r="A240" s="3">
        <f>IFERROR(__xludf.DUMMYFUNCTION("""COMPUTED_VALUE"""),44908.6875)</f>
        <v>44908.6875</v>
      </c>
      <c r="B240" s="1">
        <f>IFERROR(__xludf.DUMMYFUNCTION("""COMPUTED_VALUE"""),531.0)</f>
        <v>531</v>
      </c>
      <c r="C240" s="1">
        <f>IFERROR(__xludf.DUMMYFUNCTION("""COMPUTED_VALUE"""),546.0)</f>
        <v>546</v>
      </c>
      <c r="D240" s="1">
        <f>IFERROR(__xludf.DUMMYFUNCTION("""COMPUTED_VALUE"""),515.0)</f>
        <v>515</v>
      </c>
      <c r="E240" s="1">
        <f>IFERROR(__xludf.DUMMYFUNCTION("""COMPUTED_VALUE"""),529.0)</f>
        <v>529</v>
      </c>
      <c r="F240" s="1">
        <f>IFERROR(__xludf.DUMMYFUNCTION("""COMPUTED_VALUE"""),198144.0)</f>
        <v>198144</v>
      </c>
      <c r="G240" s="2" t="s">
        <v>7</v>
      </c>
    </row>
    <row r="241">
      <c r="A241" s="3">
        <f>IFERROR(__xludf.DUMMYFUNCTION("""COMPUTED_VALUE"""),44909.6875)</f>
        <v>44909.6875</v>
      </c>
      <c r="B241" s="1">
        <f>IFERROR(__xludf.DUMMYFUNCTION("""COMPUTED_VALUE"""),532.0)</f>
        <v>532</v>
      </c>
      <c r="C241" s="1">
        <f>IFERROR(__xludf.DUMMYFUNCTION("""COMPUTED_VALUE"""),551.0)</f>
        <v>551</v>
      </c>
      <c r="D241" s="1">
        <f>IFERROR(__xludf.DUMMYFUNCTION("""COMPUTED_VALUE"""),511.0)</f>
        <v>511</v>
      </c>
      <c r="E241" s="1">
        <f>IFERROR(__xludf.DUMMYFUNCTION("""COMPUTED_VALUE"""),525.0)</f>
        <v>525</v>
      </c>
      <c r="F241" s="1">
        <f>IFERROR(__xludf.DUMMYFUNCTION("""COMPUTED_VALUE"""),203891.0)</f>
        <v>203891</v>
      </c>
      <c r="G241" s="2" t="s">
        <v>7</v>
      </c>
    </row>
    <row r="242">
      <c r="A242" s="3">
        <f>IFERROR(__xludf.DUMMYFUNCTION("""COMPUTED_VALUE"""),44910.6875)</f>
        <v>44910.6875</v>
      </c>
      <c r="B242" s="1">
        <f>IFERROR(__xludf.DUMMYFUNCTION("""COMPUTED_VALUE"""),525.0)</f>
        <v>525</v>
      </c>
      <c r="C242" s="1">
        <f>IFERROR(__xludf.DUMMYFUNCTION("""COMPUTED_VALUE"""),534.0)</f>
        <v>534</v>
      </c>
      <c r="D242" s="1">
        <f>IFERROR(__xludf.DUMMYFUNCTION("""COMPUTED_VALUE"""),510.0)</f>
        <v>510</v>
      </c>
      <c r="E242" s="1">
        <f>IFERROR(__xludf.DUMMYFUNCTION("""COMPUTED_VALUE"""),515.0)</f>
        <v>515</v>
      </c>
      <c r="F242" s="1">
        <f>IFERROR(__xludf.DUMMYFUNCTION("""COMPUTED_VALUE"""),118057.0)</f>
        <v>118057</v>
      </c>
      <c r="G242" s="2" t="s">
        <v>7</v>
      </c>
    </row>
    <row r="243">
      <c r="A243" s="3">
        <f>IFERROR(__xludf.DUMMYFUNCTION("""COMPUTED_VALUE"""),44911.6875)</f>
        <v>44911.6875</v>
      </c>
      <c r="B243" s="1">
        <f>IFERROR(__xludf.DUMMYFUNCTION("""COMPUTED_VALUE"""),501.0)</f>
        <v>501</v>
      </c>
      <c r="C243" s="1">
        <f>IFERROR(__xludf.DUMMYFUNCTION("""COMPUTED_VALUE"""),514.0)</f>
        <v>514</v>
      </c>
      <c r="D243" s="1">
        <f>IFERROR(__xludf.DUMMYFUNCTION("""COMPUTED_VALUE"""),497.0)</f>
        <v>497</v>
      </c>
      <c r="E243" s="1">
        <f>IFERROR(__xludf.DUMMYFUNCTION("""COMPUTED_VALUE"""),514.0)</f>
        <v>514</v>
      </c>
      <c r="F243" s="1">
        <f>IFERROR(__xludf.DUMMYFUNCTION("""COMPUTED_VALUE"""),326782.0)</f>
        <v>326782</v>
      </c>
      <c r="G243" s="2" t="s">
        <v>7</v>
      </c>
    </row>
    <row r="244">
      <c r="A244" s="3">
        <f>IFERROR(__xludf.DUMMYFUNCTION("""COMPUTED_VALUE"""),44914.6875)</f>
        <v>44914.6875</v>
      </c>
      <c r="B244" s="1">
        <f>IFERROR(__xludf.DUMMYFUNCTION("""COMPUTED_VALUE"""),516.0)</f>
        <v>516</v>
      </c>
      <c r="C244" s="1">
        <f>IFERROR(__xludf.DUMMYFUNCTION("""COMPUTED_VALUE"""),529.0)</f>
        <v>529</v>
      </c>
      <c r="D244" s="1">
        <f>IFERROR(__xludf.DUMMYFUNCTION("""COMPUTED_VALUE"""),512.66)</f>
        <v>512.66</v>
      </c>
      <c r="E244" s="1">
        <f>IFERROR(__xludf.DUMMYFUNCTION("""COMPUTED_VALUE"""),521.0)</f>
        <v>521</v>
      </c>
      <c r="F244" s="1">
        <f>IFERROR(__xludf.DUMMYFUNCTION("""COMPUTED_VALUE"""),84868.0)</f>
        <v>84868</v>
      </c>
      <c r="G244" s="2" t="s">
        <v>7</v>
      </c>
    </row>
    <row r="245">
      <c r="A245" s="3">
        <f>IFERROR(__xludf.DUMMYFUNCTION("""COMPUTED_VALUE"""),44915.6875)</f>
        <v>44915.6875</v>
      </c>
      <c r="B245" s="1">
        <f>IFERROR(__xludf.DUMMYFUNCTION("""COMPUTED_VALUE"""),502.0)</f>
        <v>502</v>
      </c>
      <c r="C245" s="1">
        <f>IFERROR(__xludf.DUMMYFUNCTION("""COMPUTED_VALUE"""),541.0)</f>
        <v>541</v>
      </c>
      <c r="D245" s="1">
        <f>IFERROR(__xludf.DUMMYFUNCTION("""COMPUTED_VALUE"""),502.0)</f>
        <v>502</v>
      </c>
      <c r="E245" s="1">
        <f>IFERROR(__xludf.DUMMYFUNCTION("""COMPUTED_VALUE"""),538.0)</f>
        <v>538</v>
      </c>
      <c r="F245" s="1">
        <f>IFERROR(__xludf.DUMMYFUNCTION("""COMPUTED_VALUE"""),1211832.0)</f>
        <v>1211832</v>
      </c>
      <c r="G245" s="2" t="s">
        <v>7</v>
      </c>
    </row>
    <row r="246">
      <c r="A246" s="3">
        <f>IFERROR(__xludf.DUMMYFUNCTION("""COMPUTED_VALUE"""),44916.6875)</f>
        <v>44916.6875</v>
      </c>
      <c r="B246" s="1">
        <f>IFERROR(__xludf.DUMMYFUNCTION("""COMPUTED_VALUE"""),533.0)</f>
        <v>533</v>
      </c>
      <c r="C246" s="1">
        <f>IFERROR(__xludf.DUMMYFUNCTION("""COMPUTED_VALUE"""),552.29)</f>
        <v>552.29</v>
      </c>
      <c r="D246" s="1">
        <f>IFERROR(__xludf.DUMMYFUNCTION("""COMPUTED_VALUE"""),531.14)</f>
        <v>531.14</v>
      </c>
      <c r="E246" s="1">
        <f>IFERROR(__xludf.DUMMYFUNCTION("""COMPUTED_VALUE"""),547.0)</f>
        <v>547</v>
      </c>
      <c r="F246" s="1">
        <f>IFERROR(__xludf.DUMMYFUNCTION("""COMPUTED_VALUE"""),154348.0)</f>
        <v>154348</v>
      </c>
      <c r="G246" s="2" t="s">
        <v>7</v>
      </c>
    </row>
    <row r="247">
      <c r="A247" s="3">
        <f>IFERROR(__xludf.DUMMYFUNCTION("""COMPUTED_VALUE"""),44917.6875)</f>
        <v>44917.6875</v>
      </c>
      <c r="B247" s="1">
        <f>IFERROR(__xludf.DUMMYFUNCTION("""COMPUTED_VALUE"""),552.0)</f>
        <v>552</v>
      </c>
      <c r="C247" s="1">
        <f>IFERROR(__xludf.DUMMYFUNCTION("""COMPUTED_VALUE"""),569.0)</f>
        <v>569</v>
      </c>
      <c r="D247" s="1">
        <f>IFERROR(__xludf.DUMMYFUNCTION("""COMPUTED_VALUE"""),540.09)</f>
        <v>540.09</v>
      </c>
      <c r="E247" s="1">
        <f>IFERROR(__xludf.DUMMYFUNCTION("""COMPUTED_VALUE"""),547.0)</f>
        <v>547</v>
      </c>
      <c r="F247" s="1">
        <f>IFERROR(__xludf.DUMMYFUNCTION("""COMPUTED_VALUE"""),153524.0)</f>
        <v>153524</v>
      </c>
      <c r="G247" s="2" t="s">
        <v>7</v>
      </c>
    </row>
    <row r="248">
      <c r="A248" s="3">
        <f>IFERROR(__xludf.DUMMYFUNCTION("""COMPUTED_VALUE"""),44918.52083333333)</f>
        <v>44918.52083</v>
      </c>
      <c r="B248" s="1">
        <f>IFERROR(__xludf.DUMMYFUNCTION("""COMPUTED_VALUE"""),526.0)</f>
        <v>526</v>
      </c>
      <c r="C248" s="1">
        <f>IFERROR(__xludf.DUMMYFUNCTION("""COMPUTED_VALUE"""),556.0)</f>
        <v>556</v>
      </c>
      <c r="D248" s="1">
        <f>IFERROR(__xludf.DUMMYFUNCTION("""COMPUTED_VALUE"""),525.1)</f>
        <v>525.1</v>
      </c>
      <c r="E248" s="1">
        <f>IFERROR(__xludf.DUMMYFUNCTION("""COMPUTED_VALUE"""),553.0)</f>
        <v>553</v>
      </c>
      <c r="F248" s="1">
        <f>IFERROR(__xludf.DUMMYFUNCTION("""COMPUTED_VALUE"""),41534.0)</f>
        <v>41534</v>
      </c>
      <c r="G248" s="2" t="s">
        <v>7</v>
      </c>
    </row>
    <row r="249">
      <c r="A249" s="3">
        <f>IFERROR(__xludf.DUMMYFUNCTION("""COMPUTED_VALUE"""),44923.6875)</f>
        <v>44923.6875</v>
      </c>
      <c r="B249" s="1">
        <f>IFERROR(__xludf.DUMMYFUNCTION("""COMPUTED_VALUE"""),560.0)</f>
        <v>560</v>
      </c>
      <c r="C249" s="1">
        <f>IFERROR(__xludf.DUMMYFUNCTION("""COMPUTED_VALUE"""),564.0)</f>
        <v>564</v>
      </c>
      <c r="D249" s="1">
        <f>IFERROR(__xludf.DUMMYFUNCTION("""COMPUTED_VALUE"""),529.0)</f>
        <v>529</v>
      </c>
      <c r="E249" s="1">
        <f>IFERROR(__xludf.DUMMYFUNCTION("""COMPUTED_VALUE"""),564.0)</f>
        <v>564</v>
      </c>
      <c r="F249" s="1">
        <f>IFERROR(__xludf.DUMMYFUNCTION("""COMPUTED_VALUE"""),83637.0)</f>
        <v>83637</v>
      </c>
      <c r="G249" s="2" t="s">
        <v>7</v>
      </c>
    </row>
    <row r="250">
      <c r="A250" s="3">
        <f>IFERROR(__xludf.DUMMYFUNCTION("""COMPUTED_VALUE"""),44924.6875)</f>
        <v>44924.6875</v>
      </c>
      <c r="B250" s="1">
        <f>IFERROR(__xludf.DUMMYFUNCTION("""COMPUTED_VALUE"""),568.0)</f>
        <v>568</v>
      </c>
      <c r="C250" s="1">
        <f>IFERROR(__xludf.DUMMYFUNCTION("""COMPUTED_VALUE"""),568.0)</f>
        <v>568</v>
      </c>
      <c r="D250" s="1">
        <f>IFERROR(__xludf.DUMMYFUNCTION("""COMPUTED_VALUE"""),545.0)</f>
        <v>545</v>
      </c>
      <c r="E250" s="1">
        <f>IFERROR(__xludf.DUMMYFUNCTION("""COMPUTED_VALUE"""),559.0)</f>
        <v>559</v>
      </c>
      <c r="F250" s="1">
        <f>IFERROR(__xludf.DUMMYFUNCTION("""COMPUTED_VALUE"""),97327.0)</f>
        <v>97327</v>
      </c>
      <c r="G250" s="2" t="s">
        <v>7</v>
      </c>
    </row>
    <row r="251">
      <c r="A251" s="3">
        <f>IFERROR(__xludf.DUMMYFUNCTION("""COMPUTED_VALUE"""),44925.52083333333)</f>
        <v>44925.52083</v>
      </c>
      <c r="B251" s="1">
        <f>IFERROR(__xludf.DUMMYFUNCTION("""COMPUTED_VALUE"""),567.0)</f>
        <v>567</v>
      </c>
      <c r="C251" s="1">
        <f>IFERROR(__xludf.DUMMYFUNCTION("""COMPUTED_VALUE"""),571.0)</f>
        <v>571</v>
      </c>
      <c r="D251" s="1">
        <f>IFERROR(__xludf.DUMMYFUNCTION("""COMPUTED_VALUE"""),557.0)</f>
        <v>557</v>
      </c>
      <c r="E251" s="1">
        <f>IFERROR(__xludf.DUMMYFUNCTION("""COMPUTED_VALUE"""),557.0)</f>
        <v>557</v>
      </c>
      <c r="F251" s="1">
        <f>IFERROR(__xludf.DUMMYFUNCTION("""COMPUTED_VALUE"""),56596.0)</f>
        <v>56596</v>
      </c>
      <c r="G251" s="2" t="s">
        <v>7</v>
      </c>
    </row>
    <row r="252">
      <c r="A252" s="3">
        <f>IFERROR(__xludf.DUMMYFUNCTION("""COMPUTED_VALUE"""),44929.6875)</f>
        <v>44929.6875</v>
      </c>
      <c r="B252" s="1">
        <f>IFERROR(__xludf.DUMMYFUNCTION("""COMPUTED_VALUE"""),561.0)</f>
        <v>561</v>
      </c>
      <c r="C252" s="1">
        <f>IFERROR(__xludf.DUMMYFUNCTION("""COMPUTED_VALUE"""),579.0)</f>
        <v>579</v>
      </c>
      <c r="D252" s="1">
        <f>IFERROR(__xludf.DUMMYFUNCTION("""COMPUTED_VALUE"""),545.0)</f>
        <v>545</v>
      </c>
      <c r="E252" s="1">
        <f>IFERROR(__xludf.DUMMYFUNCTION("""COMPUTED_VALUE"""),548.0)</f>
        <v>548</v>
      </c>
      <c r="F252" s="1">
        <f>IFERROR(__xludf.DUMMYFUNCTION("""COMPUTED_VALUE"""),87844.0)</f>
        <v>87844</v>
      </c>
      <c r="G252" s="2" t="s">
        <v>7</v>
      </c>
    </row>
    <row r="253">
      <c r="A253" s="3">
        <f>IFERROR(__xludf.DUMMYFUNCTION("""COMPUTED_VALUE"""),44930.6875)</f>
        <v>44930.6875</v>
      </c>
      <c r="B253" s="1">
        <f>IFERROR(__xludf.DUMMYFUNCTION("""COMPUTED_VALUE"""),538.0)</f>
        <v>538</v>
      </c>
      <c r="C253" s="1">
        <f>IFERROR(__xludf.DUMMYFUNCTION("""COMPUTED_VALUE"""),563.0)</f>
        <v>563</v>
      </c>
      <c r="D253" s="1">
        <f>IFERROR(__xludf.DUMMYFUNCTION("""COMPUTED_VALUE"""),538.0)</f>
        <v>538</v>
      </c>
      <c r="E253" s="1">
        <f>IFERROR(__xludf.DUMMYFUNCTION("""COMPUTED_VALUE"""),549.0)</f>
        <v>549</v>
      </c>
      <c r="F253" s="1">
        <f>IFERROR(__xludf.DUMMYFUNCTION("""COMPUTED_VALUE"""),142637.0)</f>
        <v>142637</v>
      </c>
      <c r="G253" s="2" t="s">
        <v>7</v>
      </c>
    </row>
    <row r="254">
      <c r="A254" s="3">
        <f>IFERROR(__xludf.DUMMYFUNCTION("""COMPUTED_VALUE"""),44931.6875)</f>
        <v>44931.6875</v>
      </c>
      <c r="B254" s="1">
        <f>IFERROR(__xludf.DUMMYFUNCTION("""COMPUTED_VALUE"""),551.0)</f>
        <v>551</v>
      </c>
      <c r="C254" s="1">
        <f>IFERROR(__xludf.DUMMYFUNCTION("""COMPUTED_VALUE"""),580.0)</f>
        <v>580</v>
      </c>
      <c r="D254" s="1">
        <f>IFERROR(__xludf.DUMMYFUNCTION("""COMPUTED_VALUE"""),550.0)</f>
        <v>550</v>
      </c>
      <c r="E254" s="1">
        <f>IFERROR(__xludf.DUMMYFUNCTION("""COMPUTED_VALUE"""),580.0)</f>
        <v>580</v>
      </c>
      <c r="F254" s="1">
        <f>IFERROR(__xludf.DUMMYFUNCTION("""COMPUTED_VALUE"""),583040.0)</f>
        <v>583040</v>
      </c>
      <c r="G254" s="2" t="s">
        <v>7</v>
      </c>
    </row>
    <row r="255">
      <c r="A255" s="3">
        <f>IFERROR(__xludf.DUMMYFUNCTION("""COMPUTED_VALUE"""),44932.6875)</f>
        <v>44932.6875</v>
      </c>
      <c r="B255" s="1">
        <f>IFERROR(__xludf.DUMMYFUNCTION("""COMPUTED_VALUE"""),566.0)</f>
        <v>566</v>
      </c>
      <c r="C255" s="1">
        <f>IFERROR(__xludf.DUMMYFUNCTION("""COMPUTED_VALUE"""),579.0)</f>
        <v>579</v>
      </c>
      <c r="D255" s="1">
        <f>IFERROR(__xludf.DUMMYFUNCTION("""COMPUTED_VALUE"""),558.0)</f>
        <v>558</v>
      </c>
      <c r="E255" s="1">
        <f>IFERROR(__xludf.DUMMYFUNCTION("""COMPUTED_VALUE"""),563.0)</f>
        <v>563</v>
      </c>
      <c r="F255" s="1">
        <f>IFERROR(__xludf.DUMMYFUNCTION("""COMPUTED_VALUE"""),1130341.0)</f>
        <v>1130341</v>
      </c>
      <c r="G255" s="2" t="s">
        <v>7</v>
      </c>
    </row>
    <row r="256">
      <c r="A256" s="3">
        <f>IFERROR(__xludf.DUMMYFUNCTION("""COMPUTED_VALUE"""),44935.6875)</f>
        <v>44935.6875</v>
      </c>
      <c r="B256" s="1">
        <f>IFERROR(__xludf.DUMMYFUNCTION("""COMPUTED_VALUE"""),557.0)</f>
        <v>557</v>
      </c>
      <c r="C256" s="1">
        <f>IFERROR(__xludf.DUMMYFUNCTION("""COMPUTED_VALUE"""),569.0)</f>
        <v>569</v>
      </c>
      <c r="D256" s="1">
        <f>IFERROR(__xludf.DUMMYFUNCTION("""COMPUTED_VALUE"""),557.0)</f>
        <v>557</v>
      </c>
      <c r="E256" s="1">
        <f>IFERROR(__xludf.DUMMYFUNCTION("""COMPUTED_VALUE"""),559.0)</f>
        <v>559</v>
      </c>
      <c r="F256" s="1">
        <f>IFERROR(__xludf.DUMMYFUNCTION("""COMPUTED_VALUE"""),643785.0)</f>
        <v>643785</v>
      </c>
      <c r="G256" s="2" t="s">
        <v>7</v>
      </c>
    </row>
    <row r="257">
      <c r="A257" s="3">
        <f>IFERROR(__xludf.DUMMYFUNCTION("""COMPUTED_VALUE"""),44936.6875)</f>
        <v>44936.6875</v>
      </c>
      <c r="B257" s="1">
        <f>IFERROR(__xludf.DUMMYFUNCTION("""COMPUTED_VALUE"""),572.0)</f>
        <v>572</v>
      </c>
      <c r="C257" s="1">
        <f>IFERROR(__xludf.DUMMYFUNCTION("""COMPUTED_VALUE"""),583.0)</f>
        <v>583</v>
      </c>
      <c r="D257" s="1">
        <f>IFERROR(__xludf.DUMMYFUNCTION("""COMPUTED_VALUE"""),541.0)</f>
        <v>541</v>
      </c>
      <c r="E257" s="1">
        <f>IFERROR(__xludf.DUMMYFUNCTION("""COMPUTED_VALUE"""),550.0)</f>
        <v>550</v>
      </c>
      <c r="F257" s="1">
        <f>IFERROR(__xludf.DUMMYFUNCTION("""COMPUTED_VALUE"""),357556.0)</f>
        <v>357556</v>
      </c>
      <c r="G257" s="2" t="s">
        <v>7</v>
      </c>
    </row>
    <row r="258">
      <c r="A258" s="3">
        <f>IFERROR(__xludf.DUMMYFUNCTION("""COMPUTED_VALUE"""),44937.6875)</f>
        <v>44937.6875</v>
      </c>
      <c r="B258" s="1">
        <f>IFERROR(__xludf.DUMMYFUNCTION("""COMPUTED_VALUE"""),552.0)</f>
        <v>552</v>
      </c>
      <c r="C258" s="1">
        <f>IFERROR(__xludf.DUMMYFUNCTION("""COMPUTED_VALUE"""),567.0)</f>
        <v>567</v>
      </c>
      <c r="D258" s="1">
        <f>IFERROR(__xludf.DUMMYFUNCTION("""COMPUTED_VALUE"""),543.0)</f>
        <v>543</v>
      </c>
      <c r="E258" s="1">
        <f>IFERROR(__xludf.DUMMYFUNCTION("""COMPUTED_VALUE"""),548.0)</f>
        <v>548</v>
      </c>
      <c r="F258" s="1">
        <f>IFERROR(__xludf.DUMMYFUNCTION("""COMPUTED_VALUE"""),352570.0)</f>
        <v>352570</v>
      </c>
      <c r="G258" s="2" t="s">
        <v>7</v>
      </c>
    </row>
    <row r="259">
      <c r="A259" s="3">
        <f>IFERROR(__xludf.DUMMYFUNCTION("""COMPUTED_VALUE"""),44938.6875)</f>
        <v>44938.6875</v>
      </c>
      <c r="B259" s="1">
        <f>IFERROR(__xludf.DUMMYFUNCTION("""COMPUTED_VALUE"""),567.0)</f>
        <v>567</v>
      </c>
      <c r="C259" s="1">
        <f>IFERROR(__xludf.DUMMYFUNCTION("""COMPUTED_VALUE"""),629.0)</f>
        <v>629</v>
      </c>
      <c r="D259" s="1">
        <f>IFERROR(__xludf.DUMMYFUNCTION("""COMPUTED_VALUE"""),563.0)</f>
        <v>563</v>
      </c>
      <c r="E259" s="1">
        <f>IFERROR(__xludf.DUMMYFUNCTION("""COMPUTED_VALUE"""),618.0)</f>
        <v>618</v>
      </c>
      <c r="F259" s="1">
        <f>IFERROR(__xludf.DUMMYFUNCTION("""COMPUTED_VALUE"""),1719910.0)</f>
        <v>1719910</v>
      </c>
      <c r="G259" s="2" t="s">
        <v>7</v>
      </c>
    </row>
    <row r="260">
      <c r="A260" s="3">
        <f>IFERROR(__xludf.DUMMYFUNCTION("""COMPUTED_VALUE"""),44939.6875)</f>
        <v>44939.6875</v>
      </c>
      <c r="B260" s="1">
        <f>IFERROR(__xludf.DUMMYFUNCTION("""COMPUTED_VALUE"""),630.0)</f>
        <v>630</v>
      </c>
      <c r="C260" s="1">
        <f>IFERROR(__xludf.DUMMYFUNCTION("""COMPUTED_VALUE"""),639.23)</f>
        <v>639.23</v>
      </c>
      <c r="D260" s="1">
        <f>IFERROR(__xludf.DUMMYFUNCTION("""COMPUTED_VALUE"""),588.0)</f>
        <v>588</v>
      </c>
      <c r="E260" s="1">
        <f>IFERROR(__xludf.DUMMYFUNCTION("""COMPUTED_VALUE"""),597.0)</f>
        <v>597</v>
      </c>
      <c r="F260" s="1">
        <f>IFERROR(__xludf.DUMMYFUNCTION("""COMPUTED_VALUE"""),273402.0)</f>
        <v>273402</v>
      </c>
      <c r="G260" s="2" t="s">
        <v>7</v>
      </c>
    </row>
    <row r="261">
      <c r="A261" s="3">
        <f>IFERROR(__xludf.DUMMYFUNCTION("""COMPUTED_VALUE"""),44942.6875)</f>
        <v>44942.6875</v>
      </c>
      <c r="B261" s="1">
        <f>IFERROR(__xludf.DUMMYFUNCTION("""COMPUTED_VALUE"""),603.0)</f>
        <v>603</v>
      </c>
      <c r="C261" s="1">
        <f>IFERROR(__xludf.DUMMYFUNCTION("""COMPUTED_VALUE"""),614.7)</f>
        <v>614.7</v>
      </c>
      <c r="D261" s="1">
        <f>IFERROR(__xludf.DUMMYFUNCTION("""COMPUTED_VALUE"""),586.0)</f>
        <v>586</v>
      </c>
      <c r="E261" s="1">
        <f>IFERROR(__xludf.DUMMYFUNCTION("""COMPUTED_VALUE"""),606.0)</f>
        <v>606</v>
      </c>
      <c r="F261" s="1">
        <f>IFERROR(__xludf.DUMMYFUNCTION("""COMPUTED_VALUE"""),152702.0)</f>
        <v>152702</v>
      </c>
      <c r="G261" s="2" t="s">
        <v>7</v>
      </c>
    </row>
    <row r="262">
      <c r="A262" s="3">
        <f>IFERROR(__xludf.DUMMYFUNCTION("""COMPUTED_VALUE"""),44943.6875)</f>
        <v>44943.6875</v>
      </c>
      <c r="B262" s="1">
        <f>IFERROR(__xludf.DUMMYFUNCTION("""COMPUTED_VALUE"""),610.0)</f>
        <v>610</v>
      </c>
      <c r="C262" s="1">
        <f>IFERROR(__xludf.DUMMYFUNCTION("""COMPUTED_VALUE"""),620.0)</f>
        <v>620</v>
      </c>
      <c r="D262" s="1">
        <f>IFERROR(__xludf.DUMMYFUNCTION("""COMPUTED_VALUE"""),601.0)</f>
        <v>601</v>
      </c>
      <c r="E262" s="1">
        <f>IFERROR(__xludf.DUMMYFUNCTION("""COMPUTED_VALUE"""),620.0)</f>
        <v>620</v>
      </c>
      <c r="F262" s="1">
        <f>IFERROR(__xludf.DUMMYFUNCTION("""COMPUTED_VALUE"""),243549.0)</f>
        <v>243549</v>
      </c>
      <c r="G262" s="2" t="s">
        <v>7</v>
      </c>
    </row>
    <row r="263">
      <c r="A263" s="3">
        <f>IFERROR(__xludf.DUMMYFUNCTION("""COMPUTED_VALUE"""),44944.6875)</f>
        <v>44944.6875</v>
      </c>
      <c r="B263" s="1">
        <f>IFERROR(__xludf.DUMMYFUNCTION("""COMPUTED_VALUE"""),616.0)</f>
        <v>616</v>
      </c>
      <c r="C263" s="1">
        <f>IFERROR(__xludf.DUMMYFUNCTION("""COMPUTED_VALUE"""),637.0)</f>
        <v>637</v>
      </c>
      <c r="D263" s="1">
        <f>IFERROR(__xludf.DUMMYFUNCTION("""COMPUTED_VALUE"""),600.0)</f>
        <v>600</v>
      </c>
      <c r="E263" s="1">
        <f>IFERROR(__xludf.DUMMYFUNCTION("""COMPUTED_VALUE"""),606.0)</f>
        <v>606</v>
      </c>
      <c r="F263" s="1">
        <f>IFERROR(__xludf.DUMMYFUNCTION("""COMPUTED_VALUE"""),264760.0)</f>
        <v>264760</v>
      </c>
      <c r="G263" s="2" t="s">
        <v>7</v>
      </c>
    </row>
    <row r="264">
      <c r="A264" s="3">
        <f>IFERROR(__xludf.DUMMYFUNCTION("""COMPUTED_VALUE"""),44945.6875)</f>
        <v>44945.6875</v>
      </c>
      <c r="B264" s="1">
        <f>IFERROR(__xludf.DUMMYFUNCTION("""COMPUTED_VALUE"""),604.0)</f>
        <v>604</v>
      </c>
      <c r="C264" s="1">
        <f>IFERROR(__xludf.DUMMYFUNCTION("""COMPUTED_VALUE"""),607.0)</f>
        <v>607</v>
      </c>
      <c r="D264" s="1">
        <f>IFERROR(__xludf.DUMMYFUNCTION("""COMPUTED_VALUE"""),598.0)</f>
        <v>598</v>
      </c>
      <c r="E264" s="1">
        <f>IFERROR(__xludf.DUMMYFUNCTION("""COMPUTED_VALUE"""),607.0)</f>
        <v>607</v>
      </c>
      <c r="F264" s="1">
        <f>IFERROR(__xludf.DUMMYFUNCTION("""COMPUTED_VALUE"""),86224.0)</f>
        <v>86224</v>
      </c>
      <c r="G264" s="2" t="s">
        <v>7</v>
      </c>
    </row>
    <row r="265">
      <c r="A265" s="3">
        <f>IFERROR(__xludf.DUMMYFUNCTION("""COMPUTED_VALUE"""),44946.6875)</f>
        <v>44946.6875</v>
      </c>
      <c r="B265" s="1">
        <f>IFERROR(__xludf.DUMMYFUNCTION("""COMPUTED_VALUE"""),610.0)</f>
        <v>610</v>
      </c>
      <c r="C265" s="1">
        <f>IFERROR(__xludf.DUMMYFUNCTION("""COMPUTED_VALUE"""),624.66)</f>
        <v>624.66</v>
      </c>
      <c r="D265" s="1">
        <f>IFERROR(__xludf.DUMMYFUNCTION("""COMPUTED_VALUE"""),601.0)</f>
        <v>601</v>
      </c>
      <c r="E265" s="1">
        <f>IFERROR(__xludf.DUMMYFUNCTION("""COMPUTED_VALUE"""),609.0)</f>
        <v>609</v>
      </c>
      <c r="F265" s="1">
        <f>IFERROR(__xludf.DUMMYFUNCTION("""COMPUTED_VALUE"""),73263.0)</f>
        <v>73263</v>
      </c>
      <c r="G265" s="2" t="s">
        <v>7</v>
      </c>
    </row>
    <row r="266">
      <c r="A266" s="3">
        <f>IFERROR(__xludf.DUMMYFUNCTION("""COMPUTED_VALUE"""),44949.6875)</f>
        <v>44949.6875</v>
      </c>
      <c r="B266" s="1">
        <f>IFERROR(__xludf.DUMMYFUNCTION("""COMPUTED_VALUE"""),615.0)</f>
        <v>615</v>
      </c>
      <c r="C266" s="1">
        <f>IFERROR(__xludf.DUMMYFUNCTION("""COMPUTED_VALUE"""),617.0)</f>
        <v>617</v>
      </c>
      <c r="D266" s="1">
        <f>IFERROR(__xludf.DUMMYFUNCTION("""COMPUTED_VALUE"""),605.0)</f>
        <v>605</v>
      </c>
      <c r="E266" s="1">
        <f>IFERROR(__xludf.DUMMYFUNCTION("""COMPUTED_VALUE"""),610.0)</f>
        <v>610</v>
      </c>
      <c r="F266" s="1">
        <f>IFERROR(__xludf.DUMMYFUNCTION("""COMPUTED_VALUE"""),184820.0)</f>
        <v>184820</v>
      </c>
      <c r="G266" s="2" t="s">
        <v>7</v>
      </c>
    </row>
    <row r="267">
      <c r="A267" s="3">
        <f>IFERROR(__xludf.DUMMYFUNCTION("""COMPUTED_VALUE"""),44950.6875)</f>
        <v>44950.6875</v>
      </c>
      <c r="B267" s="1">
        <f>IFERROR(__xludf.DUMMYFUNCTION("""COMPUTED_VALUE"""),600.0)</f>
        <v>600</v>
      </c>
      <c r="C267" s="1">
        <f>IFERROR(__xludf.DUMMYFUNCTION("""COMPUTED_VALUE"""),629.0)</f>
        <v>629</v>
      </c>
      <c r="D267" s="1">
        <f>IFERROR(__xludf.DUMMYFUNCTION("""COMPUTED_VALUE"""),600.0)</f>
        <v>600</v>
      </c>
      <c r="E267" s="1">
        <f>IFERROR(__xludf.DUMMYFUNCTION("""COMPUTED_VALUE"""),629.0)</f>
        <v>629</v>
      </c>
      <c r="F267" s="1">
        <f>IFERROR(__xludf.DUMMYFUNCTION("""COMPUTED_VALUE"""),195708.0)</f>
        <v>195708</v>
      </c>
      <c r="G267" s="2" t="s">
        <v>7</v>
      </c>
    </row>
    <row r="268">
      <c r="A268" s="3">
        <f>IFERROR(__xludf.DUMMYFUNCTION("""COMPUTED_VALUE"""),44951.6875)</f>
        <v>44951.6875</v>
      </c>
      <c r="B268" s="1">
        <f>IFERROR(__xludf.DUMMYFUNCTION("""COMPUTED_VALUE"""),636.0)</f>
        <v>636</v>
      </c>
      <c r="C268" s="1">
        <f>IFERROR(__xludf.DUMMYFUNCTION("""COMPUTED_VALUE"""),644.0)</f>
        <v>644</v>
      </c>
      <c r="D268" s="1">
        <f>IFERROR(__xludf.DUMMYFUNCTION("""COMPUTED_VALUE"""),632.0)</f>
        <v>632</v>
      </c>
      <c r="E268" s="1">
        <f>IFERROR(__xludf.DUMMYFUNCTION("""COMPUTED_VALUE"""),640.0)</f>
        <v>640</v>
      </c>
      <c r="F268" s="1">
        <f>IFERROR(__xludf.DUMMYFUNCTION("""COMPUTED_VALUE"""),210270.0)</f>
        <v>210270</v>
      </c>
      <c r="G268" s="2" t="s">
        <v>7</v>
      </c>
    </row>
    <row r="269">
      <c r="A269" s="3">
        <f>IFERROR(__xludf.DUMMYFUNCTION("""COMPUTED_VALUE"""),44952.6875)</f>
        <v>44952.6875</v>
      </c>
      <c r="B269" s="1">
        <f>IFERROR(__xludf.DUMMYFUNCTION("""COMPUTED_VALUE"""),653.0)</f>
        <v>653</v>
      </c>
      <c r="C269" s="1">
        <f>IFERROR(__xludf.DUMMYFUNCTION("""COMPUTED_VALUE"""),656.0)</f>
        <v>656</v>
      </c>
      <c r="D269" s="1">
        <f>IFERROR(__xludf.DUMMYFUNCTION("""COMPUTED_VALUE"""),634.0)</f>
        <v>634</v>
      </c>
      <c r="E269" s="1">
        <f>IFERROR(__xludf.DUMMYFUNCTION("""COMPUTED_VALUE"""),650.0)</f>
        <v>650</v>
      </c>
      <c r="F269" s="1">
        <f>IFERROR(__xludf.DUMMYFUNCTION("""COMPUTED_VALUE"""),397203.0)</f>
        <v>397203</v>
      </c>
      <c r="G269" s="2" t="s">
        <v>7</v>
      </c>
    </row>
    <row r="270">
      <c r="A270" s="3">
        <f>IFERROR(__xludf.DUMMYFUNCTION("""COMPUTED_VALUE"""),44953.6875)</f>
        <v>44953.6875</v>
      </c>
      <c r="B270" s="1">
        <f>IFERROR(__xludf.DUMMYFUNCTION("""COMPUTED_VALUE"""),656.0)</f>
        <v>656</v>
      </c>
      <c r="C270" s="1">
        <f>IFERROR(__xludf.DUMMYFUNCTION("""COMPUTED_VALUE"""),657.0)</f>
        <v>657</v>
      </c>
      <c r="D270" s="1">
        <f>IFERROR(__xludf.DUMMYFUNCTION("""COMPUTED_VALUE"""),634.0)</f>
        <v>634</v>
      </c>
      <c r="E270" s="1">
        <f>IFERROR(__xludf.DUMMYFUNCTION("""COMPUTED_VALUE"""),657.0)</f>
        <v>657</v>
      </c>
      <c r="F270" s="1">
        <f>IFERROR(__xludf.DUMMYFUNCTION("""COMPUTED_VALUE"""),115868.0)</f>
        <v>115868</v>
      </c>
      <c r="G270" s="2" t="s">
        <v>7</v>
      </c>
    </row>
    <row r="271">
      <c r="A271" s="3">
        <f>IFERROR(__xludf.DUMMYFUNCTION("""COMPUTED_VALUE"""),44956.6875)</f>
        <v>44956.6875</v>
      </c>
      <c r="B271" s="1">
        <f>IFERROR(__xludf.DUMMYFUNCTION("""COMPUTED_VALUE"""),651.0)</f>
        <v>651</v>
      </c>
      <c r="C271" s="1">
        <f>IFERROR(__xludf.DUMMYFUNCTION("""COMPUTED_VALUE"""),670.0)</f>
        <v>670</v>
      </c>
      <c r="D271" s="1">
        <f>IFERROR(__xludf.DUMMYFUNCTION("""COMPUTED_VALUE"""),650.0)</f>
        <v>650</v>
      </c>
      <c r="E271" s="1">
        <f>IFERROR(__xludf.DUMMYFUNCTION("""COMPUTED_VALUE"""),670.0)</f>
        <v>670</v>
      </c>
      <c r="F271" s="1">
        <f>IFERROR(__xludf.DUMMYFUNCTION("""COMPUTED_VALUE"""),211103.0)</f>
        <v>211103</v>
      </c>
      <c r="G271" s="2" t="s">
        <v>7</v>
      </c>
    </row>
    <row r="272">
      <c r="A272" s="3">
        <f>IFERROR(__xludf.DUMMYFUNCTION("""COMPUTED_VALUE"""),44957.6875)</f>
        <v>44957.6875</v>
      </c>
      <c r="B272" s="1">
        <f>IFERROR(__xludf.DUMMYFUNCTION("""COMPUTED_VALUE"""),658.0)</f>
        <v>658</v>
      </c>
      <c r="C272" s="1">
        <f>IFERROR(__xludf.DUMMYFUNCTION("""COMPUTED_VALUE"""),671.0)</f>
        <v>671</v>
      </c>
      <c r="D272" s="1">
        <f>IFERROR(__xludf.DUMMYFUNCTION("""COMPUTED_VALUE"""),654.32)</f>
        <v>654.32</v>
      </c>
      <c r="E272" s="1">
        <f>IFERROR(__xludf.DUMMYFUNCTION("""COMPUTED_VALUE"""),662.0)</f>
        <v>662</v>
      </c>
      <c r="F272" s="1">
        <f>IFERROR(__xludf.DUMMYFUNCTION("""COMPUTED_VALUE"""),113930.0)</f>
        <v>113930</v>
      </c>
      <c r="G272" s="2" t="s">
        <v>7</v>
      </c>
    </row>
    <row r="273">
      <c r="A273" s="3">
        <f>IFERROR(__xludf.DUMMYFUNCTION("""COMPUTED_VALUE"""),44958.6875)</f>
        <v>44958.6875</v>
      </c>
      <c r="B273" s="1">
        <f>IFERROR(__xludf.DUMMYFUNCTION("""COMPUTED_VALUE"""),677.0)</f>
        <v>677</v>
      </c>
      <c r="C273" s="1">
        <f>IFERROR(__xludf.DUMMYFUNCTION("""COMPUTED_VALUE"""),678.0)</f>
        <v>678</v>
      </c>
      <c r="D273" s="1">
        <f>IFERROR(__xludf.DUMMYFUNCTION("""COMPUTED_VALUE"""),653.0)</f>
        <v>653</v>
      </c>
      <c r="E273" s="1">
        <f>IFERROR(__xludf.DUMMYFUNCTION("""COMPUTED_VALUE"""),665.0)</f>
        <v>665</v>
      </c>
      <c r="F273" s="1">
        <f>IFERROR(__xludf.DUMMYFUNCTION("""COMPUTED_VALUE"""),195869.0)</f>
        <v>195869</v>
      </c>
      <c r="G273" s="2" t="s">
        <v>7</v>
      </c>
    </row>
    <row r="274">
      <c r="A274" s="3">
        <f>IFERROR(__xludf.DUMMYFUNCTION("""COMPUTED_VALUE"""),44959.6875)</f>
        <v>44959.6875</v>
      </c>
      <c r="B274" s="1">
        <f>IFERROR(__xludf.DUMMYFUNCTION("""COMPUTED_VALUE"""),669.0)</f>
        <v>669</v>
      </c>
      <c r="C274" s="1">
        <f>IFERROR(__xludf.DUMMYFUNCTION("""COMPUTED_VALUE"""),682.0)</f>
        <v>682</v>
      </c>
      <c r="D274" s="1">
        <f>IFERROR(__xludf.DUMMYFUNCTION("""COMPUTED_VALUE"""),655.62)</f>
        <v>655.62</v>
      </c>
      <c r="E274" s="1">
        <f>IFERROR(__xludf.DUMMYFUNCTION("""COMPUTED_VALUE"""),677.0)</f>
        <v>677</v>
      </c>
      <c r="F274" s="1">
        <f>IFERROR(__xludf.DUMMYFUNCTION("""COMPUTED_VALUE"""),162744.0)</f>
        <v>162744</v>
      </c>
      <c r="G274" s="2" t="s">
        <v>7</v>
      </c>
    </row>
    <row r="275">
      <c r="A275" s="3">
        <f>IFERROR(__xludf.DUMMYFUNCTION("""COMPUTED_VALUE"""),44960.6875)</f>
        <v>44960.6875</v>
      </c>
      <c r="B275" s="1">
        <f>IFERROR(__xludf.DUMMYFUNCTION("""COMPUTED_VALUE"""),679.0)</f>
        <v>679</v>
      </c>
      <c r="C275" s="1">
        <f>IFERROR(__xludf.DUMMYFUNCTION("""COMPUTED_VALUE"""),684.0)</f>
        <v>684</v>
      </c>
      <c r="D275" s="1">
        <f>IFERROR(__xludf.DUMMYFUNCTION("""COMPUTED_VALUE"""),667.54)</f>
        <v>667.54</v>
      </c>
      <c r="E275" s="1">
        <f>IFERROR(__xludf.DUMMYFUNCTION("""COMPUTED_VALUE"""),684.0)</f>
        <v>684</v>
      </c>
      <c r="F275" s="1">
        <f>IFERROR(__xludf.DUMMYFUNCTION("""COMPUTED_VALUE"""),136519.0)</f>
        <v>136519</v>
      </c>
      <c r="G275" s="2" t="s">
        <v>7</v>
      </c>
    </row>
    <row r="276">
      <c r="A276" s="3">
        <f>IFERROR(__xludf.DUMMYFUNCTION("""COMPUTED_VALUE"""),44963.6875)</f>
        <v>44963.6875</v>
      </c>
      <c r="B276" s="1">
        <f>IFERROR(__xludf.DUMMYFUNCTION("""COMPUTED_VALUE"""),679.0)</f>
        <v>679</v>
      </c>
      <c r="C276" s="1">
        <f>IFERROR(__xludf.DUMMYFUNCTION("""COMPUTED_VALUE"""),692.0)</f>
        <v>692</v>
      </c>
      <c r="D276" s="1">
        <f>IFERROR(__xludf.DUMMYFUNCTION("""COMPUTED_VALUE"""),670.0)</f>
        <v>670</v>
      </c>
      <c r="E276" s="1">
        <f>IFERROR(__xludf.DUMMYFUNCTION("""COMPUTED_VALUE"""),684.0)</f>
        <v>684</v>
      </c>
      <c r="F276" s="1">
        <f>IFERROR(__xludf.DUMMYFUNCTION("""COMPUTED_VALUE"""),94751.0)</f>
        <v>94751</v>
      </c>
      <c r="G276" s="2" t="s">
        <v>7</v>
      </c>
    </row>
    <row r="277">
      <c r="A277" s="3">
        <f>IFERROR(__xludf.DUMMYFUNCTION("""COMPUTED_VALUE"""),44964.6875)</f>
        <v>44964.6875</v>
      </c>
      <c r="B277" s="1">
        <f>IFERROR(__xludf.DUMMYFUNCTION("""COMPUTED_VALUE"""),682.0)</f>
        <v>682</v>
      </c>
      <c r="C277" s="1">
        <f>IFERROR(__xludf.DUMMYFUNCTION("""COMPUTED_VALUE"""),690.0)</f>
        <v>690</v>
      </c>
      <c r="D277" s="1">
        <f>IFERROR(__xludf.DUMMYFUNCTION("""COMPUTED_VALUE"""),674.0)</f>
        <v>674</v>
      </c>
      <c r="E277" s="1">
        <f>IFERROR(__xludf.DUMMYFUNCTION("""COMPUTED_VALUE"""),686.0)</f>
        <v>686</v>
      </c>
      <c r="F277" s="1">
        <f>IFERROR(__xludf.DUMMYFUNCTION("""COMPUTED_VALUE"""),145472.0)</f>
        <v>145472</v>
      </c>
      <c r="G277" s="2" t="s">
        <v>7</v>
      </c>
    </row>
    <row r="278">
      <c r="A278" s="3">
        <f>IFERROR(__xludf.DUMMYFUNCTION("""COMPUTED_VALUE"""),44965.6875)</f>
        <v>44965.6875</v>
      </c>
      <c r="B278" s="1">
        <f>IFERROR(__xludf.DUMMYFUNCTION("""COMPUTED_VALUE"""),690.0)</f>
        <v>690</v>
      </c>
      <c r="C278" s="1">
        <f>IFERROR(__xludf.DUMMYFUNCTION("""COMPUTED_VALUE"""),696.0)</f>
        <v>696</v>
      </c>
      <c r="D278" s="1">
        <f>IFERROR(__xludf.DUMMYFUNCTION("""COMPUTED_VALUE"""),680.0)</f>
        <v>680</v>
      </c>
      <c r="E278" s="1">
        <f>IFERROR(__xludf.DUMMYFUNCTION("""COMPUTED_VALUE"""),689.0)</f>
        <v>689</v>
      </c>
      <c r="F278" s="1">
        <f>IFERROR(__xludf.DUMMYFUNCTION("""COMPUTED_VALUE"""),139216.0)</f>
        <v>139216</v>
      </c>
      <c r="G278" s="2" t="s">
        <v>7</v>
      </c>
    </row>
    <row r="279">
      <c r="A279" s="3">
        <f>IFERROR(__xludf.DUMMYFUNCTION("""COMPUTED_VALUE"""),44966.6875)</f>
        <v>44966.6875</v>
      </c>
      <c r="B279" s="1">
        <f>IFERROR(__xludf.DUMMYFUNCTION("""COMPUTED_VALUE"""),690.0)</f>
        <v>690</v>
      </c>
      <c r="C279" s="1">
        <f>IFERROR(__xludf.DUMMYFUNCTION("""COMPUTED_VALUE"""),699.0)</f>
        <v>699</v>
      </c>
      <c r="D279" s="1">
        <f>IFERROR(__xludf.DUMMYFUNCTION("""COMPUTED_VALUE"""),676.0)</f>
        <v>676</v>
      </c>
      <c r="E279" s="1">
        <f>IFERROR(__xludf.DUMMYFUNCTION("""COMPUTED_VALUE"""),678.0)</f>
        <v>678</v>
      </c>
      <c r="F279" s="1">
        <f>IFERROR(__xludf.DUMMYFUNCTION("""COMPUTED_VALUE"""),176094.0)</f>
        <v>176094</v>
      </c>
      <c r="G279" s="2" t="s">
        <v>7</v>
      </c>
    </row>
    <row r="280">
      <c r="A280" s="3">
        <f>IFERROR(__xludf.DUMMYFUNCTION("""COMPUTED_VALUE"""),44967.6875)</f>
        <v>44967.6875</v>
      </c>
      <c r="B280" s="1">
        <f>IFERROR(__xludf.DUMMYFUNCTION("""COMPUTED_VALUE"""),679.0)</f>
        <v>679</v>
      </c>
      <c r="C280" s="1">
        <f>IFERROR(__xludf.DUMMYFUNCTION("""COMPUTED_VALUE"""),705.42)</f>
        <v>705.42</v>
      </c>
      <c r="D280" s="1">
        <f>IFERROR(__xludf.DUMMYFUNCTION("""COMPUTED_VALUE"""),677.0)</f>
        <v>677</v>
      </c>
      <c r="E280" s="1">
        <f>IFERROR(__xludf.DUMMYFUNCTION("""COMPUTED_VALUE"""),686.0)</f>
        <v>686</v>
      </c>
      <c r="F280" s="1">
        <f>IFERROR(__xludf.DUMMYFUNCTION("""COMPUTED_VALUE"""),355176.0)</f>
        <v>355176</v>
      </c>
      <c r="G280" s="2" t="s">
        <v>7</v>
      </c>
    </row>
    <row r="281">
      <c r="A281" s="3">
        <f>IFERROR(__xludf.DUMMYFUNCTION("""COMPUTED_VALUE"""),44970.6875)</f>
        <v>44970.6875</v>
      </c>
      <c r="B281" s="1">
        <f>IFERROR(__xludf.DUMMYFUNCTION("""COMPUTED_VALUE"""),688.0)</f>
        <v>688</v>
      </c>
      <c r="C281" s="1">
        <f>IFERROR(__xludf.DUMMYFUNCTION("""COMPUTED_VALUE"""),694.0)</f>
        <v>694</v>
      </c>
      <c r="D281" s="1">
        <f>IFERROR(__xludf.DUMMYFUNCTION("""COMPUTED_VALUE"""),679.22)</f>
        <v>679.22</v>
      </c>
      <c r="E281" s="1">
        <f>IFERROR(__xludf.DUMMYFUNCTION("""COMPUTED_VALUE"""),683.0)</f>
        <v>683</v>
      </c>
      <c r="F281" s="1">
        <f>IFERROR(__xludf.DUMMYFUNCTION("""COMPUTED_VALUE"""),104890.0)</f>
        <v>104890</v>
      </c>
      <c r="G281" s="2" t="s">
        <v>7</v>
      </c>
    </row>
    <row r="282">
      <c r="A282" s="3">
        <f>IFERROR(__xludf.DUMMYFUNCTION("""COMPUTED_VALUE"""),44971.6875)</f>
        <v>44971.6875</v>
      </c>
      <c r="B282" s="1">
        <f>IFERROR(__xludf.DUMMYFUNCTION("""COMPUTED_VALUE"""),681.0)</f>
        <v>681</v>
      </c>
      <c r="C282" s="1">
        <f>IFERROR(__xludf.DUMMYFUNCTION("""COMPUTED_VALUE"""),705.25)</f>
        <v>705.25</v>
      </c>
      <c r="D282" s="1">
        <f>IFERROR(__xludf.DUMMYFUNCTION("""COMPUTED_VALUE"""),677.0)</f>
        <v>677</v>
      </c>
      <c r="E282" s="1">
        <f>IFERROR(__xludf.DUMMYFUNCTION("""COMPUTED_VALUE"""),680.0)</f>
        <v>680</v>
      </c>
      <c r="F282" s="1">
        <f>IFERROR(__xludf.DUMMYFUNCTION("""COMPUTED_VALUE"""),185620.0)</f>
        <v>185620</v>
      </c>
      <c r="G282" s="2" t="s">
        <v>7</v>
      </c>
    </row>
    <row r="283">
      <c r="A283" s="3">
        <f>IFERROR(__xludf.DUMMYFUNCTION("""COMPUTED_VALUE"""),44972.6875)</f>
        <v>44972.6875</v>
      </c>
      <c r="B283" s="1">
        <f>IFERROR(__xludf.DUMMYFUNCTION("""COMPUTED_VALUE"""),680.0)</f>
        <v>680</v>
      </c>
      <c r="C283" s="1">
        <f>IFERROR(__xludf.DUMMYFUNCTION("""COMPUTED_VALUE"""),693.0)</f>
        <v>693</v>
      </c>
      <c r="D283" s="1">
        <f>IFERROR(__xludf.DUMMYFUNCTION("""COMPUTED_VALUE"""),671.4)</f>
        <v>671.4</v>
      </c>
      <c r="E283" s="1">
        <f>IFERROR(__xludf.DUMMYFUNCTION("""COMPUTED_VALUE"""),680.0)</f>
        <v>680</v>
      </c>
      <c r="F283" s="1">
        <f>IFERROR(__xludf.DUMMYFUNCTION("""COMPUTED_VALUE"""),260079.0)</f>
        <v>260079</v>
      </c>
      <c r="G283" s="2" t="s">
        <v>7</v>
      </c>
    </row>
    <row r="284">
      <c r="A284" s="3">
        <f>IFERROR(__xludf.DUMMYFUNCTION("""COMPUTED_VALUE"""),44973.6875)</f>
        <v>44973.6875</v>
      </c>
      <c r="B284" s="1">
        <f>IFERROR(__xludf.DUMMYFUNCTION("""COMPUTED_VALUE"""),696.0)</f>
        <v>696</v>
      </c>
      <c r="C284" s="1">
        <f>IFERROR(__xludf.DUMMYFUNCTION("""COMPUTED_VALUE"""),696.0)</f>
        <v>696</v>
      </c>
      <c r="D284" s="1">
        <f>IFERROR(__xludf.DUMMYFUNCTION("""COMPUTED_VALUE"""),672.96)</f>
        <v>672.96</v>
      </c>
      <c r="E284" s="1">
        <f>IFERROR(__xludf.DUMMYFUNCTION("""COMPUTED_VALUE"""),682.0)</f>
        <v>682</v>
      </c>
      <c r="F284" s="1">
        <f>IFERROR(__xludf.DUMMYFUNCTION("""COMPUTED_VALUE"""),312409.0)</f>
        <v>312409</v>
      </c>
      <c r="G284" s="2" t="s">
        <v>7</v>
      </c>
    </row>
    <row r="285">
      <c r="A285" s="3">
        <f>IFERROR(__xludf.DUMMYFUNCTION("""COMPUTED_VALUE"""),44974.6875)</f>
        <v>44974.6875</v>
      </c>
      <c r="B285" s="1">
        <f>IFERROR(__xludf.DUMMYFUNCTION("""COMPUTED_VALUE"""),678.0)</f>
        <v>678</v>
      </c>
      <c r="C285" s="1">
        <f>IFERROR(__xludf.DUMMYFUNCTION("""COMPUTED_VALUE"""),702.3)</f>
        <v>702.3</v>
      </c>
      <c r="D285" s="1">
        <f>IFERROR(__xludf.DUMMYFUNCTION("""COMPUTED_VALUE"""),672.0)</f>
        <v>672</v>
      </c>
      <c r="E285" s="1">
        <f>IFERROR(__xludf.DUMMYFUNCTION("""COMPUTED_VALUE"""),680.0)</f>
        <v>680</v>
      </c>
      <c r="F285" s="1">
        <f>IFERROR(__xludf.DUMMYFUNCTION("""COMPUTED_VALUE"""),81470.0)</f>
        <v>81470</v>
      </c>
      <c r="G285" s="2" t="s">
        <v>7</v>
      </c>
    </row>
    <row r="286">
      <c r="A286" s="3">
        <f>IFERROR(__xludf.DUMMYFUNCTION("""COMPUTED_VALUE"""),44977.6875)</f>
        <v>44977.6875</v>
      </c>
      <c r="B286" s="1">
        <f>IFERROR(__xludf.DUMMYFUNCTION("""COMPUTED_VALUE"""),670.0)</f>
        <v>670</v>
      </c>
      <c r="C286" s="1">
        <f>IFERROR(__xludf.DUMMYFUNCTION("""COMPUTED_VALUE"""),715.0)</f>
        <v>715</v>
      </c>
      <c r="D286" s="1">
        <f>IFERROR(__xludf.DUMMYFUNCTION("""COMPUTED_VALUE"""),670.0)</f>
        <v>670</v>
      </c>
      <c r="E286" s="1">
        <f>IFERROR(__xludf.DUMMYFUNCTION("""COMPUTED_VALUE"""),711.0)</f>
        <v>711</v>
      </c>
      <c r="F286" s="1">
        <f>IFERROR(__xludf.DUMMYFUNCTION("""COMPUTED_VALUE"""),624137.0)</f>
        <v>624137</v>
      </c>
      <c r="G286" s="2" t="s">
        <v>7</v>
      </c>
    </row>
    <row r="287">
      <c r="A287" s="3">
        <f>IFERROR(__xludf.DUMMYFUNCTION("""COMPUTED_VALUE"""),44978.6875)</f>
        <v>44978.6875</v>
      </c>
      <c r="B287" s="1">
        <f>IFERROR(__xludf.DUMMYFUNCTION("""COMPUTED_VALUE"""),710.0)</f>
        <v>710</v>
      </c>
      <c r="C287" s="1">
        <f>IFERROR(__xludf.DUMMYFUNCTION("""COMPUTED_VALUE"""),715.0)</f>
        <v>715</v>
      </c>
      <c r="D287" s="1">
        <f>IFERROR(__xludf.DUMMYFUNCTION("""COMPUTED_VALUE"""),690.0)</f>
        <v>690</v>
      </c>
      <c r="E287" s="1">
        <f>IFERROR(__xludf.DUMMYFUNCTION("""COMPUTED_VALUE"""),693.0)</f>
        <v>693</v>
      </c>
      <c r="F287" s="1">
        <f>IFERROR(__xludf.DUMMYFUNCTION("""COMPUTED_VALUE"""),134930.0)</f>
        <v>134930</v>
      </c>
      <c r="G287" s="2" t="s">
        <v>7</v>
      </c>
    </row>
    <row r="288">
      <c r="A288" s="3">
        <f>IFERROR(__xludf.DUMMYFUNCTION("""COMPUTED_VALUE"""),44979.6875)</f>
        <v>44979.6875</v>
      </c>
      <c r="B288" s="1">
        <f>IFERROR(__xludf.DUMMYFUNCTION("""COMPUTED_VALUE"""),710.0)</f>
        <v>710</v>
      </c>
      <c r="C288" s="1">
        <f>IFERROR(__xludf.DUMMYFUNCTION("""COMPUTED_VALUE"""),710.0)</f>
        <v>710</v>
      </c>
      <c r="D288" s="1">
        <f>IFERROR(__xludf.DUMMYFUNCTION("""COMPUTED_VALUE"""),686.08)</f>
        <v>686.08</v>
      </c>
      <c r="E288" s="1">
        <f>IFERROR(__xludf.DUMMYFUNCTION("""COMPUTED_VALUE"""),691.0)</f>
        <v>691</v>
      </c>
      <c r="F288" s="1">
        <f>IFERROR(__xludf.DUMMYFUNCTION("""COMPUTED_VALUE"""),93806.0)</f>
        <v>93806</v>
      </c>
      <c r="G288" s="2" t="s">
        <v>7</v>
      </c>
    </row>
    <row r="289">
      <c r="A289" s="3">
        <f>IFERROR(__xludf.DUMMYFUNCTION("""COMPUTED_VALUE"""),44980.6875)</f>
        <v>44980.6875</v>
      </c>
      <c r="B289" s="1">
        <f>IFERROR(__xludf.DUMMYFUNCTION("""COMPUTED_VALUE"""),688.0)</f>
        <v>688</v>
      </c>
      <c r="C289" s="1">
        <f>IFERROR(__xludf.DUMMYFUNCTION("""COMPUTED_VALUE"""),702.0)</f>
        <v>702</v>
      </c>
      <c r="D289" s="1">
        <f>IFERROR(__xludf.DUMMYFUNCTION("""COMPUTED_VALUE"""),680.0)</f>
        <v>680</v>
      </c>
      <c r="E289" s="1">
        <f>IFERROR(__xludf.DUMMYFUNCTION("""COMPUTED_VALUE"""),691.0)</f>
        <v>691</v>
      </c>
      <c r="F289" s="1">
        <f>IFERROR(__xludf.DUMMYFUNCTION("""COMPUTED_VALUE"""),689728.0)</f>
        <v>689728</v>
      </c>
      <c r="G289" s="2" t="s">
        <v>7</v>
      </c>
    </row>
    <row r="290">
      <c r="A290" s="3">
        <f>IFERROR(__xludf.DUMMYFUNCTION("""COMPUTED_VALUE"""),44981.6875)</f>
        <v>44981.6875</v>
      </c>
      <c r="B290" s="1">
        <f>IFERROR(__xludf.DUMMYFUNCTION("""COMPUTED_VALUE"""),704.0)</f>
        <v>704</v>
      </c>
      <c r="C290" s="1">
        <f>IFERROR(__xludf.DUMMYFUNCTION("""COMPUTED_VALUE"""),704.0)</f>
        <v>704</v>
      </c>
      <c r="D290" s="1">
        <f>IFERROR(__xludf.DUMMYFUNCTION("""COMPUTED_VALUE"""),689.0)</f>
        <v>689</v>
      </c>
      <c r="E290" s="1">
        <f>IFERROR(__xludf.DUMMYFUNCTION("""COMPUTED_VALUE"""),692.0)</f>
        <v>692</v>
      </c>
      <c r="F290" s="1">
        <f>IFERROR(__xludf.DUMMYFUNCTION("""COMPUTED_VALUE"""),63912.0)</f>
        <v>63912</v>
      </c>
      <c r="G290" s="2" t="s">
        <v>7</v>
      </c>
    </row>
    <row r="291">
      <c r="A291" s="3">
        <f>IFERROR(__xludf.DUMMYFUNCTION("""COMPUTED_VALUE"""),44984.6875)</f>
        <v>44984.6875</v>
      </c>
      <c r="B291" s="1">
        <f>IFERROR(__xludf.DUMMYFUNCTION("""COMPUTED_VALUE"""),675.0)</f>
        <v>675</v>
      </c>
      <c r="C291" s="1">
        <f>IFERROR(__xludf.DUMMYFUNCTION("""COMPUTED_VALUE"""),722.0)</f>
        <v>722</v>
      </c>
      <c r="D291" s="1">
        <f>IFERROR(__xludf.DUMMYFUNCTION("""COMPUTED_VALUE"""),668.6)</f>
        <v>668.6</v>
      </c>
      <c r="E291" s="1">
        <f>IFERROR(__xludf.DUMMYFUNCTION("""COMPUTED_VALUE"""),709.0)</f>
        <v>709</v>
      </c>
      <c r="F291" s="1">
        <f>IFERROR(__xludf.DUMMYFUNCTION("""COMPUTED_VALUE"""),115318.0)</f>
        <v>115318</v>
      </c>
      <c r="G291" s="2" t="s">
        <v>7</v>
      </c>
    </row>
    <row r="292">
      <c r="A292" s="3">
        <f>IFERROR(__xludf.DUMMYFUNCTION("""COMPUTED_VALUE"""),44985.6875)</f>
        <v>44985.6875</v>
      </c>
      <c r="B292" s="1">
        <f>IFERROR(__xludf.DUMMYFUNCTION("""COMPUTED_VALUE"""),735.0)</f>
        <v>735</v>
      </c>
      <c r="C292" s="1">
        <f>IFERROR(__xludf.DUMMYFUNCTION("""COMPUTED_VALUE"""),735.0)</f>
        <v>735</v>
      </c>
      <c r="D292" s="1">
        <f>IFERROR(__xludf.DUMMYFUNCTION("""COMPUTED_VALUE"""),706.75)</f>
        <v>706.75</v>
      </c>
      <c r="E292" s="1">
        <f>IFERROR(__xludf.DUMMYFUNCTION("""COMPUTED_VALUE"""),717.0)</f>
        <v>717</v>
      </c>
      <c r="F292" s="1">
        <f>IFERROR(__xludf.DUMMYFUNCTION("""COMPUTED_VALUE"""),236627.0)</f>
        <v>236627</v>
      </c>
      <c r="G292" s="2" t="s">
        <v>7</v>
      </c>
    </row>
    <row r="293">
      <c r="A293" s="3">
        <f>IFERROR(__xludf.DUMMYFUNCTION("""COMPUTED_VALUE"""),44986.6875)</f>
        <v>44986.6875</v>
      </c>
      <c r="B293" s="1">
        <f>IFERROR(__xludf.DUMMYFUNCTION("""COMPUTED_VALUE"""),713.0)</f>
        <v>713</v>
      </c>
      <c r="C293" s="1">
        <f>IFERROR(__xludf.DUMMYFUNCTION("""COMPUTED_VALUE"""),730.0)</f>
        <v>730</v>
      </c>
      <c r="D293" s="1">
        <f>IFERROR(__xludf.DUMMYFUNCTION("""COMPUTED_VALUE"""),713.0)</f>
        <v>713</v>
      </c>
      <c r="E293" s="1">
        <f>IFERROR(__xludf.DUMMYFUNCTION("""COMPUTED_VALUE"""),718.0)</f>
        <v>718</v>
      </c>
      <c r="F293" s="1">
        <f>IFERROR(__xludf.DUMMYFUNCTION("""COMPUTED_VALUE"""),200052.0)</f>
        <v>200052</v>
      </c>
      <c r="G293" s="2" t="s">
        <v>7</v>
      </c>
    </row>
    <row r="294">
      <c r="A294" s="3">
        <f>IFERROR(__xludf.DUMMYFUNCTION("""COMPUTED_VALUE"""),44987.6875)</f>
        <v>44987.6875</v>
      </c>
      <c r="B294" s="1">
        <f>IFERROR(__xludf.DUMMYFUNCTION("""COMPUTED_VALUE"""),725.0)</f>
        <v>725</v>
      </c>
      <c r="C294" s="1">
        <f>IFERROR(__xludf.DUMMYFUNCTION("""COMPUTED_VALUE"""),738.0)</f>
        <v>738</v>
      </c>
      <c r="D294" s="1">
        <f>IFERROR(__xludf.DUMMYFUNCTION("""COMPUTED_VALUE"""),714.0)</f>
        <v>714</v>
      </c>
      <c r="E294" s="1">
        <f>IFERROR(__xludf.DUMMYFUNCTION("""COMPUTED_VALUE"""),732.0)</f>
        <v>732</v>
      </c>
      <c r="F294" s="1">
        <f>IFERROR(__xludf.DUMMYFUNCTION("""COMPUTED_VALUE"""),670909.0)</f>
        <v>670909</v>
      </c>
      <c r="G294" s="2" t="s">
        <v>7</v>
      </c>
    </row>
    <row r="295">
      <c r="A295" s="3">
        <f>IFERROR(__xludf.DUMMYFUNCTION("""COMPUTED_VALUE"""),44988.6875)</f>
        <v>44988.6875</v>
      </c>
      <c r="B295" s="1">
        <f>IFERROR(__xludf.DUMMYFUNCTION("""COMPUTED_VALUE"""),750.0)</f>
        <v>750</v>
      </c>
      <c r="C295" s="1">
        <f>IFERROR(__xludf.DUMMYFUNCTION("""COMPUTED_VALUE"""),750.0)</f>
        <v>750</v>
      </c>
      <c r="D295" s="1">
        <f>IFERROR(__xludf.DUMMYFUNCTION("""COMPUTED_VALUE"""),726.74)</f>
        <v>726.74</v>
      </c>
      <c r="E295" s="1">
        <f>IFERROR(__xludf.DUMMYFUNCTION("""COMPUTED_VALUE"""),729.0)</f>
        <v>729</v>
      </c>
      <c r="F295" s="1">
        <f>IFERROR(__xludf.DUMMYFUNCTION("""COMPUTED_VALUE"""),75407.0)</f>
        <v>75407</v>
      </c>
      <c r="G295" s="2" t="s">
        <v>7</v>
      </c>
    </row>
    <row r="296">
      <c r="A296" s="3">
        <f>IFERROR(__xludf.DUMMYFUNCTION("""COMPUTED_VALUE"""),44991.6875)</f>
        <v>44991.6875</v>
      </c>
      <c r="B296" s="1">
        <f>IFERROR(__xludf.DUMMYFUNCTION("""COMPUTED_VALUE"""),732.0)</f>
        <v>732</v>
      </c>
      <c r="C296" s="1">
        <f>IFERROR(__xludf.DUMMYFUNCTION("""COMPUTED_VALUE"""),743.0)</f>
        <v>743</v>
      </c>
      <c r="D296" s="1">
        <f>IFERROR(__xludf.DUMMYFUNCTION("""COMPUTED_VALUE"""),720.0)</f>
        <v>720</v>
      </c>
      <c r="E296" s="1">
        <f>IFERROR(__xludf.DUMMYFUNCTION("""COMPUTED_VALUE"""),720.0)</f>
        <v>720</v>
      </c>
      <c r="F296" s="1">
        <f>IFERROR(__xludf.DUMMYFUNCTION("""COMPUTED_VALUE"""),77003.0)</f>
        <v>77003</v>
      </c>
      <c r="G296" s="2" t="s">
        <v>7</v>
      </c>
    </row>
    <row r="297">
      <c r="A297" s="3">
        <f>IFERROR(__xludf.DUMMYFUNCTION("""COMPUTED_VALUE"""),44992.6875)</f>
        <v>44992.6875</v>
      </c>
      <c r="B297" s="1">
        <f>IFERROR(__xludf.DUMMYFUNCTION("""COMPUTED_VALUE"""),727.0)</f>
        <v>727</v>
      </c>
      <c r="C297" s="1">
        <f>IFERROR(__xludf.DUMMYFUNCTION("""COMPUTED_VALUE"""),741.0)</f>
        <v>741</v>
      </c>
      <c r="D297" s="1">
        <f>IFERROR(__xludf.DUMMYFUNCTION("""COMPUTED_VALUE"""),722.0)</f>
        <v>722</v>
      </c>
      <c r="E297" s="1">
        <f>IFERROR(__xludf.DUMMYFUNCTION("""COMPUTED_VALUE"""),726.0)</f>
        <v>726</v>
      </c>
      <c r="F297" s="1">
        <f>IFERROR(__xludf.DUMMYFUNCTION("""COMPUTED_VALUE"""),570231.0)</f>
        <v>570231</v>
      </c>
      <c r="G297" s="2" t="s">
        <v>7</v>
      </c>
    </row>
    <row r="298">
      <c r="A298" s="3">
        <f>IFERROR(__xludf.DUMMYFUNCTION("""COMPUTED_VALUE"""),44993.6875)</f>
        <v>44993.6875</v>
      </c>
      <c r="B298" s="1">
        <f>IFERROR(__xludf.DUMMYFUNCTION("""COMPUTED_VALUE"""),726.0)</f>
        <v>726</v>
      </c>
      <c r="C298" s="1">
        <f>IFERROR(__xludf.DUMMYFUNCTION("""COMPUTED_VALUE"""),735.0)</f>
        <v>735</v>
      </c>
      <c r="D298" s="1">
        <f>IFERROR(__xludf.DUMMYFUNCTION("""COMPUTED_VALUE"""),724.0)</f>
        <v>724</v>
      </c>
      <c r="E298" s="1">
        <f>IFERROR(__xludf.DUMMYFUNCTION("""COMPUTED_VALUE"""),728.0)</f>
        <v>728</v>
      </c>
      <c r="F298" s="1">
        <f>IFERROR(__xludf.DUMMYFUNCTION("""COMPUTED_VALUE"""),107053.0)</f>
        <v>107053</v>
      </c>
      <c r="G298" s="2" t="s">
        <v>7</v>
      </c>
    </row>
    <row r="299">
      <c r="A299" s="3">
        <f>IFERROR(__xludf.DUMMYFUNCTION("""COMPUTED_VALUE"""),44994.6875)</f>
        <v>44994.6875</v>
      </c>
      <c r="B299" s="1">
        <f>IFERROR(__xludf.DUMMYFUNCTION("""COMPUTED_VALUE"""),742.0)</f>
        <v>742</v>
      </c>
      <c r="C299" s="1">
        <f>IFERROR(__xludf.DUMMYFUNCTION("""COMPUTED_VALUE"""),747.0)</f>
        <v>747</v>
      </c>
      <c r="D299" s="1">
        <f>IFERROR(__xludf.DUMMYFUNCTION("""COMPUTED_VALUE"""),717.0)</f>
        <v>717</v>
      </c>
      <c r="E299" s="1">
        <f>IFERROR(__xludf.DUMMYFUNCTION("""COMPUTED_VALUE"""),724.0)</f>
        <v>724</v>
      </c>
      <c r="F299" s="1">
        <f>IFERROR(__xludf.DUMMYFUNCTION("""COMPUTED_VALUE"""),56136.0)</f>
        <v>56136</v>
      </c>
      <c r="G299" s="2" t="s">
        <v>7</v>
      </c>
    </row>
    <row r="300">
      <c r="A300" s="3">
        <f>IFERROR(__xludf.DUMMYFUNCTION("""COMPUTED_VALUE"""),44995.6875)</f>
        <v>44995.6875</v>
      </c>
      <c r="B300" s="1">
        <f>IFERROR(__xludf.DUMMYFUNCTION("""COMPUTED_VALUE"""),716.0)</f>
        <v>716</v>
      </c>
      <c r="C300" s="1">
        <f>IFERROR(__xludf.DUMMYFUNCTION("""COMPUTED_VALUE"""),722.0)</f>
        <v>722</v>
      </c>
      <c r="D300" s="1">
        <f>IFERROR(__xludf.DUMMYFUNCTION("""COMPUTED_VALUE"""),713.0)</f>
        <v>713</v>
      </c>
      <c r="E300" s="1">
        <f>IFERROR(__xludf.DUMMYFUNCTION("""COMPUTED_VALUE"""),719.0)</f>
        <v>719</v>
      </c>
      <c r="F300" s="1">
        <f>IFERROR(__xludf.DUMMYFUNCTION("""COMPUTED_VALUE"""),102838.0)</f>
        <v>102838</v>
      </c>
      <c r="G300" s="2" t="s">
        <v>7</v>
      </c>
    </row>
    <row r="301">
      <c r="A301" s="3">
        <f>IFERROR(__xludf.DUMMYFUNCTION("""COMPUTED_VALUE"""),44998.6875)</f>
        <v>44998.6875</v>
      </c>
      <c r="B301" s="1">
        <f>IFERROR(__xludf.DUMMYFUNCTION("""COMPUTED_VALUE"""),725.0)</f>
        <v>725</v>
      </c>
      <c r="C301" s="1">
        <f>IFERROR(__xludf.DUMMYFUNCTION("""COMPUTED_VALUE"""),736.34)</f>
        <v>736.34</v>
      </c>
      <c r="D301" s="1">
        <f>IFERROR(__xludf.DUMMYFUNCTION("""COMPUTED_VALUE"""),698.0)</f>
        <v>698</v>
      </c>
      <c r="E301" s="1">
        <f>IFERROR(__xludf.DUMMYFUNCTION("""COMPUTED_VALUE"""),707.0)</f>
        <v>707</v>
      </c>
      <c r="F301" s="1">
        <f>IFERROR(__xludf.DUMMYFUNCTION("""COMPUTED_VALUE"""),103104.0)</f>
        <v>103104</v>
      </c>
      <c r="G301" s="2" t="s">
        <v>7</v>
      </c>
    </row>
    <row r="302">
      <c r="A302" s="3">
        <f>IFERROR(__xludf.DUMMYFUNCTION("""COMPUTED_VALUE"""),44999.6875)</f>
        <v>44999.6875</v>
      </c>
      <c r="B302" s="1">
        <f>IFERROR(__xludf.DUMMYFUNCTION("""COMPUTED_VALUE"""),703.0)</f>
        <v>703</v>
      </c>
      <c r="C302" s="1">
        <f>IFERROR(__xludf.DUMMYFUNCTION("""COMPUTED_VALUE"""),738.0)</f>
        <v>738</v>
      </c>
      <c r="D302" s="1">
        <f>IFERROR(__xludf.DUMMYFUNCTION("""COMPUTED_VALUE"""),679.0)</f>
        <v>679</v>
      </c>
      <c r="E302" s="1">
        <f>IFERROR(__xludf.DUMMYFUNCTION("""COMPUTED_VALUE"""),718.0)</f>
        <v>718</v>
      </c>
      <c r="F302" s="1">
        <f>IFERROR(__xludf.DUMMYFUNCTION("""COMPUTED_VALUE"""),113282.0)</f>
        <v>113282</v>
      </c>
      <c r="G302" s="2" t="s">
        <v>7</v>
      </c>
    </row>
    <row r="303">
      <c r="A303" s="3">
        <f>IFERROR(__xludf.DUMMYFUNCTION("""COMPUTED_VALUE"""),45000.6875)</f>
        <v>45000.6875</v>
      </c>
      <c r="B303" s="1">
        <f>IFERROR(__xludf.DUMMYFUNCTION("""COMPUTED_VALUE"""),702.0)</f>
        <v>702</v>
      </c>
      <c r="C303" s="1">
        <f>IFERROR(__xludf.DUMMYFUNCTION("""COMPUTED_VALUE"""),723.68)</f>
        <v>723.68</v>
      </c>
      <c r="D303" s="1">
        <f>IFERROR(__xludf.DUMMYFUNCTION("""COMPUTED_VALUE"""),702.0)</f>
        <v>702</v>
      </c>
      <c r="E303" s="1">
        <f>IFERROR(__xludf.DUMMYFUNCTION("""COMPUTED_VALUE"""),721.0)</f>
        <v>721</v>
      </c>
      <c r="F303" s="1">
        <f>IFERROR(__xludf.DUMMYFUNCTION("""COMPUTED_VALUE"""),232511.0)</f>
        <v>232511</v>
      </c>
      <c r="G303" s="2" t="s">
        <v>7</v>
      </c>
    </row>
    <row r="304">
      <c r="A304" s="3">
        <f>IFERROR(__xludf.DUMMYFUNCTION("""COMPUTED_VALUE"""),45001.6875)</f>
        <v>45001.6875</v>
      </c>
      <c r="B304" s="1">
        <f>IFERROR(__xludf.DUMMYFUNCTION("""COMPUTED_VALUE"""),731.0)</f>
        <v>731</v>
      </c>
      <c r="C304" s="1">
        <f>IFERROR(__xludf.DUMMYFUNCTION("""COMPUTED_VALUE"""),747.0)</f>
        <v>747</v>
      </c>
      <c r="D304" s="1">
        <f>IFERROR(__xludf.DUMMYFUNCTION("""COMPUTED_VALUE"""),716.0)</f>
        <v>716</v>
      </c>
      <c r="E304" s="1">
        <f>IFERROR(__xludf.DUMMYFUNCTION("""COMPUTED_VALUE"""),724.0)</f>
        <v>724</v>
      </c>
      <c r="F304" s="1">
        <f>IFERROR(__xludf.DUMMYFUNCTION("""COMPUTED_VALUE"""),178118.0)</f>
        <v>178118</v>
      </c>
      <c r="G304" s="2" t="s">
        <v>7</v>
      </c>
    </row>
    <row r="305">
      <c r="A305" s="3">
        <f>IFERROR(__xludf.DUMMYFUNCTION("""COMPUTED_VALUE"""),45002.6875)</f>
        <v>45002.6875</v>
      </c>
      <c r="B305" s="1">
        <f>IFERROR(__xludf.DUMMYFUNCTION("""COMPUTED_VALUE"""),726.0)</f>
        <v>726</v>
      </c>
      <c r="C305" s="1">
        <f>IFERROR(__xludf.DUMMYFUNCTION("""COMPUTED_VALUE"""),726.0)</f>
        <v>726</v>
      </c>
      <c r="D305" s="1">
        <f>IFERROR(__xludf.DUMMYFUNCTION("""COMPUTED_VALUE"""),708.76)</f>
        <v>708.76</v>
      </c>
      <c r="E305" s="1">
        <f>IFERROR(__xludf.DUMMYFUNCTION("""COMPUTED_VALUE"""),709.0)</f>
        <v>709</v>
      </c>
      <c r="F305" s="1">
        <f>IFERROR(__xludf.DUMMYFUNCTION("""COMPUTED_VALUE"""),873513.0)</f>
        <v>873513</v>
      </c>
      <c r="G305" s="2" t="s">
        <v>7</v>
      </c>
    </row>
    <row r="306">
      <c r="A306" s="3">
        <f>IFERROR(__xludf.DUMMYFUNCTION("""COMPUTED_VALUE"""),45005.6875)</f>
        <v>45005.6875</v>
      </c>
      <c r="B306" s="1">
        <f>IFERROR(__xludf.DUMMYFUNCTION("""COMPUTED_VALUE"""),682.0)</f>
        <v>682</v>
      </c>
      <c r="C306" s="1">
        <f>IFERROR(__xludf.DUMMYFUNCTION("""COMPUTED_VALUE"""),721.36)</f>
        <v>721.36</v>
      </c>
      <c r="D306" s="1">
        <f>IFERROR(__xludf.DUMMYFUNCTION("""COMPUTED_VALUE"""),682.0)</f>
        <v>682</v>
      </c>
      <c r="E306" s="1">
        <f>IFERROR(__xludf.DUMMYFUNCTION("""COMPUTED_VALUE"""),696.0)</f>
        <v>696</v>
      </c>
      <c r="F306" s="1">
        <f>IFERROR(__xludf.DUMMYFUNCTION("""COMPUTED_VALUE"""),129587.0)</f>
        <v>129587</v>
      </c>
      <c r="G306" s="2" t="s">
        <v>7</v>
      </c>
    </row>
    <row r="307">
      <c r="A307" s="3">
        <f>IFERROR(__xludf.DUMMYFUNCTION("""COMPUTED_VALUE"""),45006.6875)</f>
        <v>45006.6875</v>
      </c>
      <c r="B307" s="1">
        <f>IFERROR(__xludf.DUMMYFUNCTION("""COMPUTED_VALUE"""),703.0)</f>
        <v>703</v>
      </c>
      <c r="C307" s="1">
        <f>IFERROR(__xludf.DUMMYFUNCTION("""COMPUTED_VALUE"""),721.75)</f>
        <v>721.75</v>
      </c>
      <c r="D307" s="1">
        <f>IFERROR(__xludf.DUMMYFUNCTION("""COMPUTED_VALUE"""),683.0)</f>
        <v>683</v>
      </c>
      <c r="E307" s="1">
        <f>IFERROR(__xludf.DUMMYFUNCTION("""COMPUTED_VALUE"""),691.0)</f>
        <v>691</v>
      </c>
      <c r="F307" s="1">
        <f>IFERROR(__xludf.DUMMYFUNCTION("""COMPUTED_VALUE"""),278604.0)</f>
        <v>278604</v>
      </c>
      <c r="G307" s="2" t="s">
        <v>7</v>
      </c>
    </row>
    <row r="308">
      <c r="A308" s="3">
        <f>IFERROR(__xludf.DUMMYFUNCTION("""COMPUTED_VALUE"""),45007.6875)</f>
        <v>45007.6875</v>
      </c>
      <c r="B308" s="1">
        <f>IFERROR(__xludf.DUMMYFUNCTION("""COMPUTED_VALUE"""),700.0)</f>
        <v>700</v>
      </c>
      <c r="C308" s="1">
        <f>IFERROR(__xludf.DUMMYFUNCTION("""COMPUTED_VALUE"""),704.25)</f>
        <v>704.25</v>
      </c>
      <c r="D308" s="1">
        <f>IFERROR(__xludf.DUMMYFUNCTION("""COMPUTED_VALUE"""),691.82)</f>
        <v>691.82</v>
      </c>
      <c r="E308" s="1">
        <f>IFERROR(__xludf.DUMMYFUNCTION("""COMPUTED_VALUE"""),692.0)</f>
        <v>692</v>
      </c>
      <c r="F308" s="1">
        <f>IFERROR(__xludf.DUMMYFUNCTION("""COMPUTED_VALUE"""),103686.0)</f>
        <v>103686</v>
      </c>
      <c r="G308" s="2" t="s">
        <v>7</v>
      </c>
    </row>
    <row r="309">
      <c r="A309" s="3">
        <f>IFERROR(__xludf.DUMMYFUNCTION("""COMPUTED_VALUE"""),45008.6875)</f>
        <v>45008.6875</v>
      </c>
      <c r="B309" s="1">
        <f>IFERROR(__xludf.DUMMYFUNCTION("""COMPUTED_VALUE"""),686.0)</f>
        <v>686</v>
      </c>
      <c r="C309" s="1">
        <f>IFERROR(__xludf.DUMMYFUNCTION("""COMPUTED_VALUE"""),700.0)</f>
        <v>700</v>
      </c>
      <c r="D309" s="1">
        <f>IFERROR(__xludf.DUMMYFUNCTION("""COMPUTED_VALUE"""),680.3)</f>
        <v>680.3</v>
      </c>
      <c r="E309" s="1">
        <f>IFERROR(__xludf.DUMMYFUNCTION("""COMPUTED_VALUE"""),697.0)</f>
        <v>697</v>
      </c>
      <c r="F309" s="1">
        <f>IFERROR(__xludf.DUMMYFUNCTION("""COMPUTED_VALUE"""),90303.0)</f>
        <v>90303</v>
      </c>
      <c r="G309" s="2" t="s">
        <v>7</v>
      </c>
    </row>
    <row r="310">
      <c r="A310" s="3">
        <f>IFERROR(__xludf.DUMMYFUNCTION("""COMPUTED_VALUE"""),45009.6875)</f>
        <v>45009.6875</v>
      </c>
      <c r="B310" s="1">
        <f>IFERROR(__xludf.DUMMYFUNCTION("""COMPUTED_VALUE"""),691.0)</f>
        <v>691</v>
      </c>
      <c r="C310" s="1">
        <f>IFERROR(__xludf.DUMMYFUNCTION("""COMPUTED_VALUE"""),695.0)</f>
        <v>695</v>
      </c>
      <c r="D310" s="1">
        <f>IFERROR(__xludf.DUMMYFUNCTION("""COMPUTED_VALUE"""),679.75)</f>
        <v>679.75</v>
      </c>
      <c r="E310" s="1">
        <f>IFERROR(__xludf.DUMMYFUNCTION("""COMPUTED_VALUE"""),684.0)</f>
        <v>684</v>
      </c>
      <c r="F310" s="1">
        <f>IFERROR(__xludf.DUMMYFUNCTION("""COMPUTED_VALUE"""),96617.0)</f>
        <v>96617</v>
      </c>
      <c r="G310" s="2" t="s">
        <v>7</v>
      </c>
    </row>
    <row r="311">
      <c r="A311" s="3">
        <f>IFERROR(__xludf.DUMMYFUNCTION("""COMPUTED_VALUE"""),45012.6875)</f>
        <v>45012.6875</v>
      </c>
      <c r="B311" s="1">
        <f>IFERROR(__xludf.DUMMYFUNCTION("""COMPUTED_VALUE"""),690.0)</f>
        <v>690</v>
      </c>
      <c r="C311" s="1">
        <f>IFERROR(__xludf.DUMMYFUNCTION("""COMPUTED_VALUE"""),704.0)</f>
        <v>704</v>
      </c>
      <c r="D311" s="1">
        <f>IFERROR(__xludf.DUMMYFUNCTION("""COMPUTED_VALUE"""),677.0)</f>
        <v>677</v>
      </c>
      <c r="E311" s="1">
        <f>IFERROR(__xludf.DUMMYFUNCTION("""COMPUTED_VALUE"""),678.0)</f>
        <v>678</v>
      </c>
      <c r="F311" s="1">
        <f>IFERROR(__xludf.DUMMYFUNCTION("""COMPUTED_VALUE"""),80158.0)</f>
        <v>80158</v>
      </c>
      <c r="G311" s="2" t="s">
        <v>7</v>
      </c>
    </row>
    <row r="312">
      <c r="A312" s="3">
        <f>IFERROR(__xludf.DUMMYFUNCTION("""COMPUTED_VALUE"""),45013.6875)</f>
        <v>45013.6875</v>
      </c>
      <c r="B312" s="1">
        <f>IFERROR(__xludf.DUMMYFUNCTION("""COMPUTED_VALUE"""),672.0)</f>
        <v>672</v>
      </c>
      <c r="C312" s="1">
        <f>IFERROR(__xludf.DUMMYFUNCTION("""COMPUTED_VALUE"""),681.34)</f>
        <v>681.34</v>
      </c>
      <c r="D312" s="1">
        <f>IFERROR(__xludf.DUMMYFUNCTION("""COMPUTED_VALUE"""),662.0)</f>
        <v>662</v>
      </c>
      <c r="E312" s="1">
        <f>IFERROR(__xludf.DUMMYFUNCTION("""COMPUTED_VALUE"""),668.0)</f>
        <v>668</v>
      </c>
      <c r="F312" s="1">
        <f>IFERROR(__xludf.DUMMYFUNCTION("""COMPUTED_VALUE"""),105663.0)</f>
        <v>105663</v>
      </c>
      <c r="G312" s="2" t="s">
        <v>7</v>
      </c>
    </row>
    <row r="313">
      <c r="A313" s="3">
        <f>IFERROR(__xludf.DUMMYFUNCTION("""COMPUTED_VALUE"""),45014.6875)</f>
        <v>45014.6875</v>
      </c>
      <c r="B313" s="1">
        <f>IFERROR(__xludf.DUMMYFUNCTION("""COMPUTED_VALUE"""),661.0)</f>
        <v>661</v>
      </c>
      <c r="C313" s="1">
        <f>IFERROR(__xludf.DUMMYFUNCTION("""COMPUTED_VALUE"""),673.0)</f>
        <v>673</v>
      </c>
      <c r="D313" s="1">
        <f>IFERROR(__xludf.DUMMYFUNCTION("""COMPUTED_VALUE"""),650.0)</f>
        <v>650</v>
      </c>
      <c r="E313" s="1">
        <f>IFERROR(__xludf.DUMMYFUNCTION("""COMPUTED_VALUE"""),669.0)</f>
        <v>669</v>
      </c>
      <c r="F313" s="1">
        <f>IFERROR(__xludf.DUMMYFUNCTION("""COMPUTED_VALUE"""),209713.0)</f>
        <v>209713</v>
      </c>
      <c r="G313" s="2" t="s">
        <v>7</v>
      </c>
    </row>
    <row r="314">
      <c r="A314" s="3">
        <f>IFERROR(__xludf.DUMMYFUNCTION("""COMPUTED_VALUE"""),45015.6875)</f>
        <v>45015.6875</v>
      </c>
      <c r="B314" s="1">
        <f>IFERROR(__xludf.DUMMYFUNCTION("""COMPUTED_VALUE"""),672.0)</f>
        <v>672</v>
      </c>
      <c r="C314" s="1">
        <f>IFERROR(__xludf.DUMMYFUNCTION("""COMPUTED_VALUE"""),686.0)</f>
        <v>686</v>
      </c>
      <c r="D314" s="1">
        <f>IFERROR(__xludf.DUMMYFUNCTION("""COMPUTED_VALUE"""),671.0)</f>
        <v>671</v>
      </c>
      <c r="E314" s="1">
        <f>IFERROR(__xludf.DUMMYFUNCTION("""COMPUTED_VALUE"""),681.0)</f>
        <v>681</v>
      </c>
      <c r="F314" s="1">
        <f>IFERROR(__xludf.DUMMYFUNCTION("""COMPUTED_VALUE"""),105927.0)</f>
        <v>105927</v>
      </c>
      <c r="G314" s="2" t="s">
        <v>7</v>
      </c>
    </row>
    <row r="315">
      <c r="A315" s="3">
        <f>IFERROR(__xludf.DUMMYFUNCTION("""COMPUTED_VALUE"""),45016.6875)</f>
        <v>45016.6875</v>
      </c>
      <c r="B315" s="1">
        <f>IFERROR(__xludf.DUMMYFUNCTION("""COMPUTED_VALUE"""),703.0)</f>
        <v>703</v>
      </c>
      <c r="C315" s="1">
        <f>IFERROR(__xludf.DUMMYFUNCTION("""COMPUTED_VALUE"""),703.0)</f>
        <v>703</v>
      </c>
      <c r="D315" s="1">
        <f>IFERROR(__xludf.DUMMYFUNCTION("""COMPUTED_VALUE"""),671.0)</f>
        <v>671</v>
      </c>
      <c r="E315" s="1">
        <f>IFERROR(__xludf.DUMMYFUNCTION("""COMPUTED_VALUE"""),692.0)</f>
        <v>692</v>
      </c>
      <c r="F315" s="1">
        <f>IFERROR(__xludf.DUMMYFUNCTION("""COMPUTED_VALUE"""),472817.0)</f>
        <v>472817</v>
      </c>
      <c r="G315" s="2" t="s">
        <v>7</v>
      </c>
    </row>
    <row r="316">
      <c r="A316" s="3">
        <f>IFERROR(__xludf.DUMMYFUNCTION("""COMPUTED_VALUE"""),45019.6875)</f>
        <v>45019.6875</v>
      </c>
      <c r="B316" s="1">
        <f>IFERROR(__xludf.DUMMYFUNCTION("""COMPUTED_VALUE"""),672.0)</f>
        <v>672</v>
      </c>
      <c r="C316" s="1">
        <f>IFERROR(__xludf.DUMMYFUNCTION("""COMPUTED_VALUE"""),699.0)</f>
        <v>699</v>
      </c>
      <c r="D316" s="1">
        <f>IFERROR(__xludf.DUMMYFUNCTION("""COMPUTED_VALUE"""),648.0)</f>
        <v>648</v>
      </c>
      <c r="E316" s="1">
        <f>IFERROR(__xludf.DUMMYFUNCTION("""COMPUTED_VALUE"""),683.0)</f>
        <v>683</v>
      </c>
      <c r="F316" s="1">
        <f>IFERROR(__xludf.DUMMYFUNCTION("""COMPUTED_VALUE"""),60429.0)</f>
        <v>60429</v>
      </c>
      <c r="G316" s="2" t="s">
        <v>7</v>
      </c>
    </row>
    <row r="317">
      <c r="A317" s="3">
        <f>IFERROR(__xludf.DUMMYFUNCTION("""COMPUTED_VALUE"""),45020.6875)</f>
        <v>45020.6875</v>
      </c>
      <c r="B317" s="1">
        <f>IFERROR(__xludf.DUMMYFUNCTION("""COMPUTED_VALUE"""),690.0)</f>
        <v>690</v>
      </c>
      <c r="C317" s="1">
        <f>IFERROR(__xludf.DUMMYFUNCTION("""COMPUTED_VALUE"""),700.0)</f>
        <v>700</v>
      </c>
      <c r="D317" s="1">
        <f>IFERROR(__xludf.DUMMYFUNCTION("""COMPUTED_VALUE"""),659.28)</f>
        <v>659.28</v>
      </c>
      <c r="E317" s="1">
        <f>IFERROR(__xludf.DUMMYFUNCTION("""COMPUTED_VALUE"""),695.0)</f>
        <v>695</v>
      </c>
      <c r="F317" s="1">
        <f>IFERROR(__xludf.DUMMYFUNCTION("""COMPUTED_VALUE"""),108713.0)</f>
        <v>108713</v>
      </c>
      <c r="G317" s="2" t="s">
        <v>7</v>
      </c>
    </row>
    <row r="318">
      <c r="A318" s="3">
        <f>IFERROR(__xludf.DUMMYFUNCTION("""COMPUTED_VALUE"""),45021.6875)</f>
        <v>45021.6875</v>
      </c>
      <c r="B318" s="1">
        <f>IFERROR(__xludf.DUMMYFUNCTION("""COMPUTED_VALUE"""),700.0)</f>
        <v>700</v>
      </c>
      <c r="C318" s="1">
        <f>IFERROR(__xludf.DUMMYFUNCTION("""COMPUTED_VALUE"""),700.0)</f>
        <v>700</v>
      </c>
      <c r="D318" s="1">
        <f>IFERROR(__xludf.DUMMYFUNCTION("""COMPUTED_VALUE"""),645.0)</f>
        <v>645</v>
      </c>
      <c r="E318" s="1">
        <f>IFERROR(__xludf.DUMMYFUNCTION("""COMPUTED_VALUE"""),660.0)</f>
        <v>660</v>
      </c>
      <c r="F318" s="1">
        <f>IFERROR(__xludf.DUMMYFUNCTION("""COMPUTED_VALUE"""),208296.0)</f>
        <v>208296</v>
      </c>
      <c r="G318" s="2" t="s">
        <v>7</v>
      </c>
    </row>
    <row r="319">
      <c r="A319" s="3">
        <f>IFERROR(__xludf.DUMMYFUNCTION("""COMPUTED_VALUE"""),45022.6875)</f>
        <v>45022.6875</v>
      </c>
      <c r="B319" s="1">
        <f>IFERROR(__xludf.DUMMYFUNCTION("""COMPUTED_VALUE"""),660.0)</f>
        <v>660</v>
      </c>
      <c r="C319" s="1">
        <f>IFERROR(__xludf.DUMMYFUNCTION("""COMPUTED_VALUE"""),688.0)</f>
        <v>688</v>
      </c>
      <c r="D319" s="1">
        <f>IFERROR(__xludf.DUMMYFUNCTION("""COMPUTED_VALUE"""),656.0)</f>
        <v>656</v>
      </c>
      <c r="E319" s="1">
        <f>IFERROR(__xludf.DUMMYFUNCTION("""COMPUTED_VALUE"""),678.0)</f>
        <v>678</v>
      </c>
      <c r="F319" s="1">
        <f>IFERROR(__xludf.DUMMYFUNCTION("""COMPUTED_VALUE"""),174598.0)</f>
        <v>174598</v>
      </c>
      <c r="G319" s="2" t="s">
        <v>7</v>
      </c>
    </row>
    <row r="320">
      <c r="A320" s="3">
        <f>IFERROR(__xludf.DUMMYFUNCTION("""COMPUTED_VALUE"""),45027.6875)</f>
        <v>45027.6875</v>
      </c>
      <c r="B320" s="1">
        <f>IFERROR(__xludf.DUMMYFUNCTION("""COMPUTED_VALUE"""),681.0)</f>
        <v>681</v>
      </c>
      <c r="C320" s="1">
        <f>IFERROR(__xludf.DUMMYFUNCTION("""COMPUTED_VALUE"""),694.0)</f>
        <v>694</v>
      </c>
      <c r="D320" s="1">
        <f>IFERROR(__xludf.DUMMYFUNCTION("""COMPUTED_VALUE"""),651.0)</f>
        <v>651</v>
      </c>
      <c r="E320" s="1">
        <f>IFERROR(__xludf.DUMMYFUNCTION("""COMPUTED_VALUE"""),665.0)</f>
        <v>665</v>
      </c>
      <c r="F320" s="1">
        <f>IFERROR(__xludf.DUMMYFUNCTION("""COMPUTED_VALUE"""),181887.0)</f>
        <v>181887</v>
      </c>
      <c r="G320" s="2" t="s">
        <v>7</v>
      </c>
    </row>
    <row r="321">
      <c r="A321" s="3">
        <f>IFERROR(__xludf.DUMMYFUNCTION("""COMPUTED_VALUE"""),45028.6875)</f>
        <v>45028.6875</v>
      </c>
      <c r="B321" s="1">
        <f>IFERROR(__xludf.DUMMYFUNCTION("""COMPUTED_VALUE"""),660.0)</f>
        <v>660</v>
      </c>
      <c r="C321" s="1">
        <f>IFERROR(__xludf.DUMMYFUNCTION("""COMPUTED_VALUE"""),677.0)</f>
        <v>677</v>
      </c>
      <c r="D321" s="1">
        <f>IFERROR(__xludf.DUMMYFUNCTION("""COMPUTED_VALUE"""),660.0)</f>
        <v>660</v>
      </c>
      <c r="E321" s="1">
        <f>IFERROR(__xludf.DUMMYFUNCTION("""COMPUTED_VALUE"""),668.0)</f>
        <v>668</v>
      </c>
      <c r="F321" s="1">
        <f>IFERROR(__xludf.DUMMYFUNCTION("""COMPUTED_VALUE"""),137457.0)</f>
        <v>137457</v>
      </c>
      <c r="G321" s="2" t="s">
        <v>7</v>
      </c>
    </row>
    <row r="322">
      <c r="A322" s="3">
        <f>IFERROR(__xludf.DUMMYFUNCTION("""COMPUTED_VALUE"""),45029.6875)</f>
        <v>45029.6875</v>
      </c>
      <c r="B322" s="1">
        <f>IFERROR(__xludf.DUMMYFUNCTION("""COMPUTED_VALUE"""),666.0)</f>
        <v>666</v>
      </c>
      <c r="C322" s="1">
        <f>IFERROR(__xludf.DUMMYFUNCTION("""COMPUTED_VALUE"""),673.0)</f>
        <v>673</v>
      </c>
      <c r="D322" s="1">
        <f>IFERROR(__xludf.DUMMYFUNCTION("""COMPUTED_VALUE"""),656.0)</f>
        <v>656</v>
      </c>
      <c r="E322" s="1">
        <f>IFERROR(__xludf.DUMMYFUNCTION("""COMPUTED_VALUE"""),658.0)</f>
        <v>658</v>
      </c>
      <c r="F322" s="1">
        <f>IFERROR(__xludf.DUMMYFUNCTION("""COMPUTED_VALUE"""),160967.0)</f>
        <v>160967</v>
      </c>
      <c r="G322" s="2" t="s">
        <v>7</v>
      </c>
    </row>
    <row r="323">
      <c r="A323" s="3">
        <f>IFERROR(__xludf.DUMMYFUNCTION("""COMPUTED_VALUE"""),45030.6875)</f>
        <v>45030.6875</v>
      </c>
      <c r="B323" s="1">
        <f>IFERROR(__xludf.DUMMYFUNCTION("""COMPUTED_VALUE"""),647.0)</f>
        <v>647</v>
      </c>
      <c r="C323" s="1">
        <f>IFERROR(__xludf.DUMMYFUNCTION("""COMPUTED_VALUE"""),665.25)</f>
        <v>665.25</v>
      </c>
      <c r="D323" s="1">
        <f>IFERROR(__xludf.DUMMYFUNCTION("""COMPUTED_VALUE"""),640.0)</f>
        <v>640</v>
      </c>
      <c r="E323" s="1">
        <f>IFERROR(__xludf.DUMMYFUNCTION("""COMPUTED_VALUE"""),660.0)</f>
        <v>660</v>
      </c>
      <c r="F323" s="1">
        <f>IFERROR(__xludf.DUMMYFUNCTION("""COMPUTED_VALUE"""),714995.0)</f>
        <v>714995</v>
      </c>
      <c r="G323" s="2" t="s">
        <v>7</v>
      </c>
    </row>
    <row r="324">
      <c r="A324" s="3">
        <f>IFERROR(__xludf.DUMMYFUNCTION("""COMPUTED_VALUE"""),45033.6875)</f>
        <v>45033.6875</v>
      </c>
      <c r="B324" s="1">
        <f>IFERROR(__xludf.DUMMYFUNCTION("""COMPUTED_VALUE"""),661.0)</f>
        <v>661</v>
      </c>
      <c r="C324" s="1">
        <f>IFERROR(__xludf.DUMMYFUNCTION("""COMPUTED_VALUE"""),674.25)</f>
        <v>674.25</v>
      </c>
      <c r="D324" s="1">
        <f>IFERROR(__xludf.DUMMYFUNCTION("""COMPUTED_VALUE"""),660.0)</f>
        <v>660</v>
      </c>
      <c r="E324" s="1">
        <f>IFERROR(__xludf.DUMMYFUNCTION("""COMPUTED_VALUE"""),673.0)</f>
        <v>673</v>
      </c>
      <c r="F324" s="1">
        <f>IFERROR(__xludf.DUMMYFUNCTION("""COMPUTED_VALUE"""),165069.0)</f>
        <v>165069</v>
      </c>
      <c r="G324" s="2" t="s">
        <v>7</v>
      </c>
    </row>
    <row r="325">
      <c r="A325" s="3">
        <f>IFERROR(__xludf.DUMMYFUNCTION("""COMPUTED_VALUE"""),45034.6875)</f>
        <v>45034.6875</v>
      </c>
      <c r="B325" s="1">
        <f>IFERROR(__xludf.DUMMYFUNCTION("""COMPUTED_VALUE"""),671.0)</f>
        <v>671</v>
      </c>
      <c r="C325" s="1">
        <f>IFERROR(__xludf.DUMMYFUNCTION("""COMPUTED_VALUE"""),673.0)</f>
        <v>673</v>
      </c>
      <c r="D325" s="1">
        <f>IFERROR(__xludf.DUMMYFUNCTION("""COMPUTED_VALUE"""),663.02)</f>
        <v>663.02</v>
      </c>
      <c r="E325" s="1">
        <f>IFERROR(__xludf.DUMMYFUNCTION("""COMPUTED_VALUE"""),665.0)</f>
        <v>665</v>
      </c>
      <c r="F325" s="1">
        <f>IFERROR(__xludf.DUMMYFUNCTION("""COMPUTED_VALUE"""),45196.0)</f>
        <v>45196</v>
      </c>
      <c r="G325" s="2" t="s">
        <v>7</v>
      </c>
    </row>
    <row r="326">
      <c r="A326" s="3">
        <f>IFERROR(__xludf.DUMMYFUNCTION("""COMPUTED_VALUE"""),45035.6875)</f>
        <v>45035.6875</v>
      </c>
      <c r="B326" s="1">
        <f>IFERROR(__xludf.DUMMYFUNCTION("""COMPUTED_VALUE"""),675.0)</f>
        <v>675</v>
      </c>
      <c r="C326" s="1">
        <f>IFERROR(__xludf.DUMMYFUNCTION("""COMPUTED_VALUE"""),675.0)</f>
        <v>675</v>
      </c>
      <c r="D326" s="1">
        <f>IFERROR(__xludf.DUMMYFUNCTION("""COMPUTED_VALUE"""),659.0)</f>
        <v>659</v>
      </c>
      <c r="E326" s="1">
        <f>IFERROR(__xludf.DUMMYFUNCTION("""COMPUTED_VALUE"""),675.0)</f>
        <v>675</v>
      </c>
      <c r="F326" s="1">
        <f>IFERROR(__xludf.DUMMYFUNCTION("""COMPUTED_VALUE"""),48352.0)</f>
        <v>48352</v>
      </c>
      <c r="G326" s="2" t="s">
        <v>7</v>
      </c>
    </row>
    <row r="327">
      <c r="A327" s="3">
        <f>IFERROR(__xludf.DUMMYFUNCTION("""COMPUTED_VALUE"""),45036.6875)</f>
        <v>45036.6875</v>
      </c>
      <c r="B327" s="1">
        <f>IFERROR(__xludf.DUMMYFUNCTION("""COMPUTED_VALUE"""),674.0)</f>
        <v>674</v>
      </c>
      <c r="C327" s="1">
        <f>IFERROR(__xludf.DUMMYFUNCTION("""COMPUTED_VALUE"""),678.0)</f>
        <v>678</v>
      </c>
      <c r="D327" s="1">
        <f>IFERROR(__xludf.DUMMYFUNCTION("""COMPUTED_VALUE"""),669.0)</f>
        <v>669</v>
      </c>
      <c r="E327" s="1">
        <f>IFERROR(__xludf.DUMMYFUNCTION("""COMPUTED_VALUE"""),672.0)</f>
        <v>672</v>
      </c>
      <c r="F327" s="1">
        <f>IFERROR(__xludf.DUMMYFUNCTION("""COMPUTED_VALUE"""),64866.0)</f>
        <v>64866</v>
      </c>
      <c r="G327" s="2" t="s">
        <v>7</v>
      </c>
    </row>
    <row r="328">
      <c r="A328" s="3">
        <f>IFERROR(__xludf.DUMMYFUNCTION("""COMPUTED_VALUE"""),45037.6875)</f>
        <v>45037.6875</v>
      </c>
      <c r="B328" s="1">
        <f>IFERROR(__xludf.DUMMYFUNCTION("""COMPUTED_VALUE"""),651.0)</f>
        <v>651</v>
      </c>
      <c r="C328" s="1">
        <f>IFERROR(__xludf.DUMMYFUNCTION("""COMPUTED_VALUE"""),675.0)</f>
        <v>675</v>
      </c>
      <c r="D328" s="1">
        <f>IFERROR(__xludf.DUMMYFUNCTION("""COMPUTED_VALUE"""),635.0)</f>
        <v>635</v>
      </c>
      <c r="E328" s="1">
        <f>IFERROR(__xludf.DUMMYFUNCTION("""COMPUTED_VALUE"""),675.0)</f>
        <v>675</v>
      </c>
      <c r="F328" s="1">
        <f>IFERROR(__xludf.DUMMYFUNCTION("""COMPUTED_VALUE"""),214344.0)</f>
        <v>214344</v>
      </c>
      <c r="G328" s="2" t="s">
        <v>7</v>
      </c>
    </row>
    <row r="329">
      <c r="A329" s="3">
        <f>IFERROR(__xludf.DUMMYFUNCTION("""COMPUTED_VALUE"""),45040.6875)</f>
        <v>45040.6875</v>
      </c>
      <c r="B329" s="1">
        <f>IFERROR(__xludf.DUMMYFUNCTION("""COMPUTED_VALUE"""),658.0)</f>
        <v>658</v>
      </c>
      <c r="C329" s="1">
        <f>IFERROR(__xludf.DUMMYFUNCTION("""COMPUTED_VALUE"""),679.0)</f>
        <v>679</v>
      </c>
      <c r="D329" s="1">
        <f>IFERROR(__xludf.DUMMYFUNCTION("""COMPUTED_VALUE"""),645.0)</f>
        <v>645</v>
      </c>
      <c r="E329" s="1">
        <f>IFERROR(__xludf.DUMMYFUNCTION("""COMPUTED_VALUE"""),670.0)</f>
        <v>670</v>
      </c>
      <c r="F329" s="1">
        <f>IFERROR(__xludf.DUMMYFUNCTION("""COMPUTED_VALUE"""),61227.0)</f>
        <v>61227</v>
      </c>
      <c r="G329" s="2" t="s">
        <v>7</v>
      </c>
    </row>
    <row r="330">
      <c r="A330" s="3">
        <f>IFERROR(__xludf.DUMMYFUNCTION("""COMPUTED_VALUE"""),45041.6875)</f>
        <v>45041.6875</v>
      </c>
      <c r="B330" s="1">
        <f>IFERROR(__xludf.DUMMYFUNCTION("""COMPUTED_VALUE"""),639.0)</f>
        <v>639</v>
      </c>
      <c r="C330" s="1">
        <f>IFERROR(__xludf.DUMMYFUNCTION("""COMPUTED_VALUE"""),677.0)</f>
        <v>677</v>
      </c>
      <c r="D330" s="1">
        <f>IFERROR(__xludf.DUMMYFUNCTION("""COMPUTED_VALUE"""),639.0)</f>
        <v>639</v>
      </c>
      <c r="E330" s="1">
        <f>IFERROR(__xludf.DUMMYFUNCTION("""COMPUTED_VALUE"""),675.0)</f>
        <v>675</v>
      </c>
      <c r="F330" s="1">
        <f>IFERROR(__xludf.DUMMYFUNCTION("""COMPUTED_VALUE"""),44714.0)</f>
        <v>44714</v>
      </c>
      <c r="G330" s="2" t="s">
        <v>7</v>
      </c>
    </row>
    <row r="331">
      <c r="A331" s="3">
        <f>IFERROR(__xludf.DUMMYFUNCTION("""COMPUTED_VALUE"""),45042.6875)</f>
        <v>45042.6875</v>
      </c>
      <c r="B331" s="1">
        <f>IFERROR(__xludf.DUMMYFUNCTION("""COMPUTED_VALUE"""),664.0)</f>
        <v>664</v>
      </c>
      <c r="C331" s="1">
        <f>IFERROR(__xludf.DUMMYFUNCTION("""COMPUTED_VALUE"""),679.0)</f>
        <v>679</v>
      </c>
      <c r="D331" s="1">
        <f>IFERROR(__xludf.DUMMYFUNCTION("""COMPUTED_VALUE"""),662.4)</f>
        <v>662.4</v>
      </c>
      <c r="E331" s="1">
        <f>IFERROR(__xludf.DUMMYFUNCTION("""COMPUTED_VALUE"""),669.0)</f>
        <v>669</v>
      </c>
      <c r="F331" s="1">
        <f>IFERROR(__xludf.DUMMYFUNCTION("""COMPUTED_VALUE"""),187774.0)</f>
        <v>187774</v>
      </c>
      <c r="G331" s="2" t="s">
        <v>7</v>
      </c>
    </row>
    <row r="332">
      <c r="A332" s="3">
        <f>IFERROR(__xludf.DUMMYFUNCTION("""COMPUTED_VALUE"""),45043.6875)</f>
        <v>45043.6875</v>
      </c>
      <c r="B332" s="1">
        <f>IFERROR(__xludf.DUMMYFUNCTION("""COMPUTED_VALUE"""),667.0)</f>
        <v>667</v>
      </c>
      <c r="C332" s="1">
        <f>IFERROR(__xludf.DUMMYFUNCTION("""COMPUTED_VALUE"""),675.0)</f>
        <v>675</v>
      </c>
      <c r="D332" s="1">
        <f>IFERROR(__xludf.DUMMYFUNCTION("""COMPUTED_VALUE"""),664.0)</f>
        <v>664</v>
      </c>
      <c r="E332" s="1">
        <f>IFERROR(__xludf.DUMMYFUNCTION("""COMPUTED_VALUE"""),670.0)</f>
        <v>670</v>
      </c>
      <c r="F332" s="1">
        <f>IFERROR(__xludf.DUMMYFUNCTION("""COMPUTED_VALUE"""),205301.0)</f>
        <v>205301</v>
      </c>
      <c r="G332" s="2" t="s">
        <v>7</v>
      </c>
    </row>
    <row r="333">
      <c r="A333" s="3">
        <f>IFERROR(__xludf.DUMMYFUNCTION("""COMPUTED_VALUE"""),45044.6875)</f>
        <v>45044.6875</v>
      </c>
      <c r="B333" s="1">
        <f>IFERROR(__xludf.DUMMYFUNCTION("""COMPUTED_VALUE"""),682.0)</f>
        <v>682</v>
      </c>
      <c r="C333" s="1">
        <f>IFERROR(__xludf.DUMMYFUNCTION("""COMPUTED_VALUE"""),682.0)</f>
        <v>682</v>
      </c>
      <c r="D333" s="1">
        <f>IFERROR(__xludf.DUMMYFUNCTION("""COMPUTED_VALUE"""),666.0)</f>
        <v>666</v>
      </c>
      <c r="E333" s="1">
        <f>IFERROR(__xludf.DUMMYFUNCTION("""COMPUTED_VALUE"""),678.0)</f>
        <v>678</v>
      </c>
      <c r="F333" s="1">
        <f>IFERROR(__xludf.DUMMYFUNCTION("""COMPUTED_VALUE"""),269141.0)</f>
        <v>269141</v>
      </c>
      <c r="G333" s="2" t="s">
        <v>7</v>
      </c>
    </row>
    <row r="334">
      <c r="A334" s="3">
        <f>IFERROR(__xludf.DUMMYFUNCTION("""COMPUTED_VALUE"""),45048.6875)</f>
        <v>45048.6875</v>
      </c>
      <c r="B334" s="1">
        <f>IFERROR(__xludf.DUMMYFUNCTION("""COMPUTED_VALUE"""),709.0)</f>
        <v>709</v>
      </c>
      <c r="C334" s="1">
        <f>IFERROR(__xludf.DUMMYFUNCTION("""COMPUTED_VALUE"""),712.0)</f>
        <v>712</v>
      </c>
      <c r="D334" s="1">
        <f>IFERROR(__xludf.DUMMYFUNCTION("""COMPUTED_VALUE"""),671.0)</f>
        <v>671</v>
      </c>
      <c r="E334" s="1">
        <f>IFERROR(__xludf.DUMMYFUNCTION("""COMPUTED_VALUE"""),712.0)</f>
        <v>712</v>
      </c>
      <c r="F334" s="1">
        <f>IFERROR(__xludf.DUMMYFUNCTION("""COMPUTED_VALUE"""),222444.0)</f>
        <v>222444</v>
      </c>
      <c r="G334" s="2" t="s">
        <v>7</v>
      </c>
    </row>
    <row r="335">
      <c r="A335" s="3">
        <f>IFERROR(__xludf.DUMMYFUNCTION("""COMPUTED_VALUE"""),45049.6875)</f>
        <v>45049.6875</v>
      </c>
      <c r="B335" s="1">
        <f>IFERROR(__xludf.DUMMYFUNCTION("""COMPUTED_VALUE"""),678.0)</f>
        <v>678</v>
      </c>
      <c r="C335" s="1">
        <f>IFERROR(__xludf.DUMMYFUNCTION("""COMPUTED_VALUE"""),724.0)</f>
        <v>724</v>
      </c>
      <c r="D335" s="1">
        <f>IFERROR(__xludf.DUMMYFUNCTION("""COMPUTED_VALUE"""),678.0)</f>
        <v>678</v>
      </c>
      <c r="E335" s="1">
        <f>IFERROR(__xludf.DUMMYFUNCTION("""COMPUTED_VALUE"""),724.0)</f>
        <v>724</v>
      </c>
      <c r="F335" s="1">
        <f>IFERROR(__xludf.DUMMYFUNCTION("""COMPUTED_VALUE"""),78822.0)</f>
        <v>78822</v>
      </c>
      <c r="G335" s="2" t="s">
        <v>7</v>
      </c>
    </row>
    <row r="336">
      <c r="A336" s="3">
        <f>IFERROR(__xludf.DUMMYFUNCTION("""COMPUTED_VALUE"""),45050.6875)</f>
        <v>45050.6875</v>
      </c>
      <c r="B336" s="1">
        <f>IFERROR(__xludf.DUMMYFUNCTION("""COMPUTED_VALUE"""),703.0)</f>
        <v>703</v>
      </c>
      <c r="C336" s="1">
        <f>IFERROR(__xludf.DUMMYFUNCTION("""COMPUTED_VALUE"""),722.0)</f>
        <v>722</v>
      </c>
      <c r="D336" s="1">
        <f>IFERROR(__xludf.DUMMYFUNCTION("""COMPUTED_VALUE"""),700.0)</f>
        <v>700</v>
      </c>
      <c r="E336" s="1">
        <f>IFERROR(__xludf.DUMMYFUNCTION("""COMPUTED_VALUE"""),705.0)</f>
        <v>705</v>
      </c>
      <c r="F336" s="1">
        <f>IFERROR(__xludf.DUMMYFUNCTION("""COMPUTED_VALUE"""),65559.0)</f>
        <v>65559</v>
      </c>
      <c r="G336" s="2" t="s">
        <v>7</v>
      </c>
    </row>
    <row r="337">
      <c r="A337" s="3">
        <f>IFERROR(__xludf.DUMMYFUNCTION("""COMPUTED_VALUE"""),45051.6875)</f>
        <v>45051.6875</v>
      </c>
      <c r="B337" s="1">
        <f>IFERROR(__xludf.DUMMYFUNCTION("""COMPUTED_VALUE"""),716.0)</f>
        <v>716</v>
      </c>
      <c r="C337" s="1">
        <f>IFERROR(__xludf.DUMMYFUNCTION("""COMPUTED_VALUE"""),741.0)</f>
        <v>741</v>
      </c>
      <c r="D337" s="1">
        <f>IFERROR(__xludf.DUMMYFUNCTION("""COMPUTED_VALUE"""),705.0)</f>
        <v>705</v>
      </c>
      <c r="E337" s="1">
        <f>IFERROR(__xludf.DUMMYFUNCTION("""COMPUTED_VALUE"""),736.0)</f>
        <v>736</v>
      </c>
      <c r="F337" s="1">
        <f>IFERROR(__xludf.DUMMYFUNCTION("""COMPUTED_VALUE"""),59807.0)</f>
        <v>59807</v>
      </c>
      <c r="G337" s="2" t="s">
        <v>7</v>
      </c>
    </row>
    <row r="338">
      <c r="A338" s="3">
        <f>IFERROR(__xludf.DUMMYFUNCTION("""COMPUTED_VALUE"""),45055.6875)</f>
        <v>45055.6875</v>
      </c>
      <c r="B338" s="1">
        <f>IFERROR(__xludf.DUMMYFUNCTION("""COMPUTED_VALUE"""),732.0)</f>
        <v>732</v>
      </c>
      <c r="C338" s="1">
        <f>IFERROR(__xludf.DUMMYFUNCTION("""COMPUTED_VALUE"""),751.0)</f>
        <v>751</v>
      </c>
      <c r="D338" s="1">
        <f>IFERROR(__xludf.DUMMYFUNCTION("""COMPUTED_VALUE"""),732.0)</f>
        <v>732</v>
      </c>
      <c r="E338" s="1">
        <f>IFERROR(__xludf.DUMMYFUNCTION("""COMPUTED_VALUE"""),738.0)</f>
        <v>738</v>
      </c>
      <c r="F338" s="1">
        <f>IFERROR(__xludf.DUMMYFUNCTION("""COMPUTED_VALUE"""),65946.0)</f>
        <v>65946</v>
      </c>
      <c r="G338" s="2" t="s">
        <v>7</v>
      </c>
    </row>
    <row r="339">
      <c r="A339" s="3">
        <f>IFERROR(__xludf.DUMMYFUNCTION("""COMPUTED_VALUE"""),45056.6875)</f>
        <v>45056.6875</v>
      </c>
      <c r="B339" s="1">
        <f>IFERROR(__xludf.DUMMYFUNCTION("""COMPUTED_VALUE"""),732.0)</f>
        <v>732</v>
      </c>
      <c r="C339" s="1">
        <f>IFERROR(__xludf.DUMMYFUNCTION("""COMPUTED_VALUE"""),739.0)</f>
        <v>739</v>
      </c>
      <c r="D339" s="1">
        <f>IFERROR(__xludf.DUMMYFUNCTION("""COMPUTED_VALUE"""),724.0)</f>
        <v>724</v>
      </c>
      <c r="E339" s="1">
        <f>IFERROR(__xludf.DUMMYFUNCTION("""COMPUTED_VALUE"""),738.0)</f>
        <v>738</v>
      </c>
      <c r="F339" s="1">
        <f>IFERROR(__xludf.DUMMYFUNCTION("""COMPUTED_VALUE"""),63589.0)</f>
        <v>63589</v>
      </c>
      <c r="G339" s="2" t="s">
        <v>7</v>
      </c>
    </row>
    <row r="340">
      <c r="A340" s="3">
        <f>IFERROR(__xludf.DUMMYFUNCTION("""COMPUTED_VALUE"""),45057.6875)</f>
        <v>45057.6875</v>
      </c>
      <c r="B340" s="1">
        <f>IFERROR(__xludf.DUMMYFUNCTION("""COMPUTED_VALUE"""),746.0)</f>
        <v>746</v>
      </c>
      <c r="C340" s="1">
        <f>IFERROR(__xludf.DUMMYFUNCTION("""COMPUTED_VALUE"""),746.0)</f>
        <v>746</v>
      </c>
      <c r="D340" s="1">
        <f>IFERROR(__xludf.DUMMYFUNCTION("""COMPUTED_VALUE"""),698.0)</f>
        <v>698</v>
      </c>
      <c r="E340" s="1">
        <f>IFERROR(__xludf.DUMMYFUNCTION("""COMPUTED_VALUE"""),736.0)</f>
        <v>736</v>
      </c>
      <c r="F340" s="1">
        <f>IFERROR(__xludf.DUMMYFUNCTION("""COMPUTED_VALUE"""),110107.0)</f>
        <v>110107</v>
      </c>
      <c r="G340" s="2" t="s">
        <v>7</v>
      </c>
    </row>
    <row r="341">
      <c r="A341" s="3">
        <f>IFERROR(__xludf.DUMMYFUNCTION("""COMPUTED_VALUE"""),45058.6875)</f>
        <v>45058.6875</v>
      </c>
      <c r="B341" s="1">
        <f>IFERROR(__xludf.DUMMYFUNCTION("""COMPUTED_VALUE"""),733.0)</f>
        <v>733</v>
      </c>
      <c r="C341" s="1">
        <f>IFERROR(__xludf.DUMMYFUNCTION("""COMPUTED_VALUE"""),735.0)</f>
        <v>735</v>
      </c>
      <c r="D341" s="1">
        <f>IFERROR(__xludf.DUMMYFUNCTION("""COMPUTED_VALUE"""),721.0)</f>
        <v>721</v>
      </c>
      <c r="E341" s="1">
        <f>IFERROR(__xludf.DUMMYFUNCTION("""COMPUTED_VALUE"""),721.0)</f>
        <v>721</v>
      </c>
      <c r="F341" s="1">
        <f>IFERROR(__xludf.DUMMYFUNCTION("""COMPUTED_VALUE"""),77785.0)</f>
        <v>77785</v>
      </c>
      <c r="G341" s="2" t="s">
        <v>7</v>
      </c>
    </row>
    <row r="342">
      <c r="A342" s="3">
        <f>IFERROR(__xludf.DUMMYFUNCTION("""COMPUTED_VALUE"""),45061.6875)</f>
        <v>45061.6875</v>
      </c>
      <c r="B342" s="1">
        <f>IFERROR(__xludf.DUMMYFUNCTION("""COMPUTED_VALUE"""),728.0)</f>
        <v>728</v>
      </c>
      <c r="C342" s="1">
        <f>IFERROR(__xludf.DUMMYFUNCTION("""COMPUTED_VALUE"""),739.0)</f>
        <v>739</v>
      </c>
      <c r="D342" s="1">
        <f>IFERROR(__xludf.DUMMYFUNCTION("""COMPUTED_VALUE"""),704.0)</f>
        <v>704</v>
      </c>
      <c r="E342" s="1">
        <f>IFERROR(__xludf.DUMMYFUNCTION("""COMPUTED_VALUE"""),714.0)</f>
        <v>714</v>
      </c>
      <c r="F342" s="1">
        <f>IFERROR(__xludf.DUMMYFUNCTION("""COMPUTED_VALUE"""),57159.0)</f>
        <v>57159</v>
      </c>
      <c r="G342" s="2" t="s">
        <v>7</v>
      </c>
    </row>
    <row r="343">
      <c r="A343" s="3">
        <f>IFERROR(__xludf.DUMMYFUNCTION("""COMPUTED_VALUE"""),45062.6875)</f>
        <v>45062.6875</v>
      </c>
      <c r="B343" s="1">
        <f>IFERROR(__xludf.DUMMYFUNCTION("""COMPUTED_VALUE"""),718.0)</f>
        <v>718</v>
      </c>
      <c r="C343" s="1">
        <f>IFERROR(__xludf.DUMMYFUNCTION("""COMPUTED_VALUE"""),739.0)</f>
        <v>739</v>
      </c>
      <c r="D343" s="1">
        <f>IFERROR(__xludf.DUMMYFUNCTION("""COMPUTED_VALUE"""),710.26)</f>
        <v>710.26</v>
      </c>
      <c r="E343" s="1">
        <f>IFERROR(__xludf.DUMMYFUNCTION("""COMPUTED_VALUE"""),731.0)</f>
        <v>731</v>
      </c>
      <c r="F343" s="1">
        <f>IFERROR(__xludf.DUMMYFUNCTION("""COMPUTED_VALUE"""),374614.0)</f>
        <v>374614</v>
      </c>
      <c r="G343" s="2" t="s">
        <v>7</v>
      </c>
    </row>
    <row r="344">
      <c r="A344" s="3">
        <f>IFERROR(__xludf.DUMMYFUNCTION("""COMPUTED_VALUE"""),45063.6875)</f>
        <v>45063.6875</v>
      </c>
      <c r="B344" s="1">
        <f>IFERROR(__xludf.DUMMYFUNCTION("""COMPUTED_VALUE"""),739.0)</f>
        <v>739</v>
      </c>
      <c r="C344" s="1">
        <f>IFERROR(__xludf.DUMMYFUNCTION("""COMPUTED_VALUE"""),739.0)</f>
        <v>739</v>
      </c>
      <c r="D344" s="1">
        <f>IFERROR(__xludf.DUMMYFUNCTION("""COMPUTED_VALUE"""),726.0)</f>
        <v>726</v>
      </c>
      <c r="E344" s="1">
        <f>IFERROR(__xludf.DUMMYFUNCTION("""COMPUTED_VALUE"""),733.0)</f>
        <v>733</v>
      </c>
      <c r="F344" s="1">
        <f>IFERROR(__xludf.DUMMYFUNCTION("""COMPUTED_VALUE"""),55044.0)</f>
        <v>55044</v>
      </c>
      <c r="G344" s="2" t="s">
        <v>7</v>
      </c>
    </row>
    <row r="345">
      <c r="A345" s="3">
        <f>IFERROR(__xludf.DUMMYFUNCTION("""COMPUTED_VALUE"""),45064.6875)</f>
        <v>45064.6875</v>
      </c>
      <c r="B345" s="1">
        <f>IFERROR(__xludf.DUMMYFUNCTION("""COMPUTED_VALUE"""),740.0)</f>
        <v>740</v>
      </c>
      <c r="C345" s="1">
        <f>IFERROR(__xludf.DUMMYFUNCTION("""COMPUTED_VALUE"""),750.0)</f>
        <v>750</v>
      </c>
      <c r="D345" s="1">
        <f>IFERROR(__xludf.DUMMYFUNCTION("""COMPUTED_VALUE"""),733.0)</f>
        <v>733</v>
      </c>
      <c r="E345" s="1">
        <f>IFERROR(__xludf.DUMMYFUNCTION("""COMPUTED_VALUE"""),736.0)</f>
        <v>736</v>
      </c>
      <c r="F345" s="1">
        <f>IFERROR(__xludf.DUMMYFUNCTION("""COMPUTED_VALUE"""),145638.0)</f>
        <v>145638</v>
      </c>
      <c r="G345" s="2" t="s">
        <v>7</v>
      </c>
    </row>
    <row r="346">
      <c r="A346" s="3">
        <f>IFERROR(__xludf.DUMMYFUNCTION("""COMPUTED_VALUE"""),45065.6875)</f>
        <v>45065.6875</v>
      </c>
      <c r="B346" s="1">
        <f>IFERROR(__xludf.DUMMYFUNCTION("""COMPUTED_VALUE"""),732.0)</f>
        <v>732</v>
      </c>
      <c r="C346" s="1">
        <f>IFERROR(__xludf.DUMMYFUNCTION("""COMPUTED_VALUE"""),759.0)</f>
        <v>759</v>
      </c>
      <c r="D346" s="1">
        <f>IFERROR(__xludf.DUMMYFUNCTION("""COMPUTED_VALUE"""),724.61)</f>
        <v>724.61</v>
      </c>
      <c r="E346" s="1">
        <f>IFERROR(__xludf.DUMMYFUNCTION("""COMPUTED_VALUE"""),739.0)</f>
        <v>739</v>
      </c>
      <c r="F346" s="1">
        <f>IFERROR(__xludf.DUMMYFUNCTION("""COMPUTED_VALUE"""),62891.0)</f>
        <v>62891</v>
      </c>
      <c r="G346" s="2" t="s">
        <v>7</v>
      </c>
    </row>
    <row r="347">
      <c r="A347" s="3">
        <f>IFERROR(__xludf.DUMMYFUNCTION("""COMPUTED_VALUE"""),45068.6875)</f>
        <v>45068.6875</v>
      </c>
      <c r="B347" s="1">
        <f>IFERROR(__xludf.DUMMYFUNCTION("""COMPUTED_VALUE"""),755.0)</f>
        <v>755</v>
      </c>
      <c r="C347" s="1">
        <f>IFERROR(__xludf.DUMMYFUNCTION("""COMPUTED_VALUE"""),755.0)</f>
        <v>755</v>
      </c>
      <c r="D347" s="1">
        <f>IFERROR(__xludf.DUMMYFUNCTION("""COMPUTED_VALUE"""),736.0)</f>
        <v>736</v>
      </c>
      <c r="E347" s="1">
        <f>IFERROR(__xludf.DUMMYFUNCTION("""COMPUTED_VALUE"""),754.0)</f>
        <v>754</v>
      </c>
      <c r="F347" s="1">
        <f>IFERROR(__xludf.DUMMYFUNCTION("""COMPUTED_VALUE"""),183582.0)</f>
        <v>183582</v>
      </c>
      <c r="G347" s="2" t="s">
        <v>7</v>
      </c>
    </row>
    <row r="348">
      <c r="A348" s="3">
        <f>IFERROR(__xludf.DUMMYFUNCTION("""COMPUTED_VALUE"""),45069.6875)</f>
        <v>45069.6875</v>
      </c>
      <c r="B348" s="1">
        <f>IFERROR(__xludf.DUMMYFUNCTION("""COMPUTED_VALUE"""),760.0)</f>
        <v>760</v>
      </c>
      <c r="C348" s="1">
        <f>IFERROR(__xludf.DUMMYFUNCTION("""COMPUTED_VALUE"""),774.0)</f>
        <v>774</v>
      </c>
      <c r="D348" s="1">
        <f>IFERROR(__xludf.DUMMYFUNCTION("""COMPUTED_VALUE"""),748.8)</f>
        <v>748.8</v>
      </c>
      <c r="E348" s="1">
        <f>IFERROR(__xludf.DUMMYFUNCTION("""COMPUTED_VALUE"""),771.0)</f>
        <v>771</v>
      </c>
      <c r="F348" s="1">
        <f>IFERROR(__xludf.DUMMYFUNCTION("""COMPUTED_VALUE"""),120606.0)</f>
        <v>120606</v>
      </c>
      <c r="G348" s="2" t="s">
        <v>7</v>
      </c>
    </row>
    <row r="349">
      <c r="A349" s="3">
        <f>IFERROR(__xludf.DUMMYFUNCTION("""COMPUTED_VALUE"""),45070.6875)</f>
        <v>45070.6875</v>
      </c>
      <c r="B349" s="1">
        <f>IFERROR(__xludf.DUMMYFUNCTION("""COMPUTED_VALUE"""),760.0)</f>
        <v>760</v>
      </c>
      <c r="C349" s="1">
        <f>IFERROR(__xludf.DUMMYFUNCTION("""COMPUTED_VALUE"""),771.0)</f>
        <v>771</v>
      </c>
      <c r="D349" s="1">
        <f>IFERROR(__xludf.DUMMYFUNCTION("""COMPUTED_VALUE"""),742.0)</f>
        <v>742</v>
      </c>
      <c r="E349" s="1">
        <f>IFERROR(__xludf.DUMMYFUNCTION("""COMPUTED_VALUE"""),750.0)</f>
        <v>750</v>
      </c>
      <c r="F349" s="1">
        <f>IFERROR(__xludf.DUMMYFUNCTION("""COMPUTED_VALUE"""),221832.0)</f>
        <v>221832</v>
      </c>
      <c r="G349" s="2" t="s">
        <v>7</v>
      </c>
    </row>
    <row r="350">
      <c r="A350" s="3">
        <f>IFERROR(__xludf.DUMMYFUNCTION("""COMPUTED_VALUE"""),45071.6875)</f>
        <v>45071.6875</v>
      </c>
      <c r="B350" s="1">
        <f>IFERROR(__xludf.DUMMYFUNCTION("""COMPUTED_VALUE"""),745.0)</f>
        <v>745</v>
      </c>
      <c r="C350" s="1">
        <f>IFERROR(__xludf.DUMMYFUNCTION("""COMPUTED_VALUE"""),756.0)</f>
        <v>756</v>
      </c>
      <c r="D350" s="1">
        <f>IFERROR(__xludf.DUMMYFUNCTION("""COMPUTED_VALUE"""),724.4)</f>
        <v>724.4</v>
      </c>
      <c r="E350" s="1">
        <f>IFERROR(__xludf.DUMMYFUNCTION("""COMPUTED_VALUE"""),745.0)</f>
        <v>745</v>
      </c>
      <c r="F350" s="1">
        <f>IFERROR(__xludf.DUMMYFUNCTION("""COMPUTED_VALUE"""),174082.0)</f>
        <v>174082</v>
      </c>
      <c r="G350" s="2" t="s">
        <v>7</v>
      </c>
    </row>
    <row r="351">
      <c r="A351" s="3">
        <f>IFERROR(__xludf.DUMMYFUNCTION("""COMPUTED_VALUE"""),45072.6875)</f>
        <v>45072.6875</v>
      </c>
      <c r="B351" s="1">
        <f>IFERROR(__xludf.DUMMYFUNCTION("""COMPUTED_VALUE"""),740.0)</f>
        <v>740</v>
      </c>
      <c r="C351" s="1">
        <f>IFERROR(__xludf.DUMMYFUNCTION("""COMPUTED_VALUE"""),747.0)</f>
        <v>747</v>
      </c>
      <c r="D351" s="1">
        <f>IFERROR(__xludf.DUMMYFUNCTION("""COMPUTED_VALUE"""),727.0)</f>
        <v>727</v>
      </c>
      <c r="E351" s="1">
        <f>IFERROR(__xludf.DUMMYFUNCTION("""COMPUTED_VALUE"""),732.0)</f>
        <v>732</v>
      </c>
      <c r="F351" s="1">
        <f>IFERROR(__xludf.DUMMYFUNCTION("""COMPUTED_VALUE"""),181075.0)</f>
        <v>181075</v>
      </c>
      <c r="G351" s="2" t="s">
        <v>7</v>
      </c>
    </row>
    <row r="352">
      <c r="A352" s="3">
        <f>IFERROR(__xludf.DUMMYFUNCTION("""COMPUTED_VALUE"""),45076.6875)</f>
        <v>45076.6875</v>
      </c>
      <c r="B352" s="1">
        <f>IFERROR(__xludf.DUMMYFUNCTION("""COMPUTED_VALUE"""),764.0)</f>
        <v>764</v>
      </c>
      <c r="C352" s="1">
        <f>IFERROR(__xludf.DUMMYFUNCTION("""COMPUTED_VALUE"""),764.0)</f>
        <v>764</v>
      </c>
      <c r="D352" s="1">
        <f>IFERROR(__xludf.DUMMYFUNCTION("""COMPUTED_VALUE"""),718.0)</f>
        <v>718</v>
      </c>
      <c r="E352" s="1">
        <f>IFERROR(__xludf.DUMMYFUNCTION("""COMPUTED_VALUE"""),730.0)</f>
        <v>730</v>
      </c>
      <c r="F352" s="1">
        <f>IFERROR(__xludf.DUMMYFUNCTION("""COMPUTED_VALUE"""),55330.0)</f>
        <v>55330</v>
      </c>
      <c r="G352" s="2" t="s">
        <v>7</v>
      </c>
    </row>
    <row r="353">
      <c r="A353" s="3">
        <f>IFERROR(__xludf.DUMMYFUNCTION("""COMPUTED_VALUE"""),45077.6875)</f>
        <v>45077.6875</v>
      </c>
      <c r="B353" s="1">
        <f>IFERROR(__xludf.DUMMYFUNCTION("""COMPUTED_VALUE"""),720.0)</f>
        <v>720</v>
      </c>
      <c r="C353" s="1">
        <f>IFERROR(__xludf.DUMMYFUNCTION("""COMPUTED_VALUE"""),735.0)</f>
        <v>735</v>
      </c>
      <c r="D353" s="1">
        <f>IFERROR(__xludf.DUMMYFUNCTION("""COMPUTED_VALUE"""),694.33)</f>
        <v>694.33</v>
      </c>
      <c r="E353" s="1">
        <f>IFERROR(__xludf.DUMMYFUNCTION("""COMPUTED_VALUE"""),729.0)</f>
        <v>729</v>
      </c>
      <c r="F353" s="1">
        <f>IFERROR(__xludf.DUMMYFUNCTION("""COMPUTED_VALUE"""),108823.0)</f>
        <v>108823</v>
      </c>
      <c r="G353" s="2" t="s">
        <v>7</v>
      </c>
    </row>
    <row r="354">
      <c r="A354" s="3">
        <f>IFERROR(__xludf.DUMMYFUNCTION("""COMPUTED_VALUE"""),45078.6875)</f>
        <v>45078.6875</v>
      </c>
      <c r="B354" s="1">
        <f>IFERROR(__xludf.DUMMYFUNCTION("""COMPUTED_VALUE"""),713.0)</f>
        <v>713</v>
      </c>
      <c r="C354" s="1">
        <f>IFERROR(__xludf.DUMMYFUNCTION("""COMPUTED_VALUE"""),713.0)</f>
        <v>713</v>
      </c>
      <c r="D354" s="1">
        <f>IFERROR(__xludf.DUMMYFUNCTION("""COMPUTED_VALUE"""),684.0)</f>
        <v>684</v>
      </c>
      <c r="E354" s="1">
        <f>IFERROR(__xludf.DUMMYFUNCTION("""COMPUTED_VALUE"""),685.0)</f>
        <v>685</v>
      </c>
      <c r="F354" s="1">
        <f>IFERROR(__xludf.DUMMYFUNCTION("""COMPUTED_VALUE"""),96527.0)</f>
        <v>96527</v>
      </c>
      <c r="G354" s="2" t="s">
        <v>7</v>
      </c>
    </row>
    <row r="355">
      <c r="A355" s="3">
        <f>IFERROR(__xludf.DUMMYFUNCTION("""COMPUTED_VALUE"""),45079.6875)</f>
        <v>45079.6875</v>
      </c>
      <c r="B355" s="1">
        <f>IFERROR(__xludf.DUMMYFUNCTION("""COMPUTED_VALUE"""),686.0)</f>
        <v>686</v>
      </c>
      <c r="C355" s="1">
        <f>IFERROR(__xludf.DUMMYFUNCTION("""COMPUTED_VALUE"""),740.0)</f>
        <v>740</v>
      </c>
      <c r="D355" s="1">
        <f>IFERROR(__xludf.DUMMYFUNCTION("""COMPUTED_VALUE"""),657.0)</f>
        <v>657</v>
      </c>
      <c r="E355" s="1">
        <f>IFERROR(__xludf.DUMMYFUNCTION("""COMPUTED_VALUE"""),688.0)</f>
        <v>688</v>
      </c>
      <c r="F355" s="1">
        <f>IFERROR(__xludf.DUMMYFUNCTION("""COMPUTED_VALUE"""),105721.0)</f>
        <v>105721</v>
      </c>
      <c r="G355" s="2" t="s">
        <v>7</v>
      </c>
    </row>
    <row r="356">
      <c r="A356" s="3">
        <f>IFERROR(__xludf.DUMMYFUNCTION("""COMPUTED_VALUE"""),45082.6875)</f>
        <v>45082.6875</v>
      </c>
      <c r="B356" s="1">
        <f>IFERROR(__xludf.DUMMYFUNCTION("""COMPUTED_VALUE"""),662.0)</f>
        <v>662</v>
      </c>
      <c r="C356" s="1">
        <f>IFERROR(__xludf.DUMMYFUNCTION("""COMPUTED_VALUE"""),702.0)</f>
        <v>702</v>
      </c>
      <c r="D356" s="1">
        <f>IFERROR(__xludf.DUMMYFUNCTION("""COMPUTED_VALUE"""),662.0)</f>
        <v>662</v>
      </c>
      <c r="E356" s="1">
        <f>IFERROR(__xludf.DUMMYFUNCTION("""COMPUTED_VALUE"""),678.0)</f>
        <v>678</v>
      </c>
      <c r="F356" s="1">
        <f>IFERROR(__xludf.DUMMYFUNCTION("""COMPUTED_VALUE"""),77896.0)</f>
        <v>77896</v>
      </c>
      <c r="G356" s="2" t="s">
        <v>7</v>
      </c>
    </row>
    <row r="357">
      <c r="A357" s="3">
        <f>IFERROR(__xludf.DUMMYFUNCTION("""COMPUTED_VALUE"""),45083.6875)</f>
        <v>45083.6875</v>
      </c>
      <c r="B357" s="1">
        <f>IFERROR(__xludf.DUMMYFUNCTION("""COMPUTED_VALUE"""),690.0)</f>
        <v>690</v>
      </c>
      <c r="C357" s="1">
        <f>IFERROR(__xludf.DUMMYFUNCTION("""COMPUTED_VALUE"""),690.0)</f>
        <v>690</v>
      </c>
      <c r="D357" s="1">
        <f>IFERROR(__xludf.DUMMYFUNCTION("""COMPUTED_VALUE"""),638.0)</f>
        <v>638</v>
      </c>
      <c r="E357" s="1">
        <f>IFERROR(__xludf.DUMMYFUNCTION("""COMPUTED_VALUE"""),680.0)</f>
        <v>680</v>
      </c>
      <c r="F357" s="1">
        <f>IFERROR(__xludf.DUMMYFUNCTION("""COMPUTED_VALUE"""),166512.0)</f>
        <v>166512</v>
      </c>
      <c r="G357" s="2" t="s">
        <v>7</v>
      </c>
    </row>
    <row r="358">
      <c r="A358" s="3">
        <f>IFERROR(__xludf.DUMMYFUNCTION("""COMPUTED_VALUE"""),45084.6875)</f>
        <v>45084.6875</v>
      </c>
      <c r="B358" s="1">
        <f>IFERROR(__xludf.DUMMYFUNCTION("""COMPUTED_VALUE"""),710.0)</f>
        <v>710</v>
      </c>
      <c r="C358" s="1">
        <f>IFERROR(__xludf.DUMMYFUNCTION("""COMPUTED_VALUE"""),710.0)</f>
        <v>710</v>
      </c>
      <c r="D358" s="1">
        <f>IFERROR(__xludf.DUMMYFUNCTION("""COMPUTED_VALUE"""),670.0)</f>
        <v>670</v>
      </c>
      <c r="E358" s="1">
        <f>IFERROR(__xludf.DUMMYFUNCTION("""COMPUTED_VALUE"""),673.0)</f>
        <v>673</v>
      </c>
      <c r="F358" s="1">
        <f>IFERROR(__xludf.DUMMYFUNCTION("""COMPUTED_VALUE"""),45978.0)</f>
        <v>45978</v>
      </c>
      <c r="G358" s="2" t="s">
        <v>7</v>
      </c>
    </row>
    <row r="359">
      <c r="A359" s="3">
        <f>IFERROR(__xludf.DUMMYFUNCTION("""COMPUTED_VALUE"""),45085.6875)</f>
        <v>45085.6875</v>
      </c>
      <c r="B359" s="1">
        <f>IFERROR(__xludf.DUMMYFUNCTION("""COMPUTED_VALUE"""),673.0)</f>
        <v>673</v>
      </c>
      <c r="C359" s="1">
        <f>IFERROR(__xludf.DUMMYFUNCTION("""COMPUTED_VALUE"""),679.0)</f>
        <v>679</v>
      </c>
      <c r="D359" s="1">
        <f>IFERROR(__xludf.DUMMYFUNCTION("""COMPUTED_VALUE"""),668.0)</f>
        <v>668</v>
      </c>
      <c r="E359" s="1">
        <f>IFERROR(__xludf.DUMMYFUNCTION("""COMPUTED_VALUE"""),668.0)</f>
        <v>668</v>
      </c>
      <c r="F359" s="1">
        <f>IFERROR(__xludf.DUMMYFUNCTION("""COMPUTED_VALUE"""),70468.0)</f>
        <v>70468</v>
      </c>
      <c r="G359" s="2" t="s">
        <v>7</v>
      </c>
    </row>
    <row r="360">
      <c r="A360" s="3">
        <f>IFERROR(__xludf.DUMMYFUNCTION("""COMPUTED_VALUE"""),45086.6875)</f>
        <v>45086.6875</v>
      </c>
      <c r="B360" s="1">
        <f>IFERROR(__xludf.DUMMYFUNCTION("""COMPUTED_VALUE"""),685.0)</f>
        <v>685</v>
      </c>
      <c r="C360" s="1">
        <f>IFERROR(__xludf.DUMMYFUNCTION("""COMPUTED_VALUE"""),685.0)</f>
        <v>685</v>
      </c>
      <c r="D360" s="1">
        <f>IFERROR(__xludf.DUMMYFUNCTION("""COMPUTED_VALUE"""),652.94)</f>
        <v>652.94</v>
      </c>
      <c r="E360" s="1">
        <f>IFERROR(__xludf.DUMMYFUNCTION("""COMPUTED_VALUE"""),668.0)</f>
        <v>668</v>
      </c>
      <c r="F360" s="1">
        <f>IFERROR(__xludf.DUMMYFUNCTION("""COMPUTED_VALUE"""),117835.0)</f>
        <v>117835</v>
      </c>
      <c r="G360" s="2" t="s">
        <v>7</v>
      </c>
    </row>
    <row r="361">
      <c r="A361" s="3">
        <f>IFERROR(__xludf.DUMMYFUNCTION("""COMPUTED_VALUE"""),45089.6875)</f>
        <v>45089.6875</v>
      </c>
      <c r="B361" s="1">
        <f>IFERROR(__xludf.DUMMYFUNCTION("""COMPUTED_VALUE"""),673.0)</f>
        <v>673</v>
      </c>
      <c r="C361" s="1">
        <f>IFERROR(__xludf.DUMMYFUNCTION("""COMPUTED_VALUE"""),676.0)</f>
        <v>676</v>
      </c>
      <c r="D361" s="1">
        <f>IFERROR(__xludf.DUMMYFUNCTION("""COMPUTED_VALUE"""),665.0)</f>
        <v>665</v>
      </c>
      <c r="E361" s="1">
        <f>IFERROR(__xludf.DUMMYFUNCTION("""COMPUTED_VALUE"""),672.0)</f>
        <v>672</v>
      </c>
      <c r="F361" s="1">
        <f>IFERROR(__xludf.DUMMYFUNCTION("""COMPUTED_VALUE"""),57352.0)</f>
        <v>57352</v>
      </c>
      <c r="G361" s="2" t="s">
        <v>7</v>
      </c>
    </row>
    <row r="362">
      <c r="A362" s="3">
        <f>IFERROR(__xludf.DUMMYFUNCTION("""COMPUTED_VALUE"""),45090.6875)</f>
        <v>45090.6875</v>
      </c>
      <c r="B362" s="1">
        <f>IFERROR(__xludf.DUMMYFUNCTION("""COMPUTED_VALUE"""),670.0)</f>
        <v>670</v>
      </c>
      <c r="C362" s="1">
        <f>IFERROR(__xludf.DUMMYFUNCTION("""COMPUTED_VALUE"""),675.0)</f>
        <v>675</v>
      </c>
      <c r="D362" s="1">
        <f>IFERROR(__xludf.DUMMYFUNCTION("""COMPUTED_VALUE"""),659.64)</f>
        <v>659.64</v>
      </c>
      <c r="E362" s="1">
        <f>IFERROR(__xludf.DUMMYFUNCTION("""COMPUTED_VALUE"""),667.0)</f>
        <v>667</v>
      </c>
      <c r="F362" s="1">
        <f>IFERROR(__xludf.DUMMYFUNCTION("""COMPUTED_VALUE"""),113003.0)</f>
        <v>113003</v>
      </c>
      <c r="G362" s="2" t="s">
        <v>7</v>
      </c>
    </row>
    <row r="363">
      <c r="A363" s="3">
        <f>IFERROR(__xludf.DUMMYFUNCTION("""COMPUTED_VALUE"""),45091.6875)</f>
        <v>45091.6875</v>
      </c>
      <c r="B363" s="1">
        <f>IFERROR(__xludf.DUMMYFUNCTION("""COMPUTED_VALUE"""),656.0)</f>
        <v>656</v>
      </c>
      <c r="C363" s="1">
        <f>IFERROR(__xludf.DUMMYFUNCTION("""COMPUTED_VALUE"""),689.0)</f>
        <v>689</v>
      </c>
      <c r="D363" s="1">
        <f>IFERROR(__xludf.DUMMYFUNCTION("""COMPUTED_VALUE"""),645.44)</f>
        <v>645.44</v>
      </c>
      <c r="E363" s="1">
        <f>IFERROR(__xludf.DUMMYFUNCTION("""COMPUTED_VALUE"""),681.0)</f>
        <v>681</v>
      </c>
      <c r="F363" s="1">
        <f>IFERROR(__xludf.DUMMYFUNCTION("""COMPUTED_VALUE"""),247731.0)</f>
        <v>247731</v>
      </c>
      <c r="G363" s="2" t="s">
        <v>7</v>
      </c>
    </row>
    <row r="364">
      <c r="A364" s="3">
        <f>IFERROR(__xludf.DUMMYFUNCTION("""COMPUTED_VALUE"""),45092.6875)</f>
        <v>45092.6875</v>
      </c>
      <c r="B364" s="1">
        <f>IFERROR(__xludf.DUMMYFUNCTION("""COMPUTED_VALUE"""),682.0)</f>
        <v>682</v>
      </c>
      <c r="C364" s="1">
        <f>IFERROR(__xludf.DUMMYFUNCTION("""COMPUTED_VALUE"""),687.0)</f>
        <v>687</v>
      </c>
      <c r="D364" s="1">
        <f>IFERROR(__xludf.DUMMYFUNCTION("""COMPUTED_VALUE"""),674.0)</f>
        <v>674</v>
      </c>
      <c r="E364" s="1">
        <f>IFERROR(__xludf.DUMMYFUNCTION("""COMPUTED_VALUE"""),675.0)</f>
        <v>675</v>
      </c>
      <c r="F364" s="1">
        <f>IFERROR(__xludf.DUMMYFUNCTION("""COMPUTED_VALUE"""),51265.0)</f>
        <v>51265</v>
      </c>
      <c r="G364" s="2" t="s">
        <v>7</v>
      </c>
    </row>
    <row r="365">
      <c r="A365" s="3">
        <f>IFERROR(__xludf.DUMMYFUNCTION("""COMPUTED_VALUE"""),45093.6875)</f>
        <v>45093.6875</v>
      </c>
      <c r="B365" s="1">
        <f>IFERROR(__xludf.DUMMYFUNCTION("""COMPUTED_VALUE"""),677.0)</f>
        <v>677</v>
      </c>
      <c r="C365" s="1">
        <f>IFERROR(__xludf.DUMMYFUNCTION("""COMPUTED_VALUE"""),681.0)</f>
        <v>681</v>
      </c>
      <c r="D365" s="1">
        <f>IFERROR(__xludf.DUMMYFUNCTION("""COMPUTED_VALUE"""),663.0)</f>
        <v>663</v>
      </c>
      <c r="E365" s="1">
        <f>IFERROR(__xludf.DUMMYFUNCTION("""COMPUTED_VALUE"""),663.0)</f>
        <v>663</v>
      </c>
      <c r="F365" s="1">
        <f>IFERROR(__xludf.DUMMYFUNCTION("""COMPUTED_VALUE"""),453229.0)</f>
        <v>453229</v>
      </c>
      <c r="G365" s="2" t="s">
        <v>7</v>
      </c>
    </row>
    <row r="366">
      <c r="A366" s="3">
        <f>IFERROR(__xludf.DUMMYFUNCTION("""COMPUTED_VALUE"""),45096.6875)</f>
        <v>45096.6875</v>
      </c>
      <c r="B366" s="1">
        <f>IFERROR(__xludf.DUMMYFUNCTION("""COMPUTED_VALUE"""),669.0)</f>
        <v>669</v>
      </c>
      <c r="C366" s="1">
        <f>IFERROR(__xludf.DUMMYFUNCTION("""COMPUTED_VALUE"""),675.0)</f>
        <v>675</v>
      </c>
      <c r="D366" s="1">
        <f>IFERROR(__xludf.DUMMYFUNCTION("""COMPUTED_VALUE"""),650.0)</f>
        <v>650</v>
      </c>
      <c r="E366" s="1">
        <f>IFERROR(__xludf.DUMMYFUNCTION("""COMPUTED_VALUE"""),663.0)</f>
        <v>663</v>
      </c>
      <c r="F366" s="1">
        <f>IFERROR(__xludf.DUMMYFUNCTION("""COMPUTED_VALUE"""),54055.0)</f>
        <v>54055</v>
      </c>
      <c r="G366" s="2" t="s">
        <v>7</v>
      </c>
    </row>
    <row r="367">
      <c r="A367" s="3">
        <f>IFERROR(__xludf.DUMMYFUNCTION("""COMPUTED_VALUE"""),45097.6875)</f>
        <v>45097.6875</v>
      </c>
      <c r="B367" s="1">
        <f>IFERROR(__xludf.DUMMYFUNCTION("""COMPUTED_VALUE"""),657.0)</f>
        <v>657</v>
      </c>
      <c r="C367" s="1">
        <f>IFERROR(__xludf.DUMMYFUNCTION("""COMPUTED_VALUE"""),689.0)</f>
        <v>689</v>
      </c>
      <c r="D367" s="1">
        <f>IFERROR(__xludf.DUMMYFUNCTION("""COMPUTED_VALUE"""),646.0)</f>
        <v>646</v>
      </c>
      <c r="E367" s="1">
        <f>IFERROR(__xludf.DUMMYFUNCTION("""COMPUTED_VALUE"""),654.0)</f>
        <v>654</v>
      </c>
      <c r="F367" s="1">
        <f>IFERROR(__xludf.DUMMYFUNCTION("""COMPUTED_VALUE"""),33537.0)</f>
        <v>33537</v>
      </c>
      <c r="G367" s="2" t="s">
        <v>7</v>
      </c>
    </row>
    <row r="368">
      <c r="A368" s="3">
        <f>IFERROR(__xludf.DUMMYFUNCTION("""COMPUTED_VALUE"""),45098.6875)</f>
        <v>45098.6875</v>
      </c>
      <c r="B368" s="1">
        <f>IFERROR(__xludf.DUMMYFUNCTION("""COMPUTED_VALUE"""),653.0)</f>
        <v>653</v>
      </c>
      <c r="C368" s="1">
        <f>IFERROR(__xludf.DUMMYFUNCTION("""COMPUTED_VALUE"""),660.0)</f>
        <v>660</v>
      </c>
      <c r="D368" s="1">
        <f>IFERROR(__xludf.DUMMYFUNCTION("""COMPUTED_VALUE"""),644.12)</f>
        <v>644.12</v>
      </c>
      <c r="E368" s="1">
        <f>IFERROR(__xludf.DUMMYFUNCTION("""COMPUTED_VALUE"""),647.0)</f>
        <v>647</v>
      </c>
      <c r="F368" s="1">
        <f>IFERROR(__xludf.DUMMYFUNCTION("""COMPUTED_VALUE"""),111381.0)</f>
        <v>111381</v>
      </c>
      <c r="G368" s="2" t="s">
        <v>7</v>
      </c>
    </row>
    <row r="369">
      <c r="A369" s="3">
        <f>IFERROR(__xludf.DUMMYFUNCTION("""COMPUTED_VALUE"""),45099.6875)</f>
        <v>45099.6875</v>
      </c>
      <c r="B369" s="1">
        <f>IFERROR(__xludf.DUMMYFUNCTION("""COMPUTED_VALUE"""),681.0)</f>
        <v>681</v>
      </c>
      <c r="C369" s="1">
        <f>IFERROR(__xludf.DUMMYFUNCTION("""COMPUTED_VALUE"""),681.0)</f>
        <v>681</v>
      </c>
      <c r="D369" s="1">
        <f>IFERROR(__xludf.DUMMYFUNCTION("""COMPUTED_VALUE"""),647.0)</f>
        <v>647</v>
      </c>
      <c r="E369" s="1">
        <f>IFERROR(__xludf.DUMMYFUNCTION("""COMPUTED_VALUE"""),655.0)</f>
        <v>655</v>
      </c>
      <c r="F369" s="1">
        <f>IFERROR(__xludf.DUMMYFUNCTION("""COMPUTED_VALUE"""),237200.0)</f>
        <v>237200</v>
      </c>
      <c r="G369" s="2" t="s">
        <v>7</v>
      </c>
    </row>
    <row r="370">
      <c r="A370" s="3">
        <f>IFERROR(__xludf.DUMMYFUNCTION("""COMPUTED_VALUE"""),45100.6875)</f>
        <v>45100.6875</v>
      </c>
      <c r="B370" s="1">
        <f>IFERROR(__xludf.DUMMYFUNCTION("""COMPUTED_VALUE"""),654.0)</f>
        <v>654</v>
      </c>
      <c r="C370" s="1">
        <f>IFERROR(__xludf.DUMMYFUNCTION("""COMPUTED_VALUE"""),687.0)</f>
        <v>687</v>
      </c>
      <c r="D370" s="1">
        <f>IFERROR(__xludf.DUMMYFUNCTION("""COMPUTED_VALUE"""),647.0)</f>
        <v>647</v>
      </c>
      <c r="E370" s="1">
        <f>IFERROR(__xludf.DUMMYFUNCTION("""COMPUTED_VALUE"""),649.0)</f>
        <v>649</v>
      </c>
      <c r="F370" s="1">
        <f>IFERROR(__xludf.DUMMYFUNCTION("""COMPUTED_VALUE"""),81965.0)</f>
        <v>81965</v>
      </c>
      <c r="G370" s="2" t="s">
        <v>7</v>
      </c>
    </row>
    <row r="371">
      <c r="A371" s="3">
        <f>IFERROR(__xludf.DUMMYFUNCTION("""COMPUTED_VALUE"""),45103.6875)</f>
        <v>45103.6875</v>
      </c>
      <c r="B371" s="1">
        <f>IFERROR(__xludf.DUMMYFUNCTION("""COMPUTED_VALUE"""),647.0)</f>
        <v>647</v>
      </c>
      <c r="C371" s="1">
        <f>IFERROR(__xludf.DUMMYFUNCTION("""COMPUTED_VALUE"""),681.0)</f>
        <v>681</v>
      </c>
      <c r="D371" s="1">
        <f>IFERROR(__xludf.DUMMYFUNCTION("""COMPUTED_VALUE"""),620.0)</f>
        <v>620</v>
      </c>
      <c r="E371" s="1">
        <f>IFERROR(__xludf.DUMMYFUNCTION("""COMPUTED_VALUE"""),623.0)</f>
        <v>623</v>
      </c>
      <c r="F371" s="1">
        <f>IFERROR(__xludf.DUMMYFUNCTION("""COMPUTED_VALUE"""),543374.0)</f>
        <v>543374</v>
      </c>
      <c r="G371" s="2" t="s">
        <v>7</v>
      </c>
    </row>
    <row r="372">
      <c r="A372" s="3">
        <f>IFERROR(__xludf.DUMMYFUNCTION("""COMPUTED_VALUE"""),45104.6875)</f>
        <v>45104.6875</v>
      </c>
      <c r="B372" s="1">
        <f>IFERROR(__xludf.DUMMYFUNCTION("""COMPUTED_VALUE"""),627.0)</f>
        <v>627</v>
      </c>
      <c r="C372" s="1">
        <f>IFERROR(__xludf.DUMMYFUNCTION("""COMPUTED_VALUE"""),634.54)</f>
        <v>634.54</v>
      </c>
      <c r="D372" s="1">
        <f>IFERROR(__xludf.DUMMYFUNCTION("""COMPUTED_VALUE"""),618.0)</f>
        <v>618</v>
      </c>
      <c r="E372" s="1">
        <f>IFERROR(__xludf.DUMMYFUNCTION("""COMPUTED_VALUE"""),624.0)</f>
        <v>624</v>
      </c>
      <c r="F372" s="1">
        <f>IFERROR(__xludf.DUMMYFUNCTION("""COMPUTED_VALUE"""),312801.0)</f>
        <v>312801</v>
      </c>
      <c r="G372" s="2" t="s">
        <v>7</v>
      </c>
    </row>
    <row r="373">
      <c r="A373" s="3">
        <f>IFERROR(__xludf.DUMMYFUNCTION("""COMPUTED_VALUE"""),45105.6875)</f>
        <v>45105.6875</v>
      </c>
      <c r="B373" s="1">
        <f>IFERROR(__xludf.DUMMYFUNCTION("""COMPUTED_VALUE"""),630.0)</f>
        <v>630</v>
      </c>
      <c r="C373" s="1">
        <f>IFERROR(__xludf.DUMMYFUNCTION("""COMPUTED_VALUE"""),638.0)</f>
        <v>638</v>
      </c>
      <c r="D373" s="1">
        <f>IFERROR(__xludf.DUMMYFUNCTION("""COMPUTED_VALUE"""),622.0)</f>
        <v>622</v>
      </c>
      <c r="E373" s="1">
        <f>IFERROR(__xludf.DUMMYFUNCTION("""COMPUTED_VALUE"""),630.0)</f>
        <v>630</v>
      </c>
      <c r="F373" s="1">
        <f>IFERROR(__xludf.DUMMYFUNCTION("""COMPUTED_VALUE"""),120339.0)</f>
        <v>120339</v>
      </c>
      <c r="G373" s="2" t="s">
        <v>7</v>
      </c>
    </row>
    <row r="374">
      <c r="A374" s="3">
        <f>IFERROR(__xludf.DUMMYFUNCTION("""COMPUTED_VALUE"""),45106.6875)</f>
        <v>45106.6875</v>
      </c>
      <c r="B374" s="1">
        <f>IFERROR(__xludf.DUMMYFUNCTION("""COMPUTED_VALUE"""),641.0)</f>
        <v>641</v>
      </c>
      <c r="C374" s="1">
        <f>IFERROR(__xludf.DUMMYFUNCTION("""COMPUTED_VALUE"""),641.0)</f>
        <v>641</v>
      </c>
      <c r="D374" s="1">
        <f>IFERROR(__xludf.DUMMYFUNCTION("""COMPUTED_VALUE"""),616.0)</f>
        <v>616</v>
      </c>
      <c r="E374" s="1">
        <f>IFERROR(__xludf.DUMMYFUNCTION("""COMPUTED_VALUE"""),624.0)</f>
        <v>624</v>
      </c>
      <c r="F374" s="1">
        <f>IFERROR(__xludf.DUMMYFUNCTION("""COMPUTED_VALUE"""),84683.0)</f>
        <v>84683</v>
      </c>
      <c r="G374" s="2" t="s">
        <v>7</v>
      </c>
    </row>
    <row r="375">
      <c r="A375" s="3">
        <f>IFERROR(__xludf.DUMMYFUNCTION("""COMPUTED_VALUE"""),45107.6875)</f>
        <v>45107.6875</v>
      </c>
      <c r="B375" s="1">
        <f>IFERROR(__xludf.DUMMYFUNCTION("""COMPUTED_VALUE"""),614.0)</f>
        <v>614</v>
      </c>
      <c r="C375" s="1">
        <f>IFERROR(__xludf.DUMMYFUNCTION("""COMPUTED_VALUE"""),629.0)</f>
        <v>629</v>
      </c>
      <c r="D375" s="1">
        <f>IFERROR(__xludf.DUMMYFUNCTION("""COMPUTED_VALUE"""),614.0)</f>
        <v>614</v>
      </c>
      <c r="E375" s="1">
        <f>IFERROR(__xludf.DUMMYFUNCTION("""COMPUTED_VALUE"""),624.0)</f>
        <v>624</v>
      </c>
      <c r="F375" s="1">
        <f>IFERROR(__xludf.DUMMYFUNCTION("""COMPUTED_VALUE"""),51925.0)</f>
        <v>51925</v>
      </c>
      <c r="G375" s="2" t="s">
        <v>7</v>
      </c>
    </row>
    <row r="376">
      <c r="A376" s="3">
        <f>IFERROR(__xludf.DUMMYFUNCTION("""COMPUTED_VALUE"""),45110.6875)</f>
        <v>45110.6875</v>
      </c>
      <c r="B376" s="1">
        <f>IFERROR(__xludf.DUMMYFUNCTION("""COMPUTED_VALUE"""),621.0)</f>
        <v>621</v>
      </c>
      <c r="C376" s="1">
        <f>IFERROR(__xludf.DUMMYFUNCTION("""COMPUTED_VALUE"""),635.0)</f>
        <v>635</v>
      </c>
      <c r="D376" s="1">
        <f>IFERROR(__xludf.DUMMYFUNCTION("""COMPUTED_VALUE"""),621.0)</f>
        <v>621</v>
      </c>
      <c r="E376" s="1">
        <f>IFERROR(__xludf.DUMMYFUNCTION("""COMPUTED_VALUE"""),631.0)</f>
        <v>631</v>
      </c>
      <c r="F376" s="1">
        <f>IFERROR(__xludf.DUMMYFUNCTION("""COMPUTED_VALUE"""),41264.0)</f>
        <v>41264</v>
      </c>
      <c r="G376" s="2" t="s">
        <v>7</v>
      </c>
    </row>
    <row r="377">
      <c r="A377" s="3">
        <f>IFERROR(__xludf.DUMMYFUNCTION("""COMPUTED_VALUE"""),45111.6875)</f>
        <v>45111.6875</v>
      </c>
      <c r="B377" s="1">
        <f>IFERROR(__xludf.DUMMYFUNCTION("""COMPUTED_VALUE"""),630.0)</f>
        <v>630</v>
      </c>
      <c r="C377" s="1">
        <f>IFERROR(__xludf.DUMMYFUNCTION("""COMPUTED_VALUE"""),652.0)</f>
        <v>652</v>
      </c>
      <c r="D377" s="1">
        <f>IFERROR(__xludf.DUMMYFUNCTION("""COMPUTED_VALUE"""),624.9)</f>
        <v>624.9</v>
      </c>
      <c r="E377" s="1">
        <f>IFERROR(__xludf.DUMMYFUNCTION("""COMPUTED_VALUE"""),625.0)</f>
        <v>625</v>
      </c>
      <c r="F377" s="1">
        <f>IFERROR(__xludf.DUMMYFUNCTION("""COMPUTED_VALUE"""),45092.0)</f>
        <v>45092</v>
      </c>
      <c r="G377" s="2" t="s">
        <v>7</v>
      </c>
    </row>
    <row r="378">
      <c r="A378" s="3">
        <f>IFERROR(__xludf.DUMMYFUNCTION("""COMPUTED_VALUE"""),45112.6875)</f>
        <v>45112.6875</v>
      </c>
      <c r="B378" s="1">
        <f>IFERROR(__xludf.DUMMYFUNCTION("""COMPUTED_VALUE"""),622.0)</f>
        <v>622</v>
      </c>
      <c r="C378" s="1">
        <f>IFERROR(__xludf.DUMMYFUNCTION("""COMPUTED_VALUE"""),632.93)</f>
        <v>632.93</v>
      </c>
      <c r="D378" s="1">
        <f>IFERROR(__xludf.DUMMYFUNCTION("""COMPUTED_VALUE"""),616.0)</f>
        <v>616</v>
      </c>
      <c r="E378" s="1">
        <f>IFERROR(__xludf.DUMMYFUNCTION("""COMPUTED_VALUE"""),628.0)</f>
        <v>628</v>
      </c>
      <c r="F378" s="1">
        <f>IFERROR(__xludf.DUMMYFUNCTION("""COMPUTED_VALUE"""),226041.0)</f>
        <v>226041</v>
      </c>
      <c r="G378" s="2" t="s">
        <v>7</v>
      </c>
    </row>
    <row r="379">
      <c r="A379" s="3">
        <f>IFERROR(__xludf.DUMMYFUNCTION("""COMPUTED_VALUE"""),45113.6875)</f>
        <v>45113.6875</v>
      </c>
      <c r="B379" s="1">
        <f>IFERROR(__xludf.DUMMYFUNCTION("""COMPUTED_VALUE"""),631.0)</f>
        <v>631</v>
      </c>
      <c r="C379" s="1">
        <f>IFERROR(__xludf.DUMMYFUNCTION("""COMPUTED_VALUE"""),632.0)</f>
        <v>632</v>
      </c>
      <c r="D379" s="1">
        <f>IFERROR(__xludf.DUMMYFUNCTION("""COMPUTED_VALUE"""),615.0)</f>
        <v>615</v>
      </c>
      <c r="E379" s="1">
        <f>IFERROR(__xludf.DUMMYFUNCTION("""COMPUTED_VALUE"""),623.0)</f>
        <v>623</v>
      </c>
      <c r="F379" s="1">
        <f>IFERROR(__xludf.DUMMYFUNCTION("""COMPUTED_VALUE"""),65927.0)</f>
        <v>65927</v>
      </c>
      <c r="G379" s="2" t="s">
        <v>7</v>
      </c>
    </row>
    <row r="380">
      <c r="A380" s="3">
        <f>IFERROR(__xludf.DUMMYFUNCTION("""COMPUTED_VALUE"""),45114.6875)</f>
        <v>45114.6875</v>
      </c>
      <c r="B380" s="1">
        <f>IFERROR(__xludf.DUMMYFUNCTION("""COMPUTED_VALUE"""),615.0)</f>
        <v>615</v>
      </c>
      <c r="C380" s="1">
        <f>IFERROR(__xludf.DUMMYFUNCTION("""COMPUTED_VALUE"""),653.0)</f>
        <v>653</v>
      </c>
      <c r="D380" s="1">
        <f>IFERROR(__xludf.DUMMYFUNCTION("""COMPUTED_VALUE"""),615.0)</f>
        <v>615</v>
      </c>
      <c r="E380" s="1">
        <f>IFERROR(__xludf.DUMMYFUNCTION("""COMPUTED_VALUE"""),645.0)</f>
        <v>645</v>
      </c>
      <c r="F380" s="1">
        <f>IFERROR(__xludf.DUMMYFUNCTION("""COMPUTED_VALUE"""),73695.0)</f>
        <v>73695</v>
      </c>
      <c r="G380" s="2" t="s">
        <v>7</v>
      </c>
    </row>
    <row r="381">
      <c r="A381" s="3">
        <f>IFERROR(__xludf.DUMMYFUNCTION("""COMPUTED_VALUE"""),45117.6875)</f>
        <v>45117.6875</v>
      </c>
      <c r="B381" s="1">
        <f>IFERROR(__xludf.DUMMYFUNCTION("""COMPUTED_VALUE"""),631.0)</f>
        <v>631</v>
      </c>
      <c r="C381" s="1">
        <f>IFERROR(__xludf.DUMMYFUNCTION("""COMPUTED_VALUE"""),662.0)</f>
        <v>662</v>
      </c>
      <c r="D381" s="1">
        <f>IFERROR(__xludf.DUMMYFUNCTION("""COMPUTED_VALUE"""),631.0)</f>
        <v>631</v>
      </c>
      <c r="E381" s="1">
        <f>IFERROR(__xludf.DUMMYFUNCTION("""COMPUTED_VALUE"""),658.0)</f>
        <v>658</v>
      </c>
      <c r="F381" s="1">
        <f>IFERROR(__xludf.DUMMYFUNCTION("""COMPUTED_VALUE"""),54767.0)</f>
        <v>54767</v>
      </c>
      <c r="G381" s="2" t="s">
        <v>7</v>
      </c>
    </row>
    <row r="382">
      <c r="A382" s="3">
        <f>IFERROR(__xludf.DUMMYFUNCTION("""COMPUTED_VALUE"""),45118.6875)</f>
        <v>45118.6875</v>
      </c>
      <c r="B382" s="1">
        <f>IFERROR(__xludf.DUMMYFUNCTION("""COMPUTED_VALUE"""),642.0)</f>
        <v>642</v>
      </c>
      <c r="C382" s="1">
        <f>IFERROR(__xludf.DUMMYFUNCTION("""COMPUTED_VALUE"""),678.0)</f>
        <v>678</v>
      </c>
      <c r="D382" s="1">
        <f>IFERROR(__xludf.DUMMYFUNCTION("""COMPUTED_VALUE"""),642.0)</f>
        <v>642</v>
      </c>
      <c r="E382" s="1">
        <f>IFERROR(__xludf.DUMMYFUNCTION("""COMPUTED_VALUE"""),661.0)</f>
        <v>661</v>
      </c>
      <c r="F382" s="1">
        <f>IFERROR(__xludf.DUMMYFUNCTION("""COMPUTED_VALUE"""),63141.0)</f>
        <v>63141</v>
      </c>
      <c r="G382" s="2" t="s">
        <v>7</v>
      </c>
    </row>
    <row r="383">
      <c r="A383" s="3">
        <f>IFERROR(__xludf.DUMMYFUNCTION("""COMPUTED_VALUE"""),45119.6875)</f>
        <v>45119.6875</v>
      </c>
      <c r="B383" s="1">
        <f>IFERROR(__xludf.DUMMYFUNCTION("""COMPUTED_VALUE"""),671.0)</f>
        <v>671</v>
      </c>
      <c r="C383" s="1">
        <f>IFERROR(__xludf.DUMMYFUNCTION("""COMPUTED_VALUE"""),671.0)</f>
        <v>671</v>
      </c>
      <c r="D383" s="1">
        <f>IFERROR(__xludf.DUMMYFUNCTION("""COMPUTED_VALUE"""),660.03)</f>
        <v>660.03</v>
      </c>
      <c r="E383" s="1">
        <f>IFERROR(__xludf.DUMMYFUNCTION("""COMPUTED_VALUE"""),664.0)</f>
        <v>664</v>
      </c>
      <c r="F383" s="1">
        <f>IFERROR(__xludf.DUMMYFUNCTION("""COMPUTED_VALUE"""),53419.0)</f>
        <v>53419</v>
      </c>
      <c r="G383" s="2" t="s">
        <v>7</v>
      </c>
    </row>
    <row r="384">
      <c r="A384" s="3">
        <f>IFERROR(__xludf.DUMMYFUNCTION("""COMPUTED_VALUE"""),45120.6875)</f>
        <v>45120.6875</v>
      </c>
      <c r="B384" s="1">
        <f>IFERROR(__xludf.DUMMYFUNCTION("""COMPUTED_VALUE"""),667.0)</f>
        <v>667</v>
      </c>
      <c r="C384" s="1">
        <f>IFERROR(__xludf.DUMMYFUNCTION("""COMPUTED_VALUE"""),668.0)</f>
        <v>668</v>
      </c>
      <c r="D384" s="1">
        <f>IFERROR(__xludf.DUMMYFUNCTION("""COMPUTED_VALUE"""),657.0)</f>
        <v>657</v>
      </c>
      <c r="E384" s="1">
        <f>IFERROR(__xludf.DUMMYFUNCTION("""COMPUTED_VALUE"""),662.0)</f>
        <v>662</v>
      </c>
      <c r="F384" s="1">
        <f>IFERROR(__xludf.DUMMYFUNCTION("""COMPUTED_VALUE"""),71442.0)</f>
        <v>71442</v>
      </c>
      <c r="G384" s="2" t="s">
        <v>7</v>
      </c>
    </row>
    <row r="385">
      <c r="A385" s="3">
        <f>IFERROR(__xludf.DUMMYFUNCTION("""COMPUTED_VALUE"""),45121.6875)</f>
        <v>45121.6875</v>
      </c>
      <c r="B385" s="1">
        <f>IFERROR(__xludf.DUMMYFUNCTION("""COMPUTED_VALUE"""),664.0)</f>
        <v>664</v>
      </c>
      <c r="C385" s="1">
        <f>IFERROR(__xludf.DUMMYFUNCTION("""COMPUTED_VALUE"""),667.01)</f>
        <v>667.01</v>
      </c>
      <c r="D385" s="1">
        <f>IFERROR(__xludf.DUMMYFUNCTION("""COMPUTED_VALUE"""),644.0)</f>
        <v>644</v>
      </c>
      <c r="E385" s="1">
        <f>IFERROR(__xludf.DUMMYFUNCTION("""COMPUTED_VALUE"""),650.0)</f>
        <v>650</v>
      </c>
      <c r="F385" s="1">
        <f>IFERROR(__xludf.DUMMYFUNCTION("""COMPUTED_VALUE"""),79717.0)</f>
        <v>79717</v>
      </c>
      <c r="G385" s="2" t="s">
        <v>7</v>
      </c>
    </row>
    <row r="386">
      <c r="A386" s="3">
        <f>IFERROR(__xludf.DUMMYFUNCTION("""COMPUTED_VALUE"""),45124.6875)</f>
        <v>45124.6875</v>
      </c>
      <c r="B386" s="1">
        <f>IFERROR(__xludf.DUMMYFUNCTION("""COMPUTED_VALUE"""),655.0)</f>
        <v>655</v>
      </c>
      <c r="C386" s="1">
        <f>IFERROR(__xludf.DUMMYFUNCTION("""COMPUTED_VALUE"""),665.0)</f>
        <v>665</v>
      </c>
      <c r="D386" s="1">
        <f>IFERROR(__xludf.DUMMYFUNCTION("""COMPUTED_VALUE"""),634.0)</f>
        <v>634</v>
      </c>
      <c r="E386" s="1">
        <f>IFERROR(__xludf.DUMMYFUNCTION("""COMPUTED_VALUE"""),643.0)</f>
        <v>643</v>
      </c>
      <c r="F386" s="1">
        <f>IFERROR(__xludf.DUMMYFUNCTION("""COMPUTED_VALUE"""),116208.0)</f>
        <v>116208</v>
      </c>
      <c r="G386" s="2" t="s">
        <v>7</v>
      </c>
    </row>
    <row r="387">
      <c r="A387" s="3">
        <f>IFERROR(__xludf.DUMMYFUNCTION("""COMPUTED_VALUE"""),45125.6875)</f>
        <v>45125.6875</v>
      </c>
      <c r="B387" s="1">
        <f>IFERROR(__xludf.DUMMYFUNCTION("""COMPUTED_VALUE"""),642.0)</f>
        <v>642</v>
      </c>
      <c r="C387" s="1">
        <f>IFERROR(__xludf.DUMMYFUNCTION("""COMPUTED_VALUE"""),663.0)</f>
        <v>663</v>
      </c>
      <c r="D387" s="1">
        <f>IFERROR(__xludf.DUMMYFUNCTION("""COMPUTED_VALUE"""),633.0)</f>
        <v>633</v>
      </c>
      <c r="E387" s="1">
        <f>IFERROR(__xludf.DUMMYFUNCTION("""COMPUTED_VALUE"""),645.0)</f>
        <v>645</v>
      </c>
      <c r="F387" s="1">
        <f>IFERROR(__xludf.DUMMYFUNCTION("""COMPUTED_VALUE"""),65035.0)</f>
        <v>65035</v>
      </c>
      <c r="G387" s="2" t="s">
        <v>7</v>
      </c>
    </row>
    <row r="388">
      <c r="A388" s="3">
        <f>IFERROR(__xludf.DUMMYFUNCTION("""COMPUTED_VALUE"""),45126.6875)</f>
        <v>45126.6875</v>
      </c>
      <c r="B388" s="1">
        <f>IFERROR(__xludf.DUMMYFUNCTION("""COMPUTED_VALUE"""),670.0)</f>
        <v>670</v>
      </c>
      <c r="C388" s="1">
        <f>IFERROR(__xludf.DUMMYFUNCTION("""COMPUTED_VALUE"""),670.0)</f>
        <v>670</v>
      </c>
      <c r="D388" s="1">
        <f>IFERROR(__xludf.DUMMYFUNCTION("""COMPUTED_VALUE"""),653.0)</f>
        <v>653</v>
      </c>
      <c r="E388" s="1">
        <f>IFERROR(__xludf.DUMMYFUNCTION("""COMPUTED_VALUE"""),665.0)</f>
        <v>665</v>
      </c>
      <c r="F388" s="1">
        <f>IFERROR(__xludf.DUMMYFUNCTION("""COMPUTED_VALUE"""),101066.0)</f>
        <v>101066</v>
      </c>
      <c r="G388" s="2" t="s">
        <v>7</v>
      </c>
    </row>
    <row r="389">
      <c r="A389" s="3">
        <f>IFERROR(__xludf.DUMMYFUNCTION("""COMPUTED_VALUE"""),45127.6875)</f>
        <v>45127.6875</v>
      </c>
      <c r="B389" s="1">
        <f>IFERROR(__xludf.DUMMYFUNCTION("""COMPUTED_VALUE"""),663.0)</f>
        <v>663</v>
      </c>
      <c r="C389" s="1">
        <f>IFERROR(__xludf.DUMMYFUNCTION("""COMPUTED_VALUE"""),668.0)</f>
        <v>668</v>
      </c>
      <c r="D389" s="1">
        <f>IFERROR(__xludf.DUMMYFUNCTION("""COMPUTED_VALUE"""),655.0)</f>
        <v>655</v>
      </c>
      <c r="E389" s="1">
        <f>IFERROR(__xludf.DUMMYFUNCTION("""COMPUTED_VALUE"""),655.0)</f>
        <v>655</v>
      </c>
      <c r="F389" s="1">
        <f>IFERROR(__xludf.DUMMYFUNCTION("""COMPUTED_VALUE"""),125464.0)</f>
        <v>125464</v>
      </c>
      <c r="G389" s="2" t="s">
        <v>7</v>
      </c>
    </row>
    <row r="390">
      <c r="A390" s="3">
        <f>IFERROR(__xludf.DUMMYFUNCTION("""COMPUTED_VALUE"""),45128.6875)</f>
        <v>45128.6875</v>
      </c>
      <c r="B390" s="1">
        <f>IFERROR(__xludf.DUMMYFUNCTION("""COMPUTED_VALUE"""),648.0)</f>
        <v>648</v>
      </c>
      <c r="C390" s="1">
        <f>IFERROR(__xludf.DUMMYFUNCTION("""COMPUTED_VALUE"""),666.0)</f>
        <v>666</v>
      </c>
      <c r="D390" s="1">
        <f>IFERROR(__xludf.DUMMYFUNCTION("""COMPUTED_VALUE"""),640.0)</f>
        <v>640</v>
      </c>
      <c r="E390" s="1">
        <f>IFERROR(__xludf.DUMMYFUNCTION("""COMPUTED_VALUE"""),658.0)</f>
        <v>658</v>
      </c>
      <c r="F390" s="1">
        <f>IFERROR(__xludf.DUMMYFUNCTION("""COMPUTED_VALUE"""),112734.0)</f>
        <v>112734</v>
      </c>
      <c r="G390" s="2" t="s">
        <v>7</v>
      </c>
    </row>
    <row r="391">
      <c r="A391" s="3">
        <f>IFERROR(__xludf.DUMMYFUNCTION("""COMPUTED_VALUE"""),45131.6875)</f>
        <v>45131.6875</v>
      </c>
      <c r="B391" s="1">
        <f>IFERROR(__xludf.DUMMYFUNCTION("""COMPUTED_VALUE"""),656.0)</f>
        <v>656</v>
      </c>
      <c r="C391" s="1">
        <f>IFERROR(__xludf.DUMMYFUNCTION("""COMPUTED_VALUE"""),663.0)</f>
        <v>663</v>
      </c>
      <c r="D391" s="1">
        <f>IFERROR(__xludf.DUMMYFUNCTION("""COMPUTED_VALUE"""),647.0)</f>
        <v>647</v>
      </c>
      <c r="E391" s="1">
        <f>IFERROR(__xludf.DUMMYFUNCTION("""COMPUTED_VALUE"""),655.0)</f>
        <v>655</v>
      </c>
      <c r="F391" s="1">
        <f>IFERROR(__xludf.DUMMYFUNCTION("""COMPUTED_VALUE"""),129671.0)</f>
        <v>129671</v>
      </c>
      <c r="G391" s="2" t="s">
        <v>7</v>
      </c>
    </row>
    <row r="392">
      <c r="A392" s="3">
        <f>IFERROR(__xludf.DUMMYFUNCTION("""COMPUTED_VALUE"""),45132.6875)</f>
        <v>45132.6875</v>
      </c>
      <c r="B392" s="1">
        <f>IFERROR(__xludf.DUMMYFUNCTION("""COMPUTED_VALUE"""),648.0)</f>
        <v>648</v>
      </c>
      <c r="C392" s="1">
        <f>IFERROR(__xludf.DUMMYFUNCTION("""COMPUTED_VALUE"""),660.0)</f>
        <v>660</v>
      </c>
      <c r="D392" s="1">
        <f>IFERROR(__xludf.DUMMYFUNCTION("""COMPUTED_VALUE"""),648.0)</f>
        <v>648</v>
      </c>
      <c r="E392" s="1">
        <f>IFERROR(__xludf.DUMMYFUNCTION("""COMPUTED_VALUE"""),648.0)</f>
        <v>648</v>
      </c>
      <c r="F392" s="1">
        <f>IFERROR(__xludf.DUMMYFUNCTION("""COMPUTED_VALUE"""),84219.0)</f>
        <v>84219</v>
      </c>
      <c r="G392" s="2" t="s">
        <v>7</v>
      </c>
    </row>
    <row r="393">
      <c r="A393" s="3">
        <f>IFERROR(__xludf.DUMMYFUNCTION("""COMPUTED_VALUE"""),45133.6875)</f>
        <v>45133.6875</v>
      </c>
      <c r="B393" s="1">
        <f>IFERROR(__xludf.DUMMYFUNCTION("""COMPUTED_VALUE"""),643.0)</f>
        <v>643</v>
      </c>
      <c r="C393" s="1">
        <f>IFERROR(__xludf.DUMMYFUNCTION("""COMPUTED_VALUE"""),655.0)</f>
        <v>655</v>
      </c>
      <c r="D393" s="1">
        <f>IFERROR(__xludf.DUMMYFUNCTION("""COMPUTED_VALUE"""),643.0)</f>
        <v>643</v>
      </c>
      <c r="E393" s="1">
        <f>IFERROR(__xludf.DUMMYFUNCTION("""COMPUTED_VALUE"""),650.0)</f>
        <v>650</v>
      </c>
      <c r="F393" s="1">
        <f>IFERROR(__xludf.DUMMYFUNCTION("""COMPUTED_VALUE"""),85845.0)</f>
        <v>85845</v>
      </c>
      <c r="G393" s="2" t="s">
        <v>7</v>
      </c>
    </row>
    <row r="394">
      <c r="A394" s="3">
        <f>IFERROR(__xludf.DUMMYFUNCTION("""COMPUTED_VALUE"""),45134.6875)</f>
        <v>45134.6875</v>
      </c>
      <c r="B394" s="1">
        <f>IFERROR(__xludf.DUMMYFUNCTION("""COMPUTED_VALUE"""),656.0)</f>
        <v>656</v>
      </c>
      <c r="C394" s="1">
        <f>IFERROR(__xludf.DUMMYFUNCTION("""COMPUTED_VALUE"""),666.0)</f>
        <v>666</v>
      </c>
      <c r="D394" s="1">
        <f>IFERROR(__xludf.DUMMYFUNCTION("""COMPUTED_VALUE"""),650.0)</f>
        <v>650</v>
      </c>
      <c r="E394" s="1">
        <f>IFERROR(__xludf.DUMMYFUNCTION("""COMPUTED_VALUE"""),657.0)</f>
        <v>657</v>
      </c>
      <c r="F394" s="1">
        <f>IFERROR(__xludf.DUMMYFUNCTION("""COMPUTED_VALUE"""),96639.0)</f>
        <v>96639</v>
      </c>
      <c r="G394" s="2" t="s">
        <v>7</v>
      </c>
    </row>
    <row r="395">
      <c r="A395" s="3">
        <f>IFERROR(__xludf.DUMMYFUNCTION("""COMPUTED_VALUE"""),45135.6875)</f>
        <v>45135.6875</v>
      </c>
      <c r="B395" s="1">
        <f>IFERROR(__xludf.DUMMYFUNCTION("""COMPUTED_VALUE"""),630.0)</f>
        <v>630</v>
      </c>
      <c r="C395" s="1">
        <f>IFERROR(__xludf.DUMMYFUNCTION("""COMPUTED_VALUE"""),660.0)</f>
        <v>660</v>
      </c>
      <c r="D395" s="1">
        <f>IFERROR(__xludf.DUMMYFUNCTION("""COMPUTED_VALUE"""),630.0)</f>
        <v>630</v>
      </c>
      <c r="E395" s="1">
        <f>IFERROR(__xludf.DUMMYFUNCTION("""COMPUTED_VALUE"""),648.0)</f>
        <v>648</v>
      </c>
      <c r="F395" s="1">
        <f>IFERROR(__xludf.DUMMYFUNCTION("""COMPUTED_VALUE"""),62874.0)</f>
        <v>62874</v>
      </c>
      <c r="G395" s="2" t="s"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IFERROR(__xludf.DUMMYFUNCTION("GOOGLEFINANCE(""HEN"",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IFERROR(__xludf.DUMMYFUNCTION("""COMPUTED_VALUE"""),44564.72916666667)</f>
        <v>44564.72917</v>
      </c>
      <c r="B2" s="1">
        <f>IFERROR(__xludf.DUMMYFUNCTION("""COMPUTED_VALUE"""),69.3)</f>
        <v>69.3</v>
      </c>
      <c r="C2" s="1">
        <f>IFERROR(__xludf.DUMMYFUNCTION("""COMPUTED_VALUE"""),70.05)</f>
        <v>70.05</v>
      </c>
      <c r="D2" s="1">
        <f>IFERROR(__xludf.DUMMYFUNCTION("""COMPUTED_VALUE"""),69.25)</f>
        <v>69.25</v>
      </c>
      <c r="E2" s="1">
        <f>IFERROR(__xludf.DUMMYFUNCTION("""COMPUTED_VALUE"""),69.8)</f>
        <v>69.8</v>
      </c>
      <c r="F2" s="1">
        <f>IFERROR(__xludf.DUMMYFUNCTION("""COMPUTED_VALUE"""),65619.0)</f>
        <v>65619</v>
      </c>
      <c r="G2" s="2" t="s">
        <v>8</v>
      </c>
    </row>
    <row r="3">
      <c r="A3" s="3">
        <f>IFERROR(__xludf.DUMMYFUNCTION("""COMPUTED_VALUE"""),44565.72916666667)</f>
        <v>44565.72917</v>
      </c>
      <c r="B3" s="1">
        <f>IFERROR(__xludf.DUMMYFUNCTION("""COMPUTED_VALUE"""),69.9)</f>
        <v>69.9</v>
      </c>
      <c r="C3" s="1">
        <f>IFERROR(__xludf.DUMMYFUNCTION("""COMPUTED_VALUE"""),70.75)</f>
        <v>70.75</v>
      </c>
      <c r="D3" s="1">
        <f>IFERROR(__xludf.DUMMYFUNCTION("""COMPUTED_VALUE"""),69.9)</f>
        <v>69.9</v>
      </c>
      <c r="E3" s="1">
        <f>IFERROR(__xludf.DUMMYFUNCTION("""COMPUTED_VALUE"""),70.7)</f>
        <v>70.7</v>
      </c>
      <c r="F3" s="1">
        <f>IFERROR(__xludf.DUMMYFUNCTION("""COMPUTED_VALUE"""),78174.0)</f>
        <v>78174</v>
      </c>
      <c r="G3" s="2" t="s">
        <v>8</v>
      </c>
    </row>
    <row r="4">
      <c r="A4" s="3">
        <f>IFERROR(__xludf.DUMMYFUNCTION("""COMPUTED_VALUE"""),44566.72916666667)</f>
        <v>44566.72917</v>
      </c>
      <c r="B4" s="1">
        <f>IFERROR(__xludf.DUMMYFUNCTION("""COMPUTED_VALUE"""),70.25)</f>
        <v>70.25</v>
      </c>
      <c r="C4" s="1">
        <f>IFERROR(__xludf.DUMMYFUNCTION("""COMPUTED_VALUE"""),71.05)</f>
        <v>71.05</v>
      </c>
      <c r="D4" s="1">
        <f>IFERROR(__xludf.DUMMYFUNCTION("""COMPUTED_VALUE"""),69.85)</f>
        <v>69.85</v>
      </c>
      <c r="E4" s="1">
        <f>IFERROR(__xludf.DUMMYFUNCTION("""COMPUTED_VALUE"""),70.85)</f>
        <v>70.85</v>
      </c>
      <c r="F4" s="1">
        <f>IFERROR(__xludf.DUMMYFUNCTION("""COMPUTED_VALUE"""),104955.0)</f>
        <v>104955</v>
      </c>
      <c r="G4" s="2" t="s">
        <v>8</v>
      </c>
    </row>
    <row r="5">
      <c r="A5" s="3">
        <f>IFERROR(__xludf.DUMMYFUNCTION("""COMPUTED_VALUE"""),44567.72916666667)</f>
        <v>44567.72917</v>
      </c>
      <c r="B5" s="1">
        <f>IFERROR(__xludf.DUMMYFUNCTION("""COMPUTED_VALUE"""),70.4)</f>
        <v>70.4</v>
      </c>
      <c r="C5" s="1">
        <f>IFERROR(__xludf.DUMMYFUNCTION("""COMPUTED_VALUE"""),70.9)</f>
        <v>70.9</v>
      </c>
      <c r="D5" s="1">
        <f>IFERROR(__xludf.DUMMYFUNCTION("""COMPUTED_VALUE"""),70.3)</f>
        <v>70.3</v>
      </c>
      <c r="E5" s="1">
        <f>IFERROR(__xludf.DUMMYFUNCTION("""COMPUTED_VALUE"""),70.9)</f>
        <v>70.9</v>
      </c>
      <c r="F5" s="1">
        <f>IFERROR(__xludf.DUMMYFUNCTION("""COMPUTED_VALUE"""),140732.0)</f>
        <v>140732</v>
      </c>
      <c r="G5" s="2" t="s">
        <v>8</v>
      </c>
    </row>
    <row r="6">
      <c r="A6" s="3">
        <f>IFERROR(__xludf.DUMMYFUNCTION("""COMPUTED_VALUE"""),44568.72916666667)</f>
        <v>44568.72917</v>
      </c>
      <c r="B6" s="1">
        <f>IFERROR(__xludf.DUMMYFUNCTION("""COMPUTED_VALUE"""),70.7)</f>
        <v>70.7</v>
      </c>
      <c r="C6" s="1">
        <f>IFERROR(__xludf.DUMMYFUNCTION("""COMPUTED_VALUE"""),71.1)</f>
        <v>71.1</v>
      </c>
      <c r="D6" s="1">
        <f>IFERROR(__xludf.DUMMYFUNCTION("""COMPUTED_VALUE"""),70.1)</f>
        <v>70.1</v>
      </c>
      <c r="E6" s="1">
        <f>IFERROR(__xludf.DUMMYFUNCTION("""COMPUTED_VALUE"""),70.95)</f>
        <v>70.95</v>
      </c>
      <c r="F6" s="1">
        <f>IFERROR(__xludf.DUMMYFUNCTION("""COMPUTED_VALUE"""),144832.0)</f>
        <v>144832</v>
      </c>
      <c r="G6" s="2" t="s">
        <v>8</v>
      </c>
    </row>
    <row r="7">
      <c r="A7" s="3">
        <f>IFERROR(__xludf.DUMMYFUNCTION("""COMPUTED_VALUE"""),44571.72916666667)</f>
        <v>44571.72917</v>
      </c>
      <c r="B7" s="1">
        <f>IFERROR(__xludf.DUMMYFUNCTION("""COMPUTED_VALUE"""),71.0)</f>
        <v>71</v>
      </c>
      <c r="C7" s="1">
        <f>IFERROR(__xludf.DUMMYFUNCTION("""COMPUTED_VALUE"""),71.95)</f>
        <v>71.95</v>
      </c>
      <c r="D7" s="1">
        <f>IFERROR(__xludf.DUMMYFUNCTION("""COMPUTED_VALUE"""),70.85)</f>
        <v>70.85</v>
      </c>
      <c r="E7" s="1">
        <f>IFERROR(__xludf.DUMMYFUNCTION("""COMPUTED_VALUE"""),71.6)</f>
        <v>71.6</v>
      </c>
      <c r="F7" s="1">
        <f>IFERROR(__xludf.DUMMYFUNCTION("""COMPUTED_VALUE"""),136239.0)</f>
        <v>136239</v>
      </c>
      <c r="G7" s="2" t="s">
        <v>8</v>
      </c>
    </row>
    <row r="8">
      <c r="A8" s="3">
        <f>IFERROR(__xludf.DUMMYFUNCTION("""COMPUTED_VALUE"""),44572.72916666667)</f>
        <v>44572.72917</v>
      </c>
      <c r="B8" s="1">
        <f>IFERROR(__xludf.DUMMYFUNCTION("""COMPUTED_VALUE"""),73.45)</f>
        <v>73.45</v>
      </c>
      <c r="C8" s="1">
        <f>IFERROR(__xludf.DUMMYFUNCTION("""COMPUTED_VALUE"""),74.3)</f>
        <v>74.3</v>
      </c>
      <c r="D8" s="1">
        <f>IFERROR(__xludf.DUMMYFUNCTION("""COMPUTED_VALUE"""),72.7)</f>
        <v>72.7</v>
      </c>
      <c r="E8" s="1">
        <f>IFERROR(__xludf.DUMMYFUNCTION("""COMPUTED_VALUE"""),74.25)</f>
        <v>74.25</v>
      </c>
      <c r="F8" s="1">
        <f>IFERROR(__xludf.DUMMYFUNCTION("""COMPUTED_VALUE"""),191294.0)</f>
        <v>191294</v>
      </c>
      <c r="G8" s="2" t="s">
        <v>8</v>
      </c>
    </row>
    <row r="9">
      <c r="A9" s="3">
        <f>IFERROR(__xludf.DUMMYFUNCTION("""COMPUTED_VALUE"""),44573.72916666667)</f>
        <v>44573.72917</v>
      </c>
      <c r="B9" s="1">
        <f>IFERROR(__xludf.DUMMYFUNCTION("""COMPUTED_VALUE"""),74.35)</f>
        <v>74.35</v>
      </c>
      <c r="C9" s="1">
        <f>IFERROR(__xludf.DUMMYFUNCTION("""COMPUTED_VALUE"""),74.9)</f>
        <v>74.9</v>
      </c>
      <c r="D9" s="1">
        <f>IFERROR(__xludf.DUMMYFUNCTION("""COMPUTED_VALUE"""),73.95)</f>
        <v>73.95</v>
      </c>
      <c r="E9" s="1">
        <f>IFERROR(__xludf.DUMMYFUNCTION("""COMPUTED_VALUE"""),74.2)</f>
        <v>74.2</v>
      </c>
      <c r="F9" s="1">
        <f>IFERROR(__xludf.DUMMYFUNCTION("""COMPUTED_VALUE"""),171000.0)</f>
        <v>171000</v>
      </c>
      <c r="G9" s="2" t="s">
        <v>8</v>
      </c>
    </row>
    <row r="10">
      <c r="A10" s="3">
        <f>IFERROR(__xludf.DUMMYFUNCTION("""COMPUTED_VALUE"""),44574.72916666667)</f>
        <v>44574.72917</v>
      </c>
      <c r="B10" s="1">
        <f>IFERROR(__xludf.DUMMYFUNCTION("""COMPUTED_VALUE"""),74.6)</f>
        <v>74.6</v>
      </c>
      <c r="C10" s="1">
        <f>IFERROR(__xludf.DUMMYFUNCTION("""COMPUTED_VALUE"""),75.1)</f>
        <v>75.1</v>
      </c>
      <c r="D10" s="1">
        <f>IFERROR(__xludf.DUMMYFUNCTION("""COMPUTED_VALUE"""),73.95)</f>
        <v>73.95</v>
      </c>
      <c r="E10" s="1">
        <f>IFERROR(__xludf.DUMMYFUNCTION("""COMPUTED_VALUE"""),75.1)</f>
        <v>75.1</v>
      </c>
      <c r="F10" s="1">
        <f>IFERROR(__xludf.DUMMYFUNCTION("""COMPUTED_VALUE"""),109118.0)</f>
        <v>109118</v>
      </c>
      <c r="G10" s="2" t="s">
        <v>8</v>
      </c>
    </row>
    <row r="11">
      <c r="A11" s="3">
        <f>IFERROR(__xludf.DUMMYFUNCTION("""COMPUTED_VALUE"""),44575.72916666667)</f>
        <v>44575.72917</v>
      </c>
      <c r="B11" s="1">
        <f>IFERROR(__xludf.DUMMYFUNCTION("""COMPUTED_VALUE"""),75.1)</f>
        <v>75.1</v>
      </c>
      <c r="C11" s="1">
        <f>IFERROR(__xludf.DUMMYFUNCTION("""COMPUTED_VALUE"""),76.95)</f>
        <v>76.95</v>
      </c>
      <c r="D11" s="1">
        <f>IFERROR(__xludf.DUMMYFUNCTION("""COMPUTED_VALUE"""),75.0)</f>
        <v>75</v>
      </c>
      <c r="E11" s="1">
        <f>IFERROR(__xludf.DUMMYFUNCTION("""COMPUTED_VALUE"""),76.85)</f>
        <v>76.85</v>
      </c>
      <c r="F11" s="1">
        <f>IFERROR(__xludf.DUMMYFUNCTION("""COMPUTED_VALUE"""),140503.0)</f>
        <v>140503</v>
      </c>
      <c r="G11" s="2" t="s">
        <v>8</v>
      </c>
    </row>
    <row r="12">
      <c r="A12" s="3">
        <f>IFERROR(__xludf.DUMMYFUNCTION("""COMPUTED_VALUE"""),44578.72916666667)</f>
        <v>44578.72917</v>
      </c>
      <c r="B12" s="1">
        <f>IFERROR(__xludf.DUMMYFUNCTION("""COMPUTED_VALUE"""),77.45)</f>
        <v>77.45</v>
      </c>
      <c r="C12" s="1">
        <f>IFERROR(__xludf.DUMMYFUNCTION("""COMPUTED_VALUE"""),78.25)</f>
        <v>78.25</v>
      </c>
      <c r="D12" s="1">
        <f>IFERROR(__xludf.DUMMYFUNCTION("""COMPUTED_VALUE"""),76.25)</f>
        <v>76.25</v>
      </c>
      <c r="E12" s="1">
        <f>IFERROR(__xludf.DUMMYFUNCTION("""COMPUTED_VALUE"""),76.35)</f>
        <v>76.35</v>
      </c>
      <c r="F12" s="1">
        <f>IFERROR(__xludf.DUMMYFUNCTION("""COMPUTED_VALUE"""),190413.0)</f>
        <v>190413</v>
      </c>
      <c r="G12" s="2" t="s">
        <v>8</v>
      </c>
    </row>
    <row r="13">
      <c r="A13" s="3">
        <f>IFERROR(__xludf.DUMMYFUNCTION("""COMPUTED_VALUE"""),44579.72916666667)</f>
        <v>44579.72917</v>
      </c>
      <c r="B13" s="1">
        <f>IFERROR(__xludf.DUMMYFUNCTION("""COMPUTED_VALUE"""),76.2)</f>
        <v>76.2</v>
      </c>
      <c r="C13" s="1">
        <f>IFERROR(__xludf.DUMMYFUNCTION("""COMPUTED_VALUE"""),76.35)</f>
        <v>76.35</v>
      </c>
      <c r="D13" s="1">
        <f>IFERROR(__xludf.DUMMYFUNCTION("""COMPUTED_VALUE"""),75.35)</f>
        <v>75.35</v>
      </c>
      <c r="E13" s="1">
        <f>IFERROR(__xludf.DUMMYFUNCTION("""COMPUTED_VALUE"""),75.95)</f>
        <v>75.95</v>
      </c>
      <c r="F13" s="1">
        <f>IFERROR(__xludf.DUMMYFUNCTION("""COMPUTED_VALUE"""),167357.0)</f>
        <v>167357</v>
      </c>
      <c r="G13" s="2" t="s">
        <v>8</v>
      </c>
    </row>
    <row r="14">
      <c r="A14" s="3">
        <f>IFERROR(__xludf.DUMMYFUNCTION("""COMPUTED_VALUE"""),44580.72916666667)</f>
        <v>44580.72917</v>
      </c>
      <c r="B14" s="1">
        <f>IFERROR(__xludf.DUMMYFUNCTION("""COMPUTED_VALUE"""),75.1)</f>
        <v>75.1</v>
      </c>
      <c r="C14" s="1">
        <f>IFERROR(__xludf.DUMMYFUNCTION("""COMPUTED_VALUE"""),76.05)</f>
        <v>76.05</v>
      </c>
      <c r="D14" s="1">
        <f>IFERROR(__xludf.DUMMYFUNCTION("""COMPUTED_VALUE"""),74.2)</f>
        <v>74.2</v>
      </c>
      <c r="E14" s="1">
        <f>IFERROR(__xludf.DUMMYFUNCTION("""COMPUTED_VALUE"""),74.65)</f>
        <v>74.65</v>
      </c>
      <c r="F14" s="1">
        <f>IFERROR(__xludf.DUMMYFUNCTION("""COMPUTED_VALUE"""),226916.0)</f>
        <v>226916</v>
      </c>
      <c r="G14" s="2" t="s">
        <v>8</v>
      </c>
    </row>
    <row r="15">
      <c r="A15" s="3">
        <f>IFERROR(__xludf.DUMMYFUNCTION("""COMPUTED_VALUE"""),44581.72916666667)</f>
        <v>44581.72917</v>
      </c>
      <c r="B15" s="1">
        <f>IFERROR(__xludf.DUMMYFUNCTION("""COMPUTED_VALUE"""),74.7)</f>
        <v>74.7</v>
      </c>
      <c r="C15" s="1">
        <f>IFERROR(__xludf.DUMMYFUNCTION("""COMPUTED_VALUE"""),75.0)</f>
        <v>75</v>
      </c>
      <c r="D15" s="1">
        <f>IFERROR(__xludf.DUMMYFUNCTION("""COMPUTED_VALUE"""),74.3)</f>
        <v>74.3</v>
      </c>
      <c r="E15" s="1">
        <f>IFERROR(__xludf.DUMMYFUNCTION("""COMPUTED_VALUE"""),74.4)</f>
        <v>74.4</v>
      </c>
      <c r="F15" s="1">
        <f>IFERROR(__xludf.DUMMYFUNCTION("""COMPUTED_VALUE"""),184411.0)</f>
        <v>184411</v>
      </c>
      <c r="G15" s="2" t="s">
        <v>8</v>
      </c>
    </row>
    <row r="16">
      <c r="A16" s="3">
        <f>IFERROR(__xludf.DUMMYFUNCTION("""COMPUTED_VALUE"""),44582.72916666667)</f>
        <v>44582.72917</v>
      </c>
      <c r="B16" s="1">
        <f>IFERROR(__xludf.DUMMYFUNCTION("""COMPUTED_VALUE"""),74.05)</f>
        <v>74.05</v>
      </c>
      <c r="C16" s="1">
        <f>IFERROR(__xludf.DUMMYFUNCTION("""COMPUTED_VALUE"""),74.75)</f>
        <v>74.75</v>
      </c>
      <c r="D16" s="1">
        <f>IFERROR(__xludf.DUMMYFUNCTION("""COMPUTED_VALUE"""),73.3)</f>
        <v>73.3</v>
      </c>
      <c r="E16" s="1">
        <f>IFERROR(__xludf.DUMMYFUNCTION("""COMPUTED_VALUE"""),73.65)</f>
        <v>73.65</v>
      </c>
      <c r="F16" s="1">
        <f>IFERROR(__xludf.DUMMYFUNCTION("""COMPUTED_VALUE"""),124611.0)</f>
        <v>124611</v>
      </c>
      <c r="G16" s="2" t="s">
        <v>8</v>
      </c>
    </row>
    <row r="17">
      <c r="A17" s="3">
        <f>IFERROR(__xludf.DUMMYFUNCTION("""COMPUTED_VALUE"""),44585.72916666667)</f>
        <v>44585.72917</v>
      </c>
      <c r="B17" s="1">
        <f>IFERROR(__xludf.DUMMYFUNCTION("""COMPUTED_VALUE"""),73.5)</f>
        <v>73.5</v>
      </c>
      <c r="C17" s="1">
        <f>IFERROR(__xludf.DUMMYFUNCTION("""COMPUTED_VALUE"""),74.35)</f>
        <v>74.35</v>
      </c>
      <c r="D17" s="1">
        <f>IFERROR(__xludf.DUMMYFUNCTION("""COMPUTED_VALUE"""),72.8)</f>
        <v>72.8</v>
      </c>
      <c r="E17" s="1">
        <f>IFERROR(__xludf.DUMMYFUNCTION("""COMPUTED_VALUE"""),72.8)</f>
        <v>72.8</v>
      </c>
      <c r="F17" s="1">
        <f>IFERROR(__xludf.DUMMYFUNCTION("""COMPUTED_VALUE"""),164688.0)</f>
        <v>164688</v>
      </c>
      <c r="G17" s="2" t="s">
        <v>8</v>
      </c>
    </row>
    <row r="18">
      <c r="A18" s="3">
        <f>IFERROR(__xludf.DUMMYFUNCTION("""COMPUTED_VALUE"""),44586.72916666667)</f>
        <v>44586.72917</v>
      </c>
      <c r="B18" s="1">
        <f>IFERROR(__xludf.DUMMYFUNCTION("""COMPUTED_VALUE"""),73.15)</f>
        <v>73.15</v>
      </c>
      <c r="C18" s="1">
        <f>IFERROR(__xludf.DUMMYFUNCTION("""COMPUTED_VALUE"""),73.65)</f>
        <v>73.65</v>
      </c>
      <c r="D18" s="1">
        <f>IFERROR(__xludf.DUMMYFUNCTION("""COMPUTED_VALUE"""),72.5)</f>
        <v>72.5</v>
      </c>
      <c r="E18" s="1">
        <f>IFERROR(__xludf.DUMMYFUNCTION("""COMPUTED_VALUE"""),73.3)</f>
        <v>73.3</v>
      </c>
      <c r="F18" s="1">
        <f>IFERROR(__xludf.DUMMYFUNCTION("""COMPUTED_VALUE"""),194178.0)</f>
        <v>194178</v>
      </c>
      <c r="G18" s="2" t="s">
        <v>8</v>
      </c>
    </row>
    <row r="19">
      <c r="A19" s="3">
        <f>IFERROR(__xludf.DUMMYFUNCTION("""COMPUTED_VALUE"""),44587.72916666667)</f>
        <v>44587.72917</v>
      </c>
      <c r="B19" s="1">
        <f>IFERROR(__xludf.DUMMYFUNCTION("""COMPUTED_VALUE"""),73.5)</f>
        <v>73.5</v>
      </c>
      <c r="C19" s="1">
        <f>IFERROR(__xludf.DUMMYFUNCTION("""COMPUTED_VALUE"""),74.4)</f>
        <v>74.4</v>
      </c>
      <c r="D19" s="1">
        <f>IFERROR(__xludf.DUMMYFUNCTION("""COMPUTED_VALUE"""),73.3)</f>
        <v>73.3</v>
      </c>
      <c r="E19" s="1">
        <f>IFERROR(__xludf.DUMMYFUNCTION("""COMPUTED_VALUE"""),73.95)</f>
        <v>73.95</v>
      </c>
      <c r="F19" s="1">
        <f>IFERROR(__xludf.DUMMYFUNCTION("""COMPUTED_VALUE"""),153182.0)</f>
        <v>153182</v>
      </c>
      <c r="G19" s="2" t="s">
        <v>8</v>
      </c>
    </row>
    <row r="20">
      <c r="A20" s="3">
        <f>IFERROR(__xludf.DUMMYFUNCTION("""COMPUTED_VALUE"""),44588.72916666667)</f>
        <v>44588.72917</v>
      </c>
      <c r="B20" s="1">
        <f>IFERROR(__xludf.DUMMYFUNCTION("""COMPUTED_VALUE"""),73.4)</f>
        <v>73.4</v>
      </c>
      <c r="C20" s="1">
        <f>IFERROR(__xludf.DUMMYFUNCTION("""COMPUTED_VALUE"""),74.7)</f>
        <v>74.7</v>
      </c>
      <c r="D20" s="1">
        <f>IFERROR(__xludf.DUMMYFUNCTION("""COMPUTED_VALUE"""),73.35)</f>
        <v>73.35</v>
      </c>
      <c r="E20" s="1">
        <f>IFERROR(__xludf.DUMMYFUNCTION("""COMPUTED_VALUE"""),74.6)</f>
        <v>74.6</v>
      </c>
      <c r="F20" s="1">
        <f>IFERROR(__xludf.DUMMYFUNCTION("""COMPUTED_VALUE"""),123091.0)</f>
        <v>123091</v>
      </c>
      <c r="G20" s="2" t="s">
        <v>8</v>
      </c>
    </row>
    <row r="21">
      <c r="A21" s="3">
        <f>IFERROR(__xludf.DUMMYFUNCTION("""COMPUTED_VALUE"""),44589.72916666667)</f>
        <v>44589.72917</v>
      </c>
      <c r="B21" s="1">
        <f>IFERROR(__xludf.DUMMYFUNCTION("""COMPUTED_VALUE"""),70.85)</f>
        <v>70.85</v>
      </c>
      <c r="C21" s="1">
        <f>IFERROR(__xludf.DUMMYFUNCTION("""COMPUTED_VALUE"""),70.95)</f>
        <v>70.95</v>
      </c>
      <c r="D21" s="1">
        <f>IFERROR(__xludf.DUMMYFUNCTION("""COMPUTED_VALUE"""),66.75)</f>
        <v>66.75</v>
      </c>
      <c r="E21" s="1">
        <f>IFERROR(__xludf.DUMMYFUNCTION("""COMPUTED_VALUE"""),67.6)</f>
        <v>67.6</v>
      </c>
      <c r="F21" s="1">
        <f>IFERROR(__xludf.DUMMYFUNCTION("""COMPUTED_VALUE"""),593748.0)</f>
        <v>593748</v>
      </c>
      <c r="G21" s="2" t="s">
        <v>8</v>
      </c>
    </row>
    <row r="22">
      <c r="A22" s="3">
        <f>IFERROR(__xludf.DUMMYFUNCTION("""COMPUTED_VALUE"""),44592.72916666667)</f>
        <v>44592.72917</v>
      </c>
      <c r="B22" s="1">
        <f>IFERROR(__xludf.DUMMYFUNCTION("""COMPUTED_VALUE"""),68.2)</f>
        <v>68.2</v>
      </c>
      <c r="C22" s="1">
        <f>IFERROR(__xludf.DUMMYFUNCTION("""COMPUTED_VALUE"""),70.0)</f>
        <v>70</v>
      </c>
      <c r="D22" s="1">
        <f>IFERROR(__xludf.DUMMYFUNCTION("""COMPUTED_VALUE"""),68.2)</f>
        <v>68.2</v>
      </c>
      <c r="E22" s="1">
        <f>IFERROR(__xludf.DUMMYFUNCTION("""COMPUTED_VALUE"""),69.95)</f>
        <v>69.95</v>
      </c>
      <c r="F22" s="1">
        <f>IFERROR(__xludf.DUMMYFUNCTION("""COMPUTED_VALUE"""),261540.0)</f>
        <v>261540</v>
      </c>
      <c r="G22" s="2" t="s">
        <v>8</v>
      </c>
    </row>
    <row r="23">
      <c r="A23" s="3">
        <f>IFERROR(__xludf.DUMMYFUNCTION("""COMPUTED_VALUE"""),44593.72916666667)</f>
        <v>44593.72917</v>
      </c>
      <c r="B23" s="1">
        <f>IFERROR(__xludf.DUMMYFUNCTION("""COMPUTED_VALUE"""),70.3)</f>
        <v>70.3</v>
      </c>
      <c r="C23" s="1">
        <f>IFERROR(__xludf.DUMMYFUNCTION("""COMPUTED_VALUE"""),70.3)</f>
        <v>70.3</v>
      </c>
      <c r="D23" s="1">
        <f>IFERROR(__xludf.DUMMYFUNCTION("""COMPUTED_VALUE"""),68.65)</f>
        <v>68.65</v>
      </c>
      <c r="E23" s="1">
        <f>IFERROR(__xludf.DUMMYFUNCTION("""COMPUTED_VALUE"""),69.25)</f>
        <v>69.25</v>
      </c>
      <c r="F23" s="1">
        <f>IFERROR(__xludf.DUMMYFUNCTION("""COMPUTED_VALUE"""),179474.0)</f>
        <v>179474</v>
      </c>
      <c r="G23" s="2" t="s">
        <v>8</v>
      </c>
    </row>
    <row r="24">
      <c r="A24" s="3">
        <f>IFERROR(__xludf.DUMMYFUNCTION("""COMPUTED_VALUE"""),44594.72916666667)</f>
        <v>44594.72917</v>
      </c>
      <c r="B24" s="1">
        <f>IFERROR(__xludf.DUMMYFUNCTION("""COMPUTED_VALUE"""),69.35)</f>
        <v>69.35</v>
      </c>
      <c r="C24" s="1">
        <f>IFERROR(__xludf.DUMMYFUNCTION("""COMPUTED_VALUE"""),69.75)</f>
        <v>69.75</v>
      </c>
      <c r="D24" s="1">
        <f>IFERROR(__xludf.DUMMYFUNCTION("""COMPUTED_VALUE"""),68.65)</f>
        <v>68.65</v>
      </c>
      <c r="E24" s="1">
        <f>IFERROR(__xludf.DUMMYFUNCTION("""COMPUTED_VALUE"""),68.75)</f>
        <v>68.75</v>
      </c>
      <c r="F24" s="1">
        <f>IFERROR(__xludf.DUMMYFUNCTION("""COMPUTED_VALUE"""),153372.0)</f>
        <v>153372</v>
      </c>
      <c r="G24" s="2" t="s">
        <v>8</v>
      </c>
    </row>
    <row r="25">
      <c r="A25" s="3">
        <f>IFERROR(__xludf.DUMMYFUNCTION("""COMPUTED_VALUE"""),44595.72916666667)</f>
        <v>44595.72917</v>
      </c>
      <c r="B25" s="1">
        <f>IFERROR(__xludf.DUMMYFUNCTION("""COMPUTED_VALUE"""),68.5)</f>
        <v>68.5</v>
      </c>
      <c r="C25" s="1">
        <f>IFERROR(__xludf.DUMMYFUNCTION("""COMPUTED_VALUE"""),68.75)</f>
        <v>68.75</v>
      </c>
      <c r="D25" s="1">
        <f>IFERROR(__xludf.DUMMYFUNCTION("""COMPUTED_VALUE"""),67.5)</f>
        <v>67.5</v>
      </c>
      <c r="E25" s="1">
        <f>IFERROR(__xludf.DUMMYFUNCTION("""COMPUTED_VALUE"""),67.8)</f>
        <v>67.8</v>
      </c>
      <c r="F25" s="1">
        <f>IFERROR(__xludf.DUMMYFUNCTION("""COMPUTED_VALUE"""),155567.0)</f>
        <v>155567</v>
      </c>
      <c r="G25" s="2" t="s">
        <v>8</v>
      </c>
    </row>
    <row r="26">
      <c r="A26" s="3">
        <f>IFERROR(__xludf.DUMMYFUNCTION("""COMPUTED_VALUE"""),44596.72916666667)</f>
        <v>44596.72917</v>
      </c>
      <c r="B26" s="1">
        <f>IFERROR(__xludf.DUMMYFUNCTION("""COMPUTED_VALUE"""),68.05)</f>
        <v>68.05</v>
      </c>
      <c r="C26" s="1">
        <f>IFERROR(__xludf.DUMMYFUNCTION("""COMPUTED_VALUE"""),68.5)</f>
        <v>68.5</v>
      </c>
      <c r="D26" s="1">
        <f>IFERROR(__xludf.DUMMYFUNCTION("""COMPUTED_VALUE"""),67.5)</f>
        <v>67.5</v>
      </c>
      <c r="E26" s="1">
        <f>IFERROR(__xludf.DUMMYFUNCTION("""COMPUTED_VALUE"""),68.0)</f>
        <v>68</v>
      </c>
      <c r="F26" s="1">
        <f>IFERROR(__xludf.DUMMYFUNCTION("""COMPUTED_VALUE"""),131528.0)</f>
        <v>131528</v>
      </c>
      <c r="G26" s="2" t="s">
        <v>8</v>
      </c>
    </row>
    <row r="27">
      <c r="A27" s="3">
        <f>IFERROR(__xludf.DUMMYFUNCTION("""COMPUTED_VALUE"""),44599.72916666667)</f>
        <v>44599.72917</v>
      </c>
      <c r="B27" s="1">
        <f>IFERROR(__xludf.DUMMYFUNCTION("""COMPUTED_VALUE"""),68.45)</f>
        <v>68.45</v>
      </c>
      <c r="C27" s="1">
        <f>IFERROR(__xludf.DUMMYFUNCTION("""COMPUTED_VALUE"""),68.8)</f>
        <v>68.8</v>
      </c>
      <c r="D27" s="1">
        <f>IFERROR(__xludf.DUMMYFUNCTION("""COMPUTED_VALUE"""),68.2)</f>
        <v>68.2</v>
      </c>
      <c r="E27" s="1">
        <f>IFERROR(__xludf.DUMMYFUNCTION("""COMPUTED_VALUE"""),68.75)</f>
        <v>68.75</v>
      </c>
      <c r="F27" s="1">
        <f>IFERROR(__xludf.DUMMYFUNCTION("""COMPUTED_VALUE"""),122618.0)</f>
        <v>122618</v>
      </c>
      <c r="G27" s="2" t="s">
        <v>8</v>
      </c>
    </row>
    <row r="28">
      <c r="A28" s="3">
        <f>IFERROR(__xludf.DUMMYFUNCTION("""COMPUTED_VALUE"""),44600.72916666667)</f>
        <v>44600.72917</v>
      </c>
      <c r="B28" s="1">
        <f>IFERROR(__xludf.DUMMYFUNCTION("""COMPUTED_VALUE"""),68.7)</f>
        <v>68.7</v>
      </c>
      <c r="C28" s="1">
        <f>IFERROR(__xludf.DUMMYFUNCTION("""COMPUTED_VALUE"""),69.5)</f>
        <v>69.5</v>
      </c>
      <c r="D28" s="1">
        <f>IFERROR(__xludf.DUMMYFUNCTION("""COMPUTED_VALUE"""),68.65)</f>
        <v>68.65</v>
      </c>
      <c r="E28" s="1">
        <f>IFERROR(__xludf.DUMMYFUNCTION("""COMPUTED_VALUE"""),69.5)</f>
        <v>69.5</v>
      </c>
      <c r="F28" s="1">
        <f>IFERROR(__xludf.DUMMYFUNCTION("""COMPUTED_VALUE"""),124843.0)</f>
        <v>124843</v>
      </c>
      <c r="G28" s="2" t="s">
        <v>8</v>
      </c>
    </row>
    <row r="29">
      <c r="A29" s="3">
        <f>IFERROR(__xludf.DUMMYFUNCTION("""COMPUTED_VALUE"""),44601.72916666667)</f>
        <v>44601.72917</v>
      </c>
      <c r="B29" s="1">
        <f>IFERROR(__xludf.DUMMYFUNCTION("""COMPUTED_VALUE"""),69.7)</f>
        <v>69.7</v>
      </c>
      <c r="C29" s="1">
        <f>IFERROR(__xludf.DUMMYFUNCTION("""COMPUTED_VALUE"""),70.35)</f>
        <v>70.35</v>
      </c>
      <c r="D29" s="1">
        <f>IFERROR(__xludf.DUMMYFUNCTION("""COMPUTED_VALUE"""),69.55)</f>
        <v>69.55</v>
      </c>
      <c r="E29" s="1">
        <f>IFERROR(__xludf.DUMMYFUNCTION("""COMPUTED_VALUE"""),70.05)</f>
        <v>70.05</v>
      </c>
      <c r="F29" s="1">
        <f>IFERROR(__xludf.DUMMYFUNCTION("""COMPUTED_VALUE"""),127557.0)</f>
        <v>127557</v>
      </c>
      <c r="G29" s="2" t="s">
        <v>8</v>
      </c>
    </row>
    <row r="30">
      <c r="A30" s="3">
        <f>IFERROR(__xludf.DUMMYFUNCTION("""COMPUTED_VALUE"""),44602.72916666667)</f>
        <v>44602.72917</v>
      </c>
      <c r="B30" s="1">
        <f>IFERROR(__xludf.DUMMYFUNCTION("""COMPUTED_VALUE"""),70.1)</f>
        <v>70.1</v>
      </c>
      <c r="C30" s="1">
        <f>IFERROR(__xludf.DUMMYFUNCTION("""COMPUTED_VALUE"""),70.75)</f>
        <v>70.75</v>
      </c>
      <c r="D30" s="1">
        <f>IFERROR(__xludf.DUMMYFUNCTION("""COMPUTED_VALUE"""),69.4)</f>
        <v>69.4</v>
      </c>
      <c r="E30" s="1">
        <f>IFERROR(__xludf.DUMMYFUNCTION("""COMPUTED_VALUE"""),70.4)</f>
        <v>70.4</v>
      </c>
      <c r="F30" s="1">
        <f>IFERROR(__xludf.DUMMYFUNCTION("""COMPUTED_VALUE"""),111046.0)</f>
        <v>111046</v>
      </c>
      <c r="G30" s="2" t="s">
        <v>8</v>
      </c>
    </row>
    <row r="31">
      <c r="A31" s="3">
        <f>IFERROR(__xludf.DUMMYFUNCTION("""COMPUTED_VALUE"""),44603.72916666667)</f>
        <v>44603.72917</v>
      </c>
      <c r="B31" s="1">
        <f>IFERROR(__xludf.DUMMYFUNCTION("""COMPUTED_VALUE"""),70.15)</f>
        <v>70.15</v>
      </c>
      <c r="C31" s="1">
        <f>IFERROR(__xludf.DUMMYFUNCTION("""COMPUTED_VALUE"""),72.25)</f>
        <v>72.25</v>
      </c>
      <c r="D31" s="1">
        <f>IFERROR(__xludf.DUMMYFUNCTION("""COMPUTED_VALUE"""),69.95)</f>
        <v>69.95</v>
      </c>
      <c r="E31" s="1">
        <f>IFERROR(__xludf.DUMMYFUNCTION("""COMPUTED_VALUE"""),72.0)</f>
        <v>72</v>
      </c>
      <c r="F31" s="1">
        <f>IFERROR(__xludf.DUMMYFUNCTION("""COMPUTED_VALUE"""),114812.0)</f>
        <v>114812</v>
      </c>
      <c r="G31" s="2" t="s">
        <v>8</v>
      </c>
    </row>
    <row r="32">
      <c r="A32" s="3">
        <f>IFERROR(__xludf.DUMMYFUNCTION("""COMPUTED_VALUE"""),44606.72916666667)</f>
        <v>44606.72917</v>
      </c>
      <c r="B32" s="1">
        <f>IFERROR(__xludf.DUMMYFUNCTION("""COMPUTED_VALUE"""),70.85)</f>
        <v>70.85</v>
      </c>
      <c r="C32" s="1">
        <f>IFERROR(__xludf.DUMMYFUNCTION("""COMPUTED_VALUE"""),71.05)</f>
        <v>71.05</v>
      </c>
      <c r="D32" s="1">
        <f>IFERROR(__xludf.DUMMYFUNCTION("""COMPUTED_VALUE"""),70.0)</f>
        <v>70</v>
      </c>
      <c r="E32" s="1">
        <f>IFERROR(__xludf.DUMMYFUNCTION("""COMPUTED_VALUE"""),70.45)</f>
        <v>70.45</v>
      </c>
      <c r="F32" s="1">
        <f>IFERROR(__xludf.DUMMYFUNCTION("""COMPUTED_VALUE"""),153991.0)</f>
        <v>153991</v>
      </c>
      <c r="G32" s="2" t="s">
        <v>8</v>
      </c>
    </row>
    <row r="33">
      <c r="A33" s="3">
        <f>IFERROR(__xludf.DUMMYFUNCTION("""COMPUTED_VALUE"""),44607.72916666667)</f>
        <v>44607.72917</v>
      </c>
      <c r="B33" s="1">
        <f>IFERROR(__xludf.DUMMYFUNCTION("""COMPUTED_VALUE"""),70.05)</f>
        <v>70.05</v>
      </c>
      <c r="C33" s="1">
        <f>IFERROR(__xludf.DUMMYFUNCTION("""COMPUTED_VALUE"""),70.8)</f>
        <v>70.8</v>
      </c>
      <c r="D33" s="1">
        <f>IFERROR(__xludf.DUMMYFUNCTION("""COMPUTED_VALUE"""),69.75)</f>
        <v>69.75</v>
      </c>
      <c r="E33" s="1">
        <f>IFERROR(__xludf.DUMMYFUNCTION("""COMPUTED_VALUE"""),70.8)</f>
        <v>70.8</v>
      </c>
      <c r="F33" s="1">
        <f>IFERROR(__xludf.DUMMYFUNCTION("""COMPUTED_VALUE"""),196149.0)</f>
        <v>196149</v>
      </c>
      <c r="G33" s="2" t="s">
        <v>8</v>
      </c>
    </row>
    <row r="34">
      <c r="A34" s="3">
        <f>IFERROR(__xludf.DUMMYFUNCTION("""COMPUTED_VALUE"""),44608.72916666667)</f>
        <v>44608.72917</v>
      </c>
      <c r="B34" s="1">
        <f>IFERROR(__xludf.DUMMYFUNCTION("""COMPUTED_VALUE"""),71.0)</f>
        <v>71</v>
      </c>
      <c r="C34" s="1">
        <f>IFERROR(__xludf.DUMMYFUNCTION("""COMPUTED_VALUE"""),71.25)</f>
        <v>71.25</v>
      </c>
      <c r="D34" s="1">
        <f>IFERROR(__xludf.DUMMYFUNCTION("""COMPUTED_VALUE"""),70.35)</f>
        <v>70.35</v>
      </c>
      <c r="E34" s="1">
        <f>IFERROR(__xludf.DUMMYFUNCTION("""COMPUTED_VALUE"""),70.75)</f>
        <v>70.75</v>
      </c>
      <c r="F34" s="1">
        <f>IFERROR(__xludf.DUMMYFUNCTION("""COMPUTED_VALUE"""),135369.0)</f>
        <v>135369</v>
      </c>
      <c r="G34" s="2" t="s">
        <v>8</v>
      </c>
    </row>
    <row r="35">
      <c r="A35" s="3">
        <f>IFERROR(__xludf.DUMMYFUNCTION("""COMPUTED_VALUE"""),44609.72916666667)</f>
        <v>44609.72917</v>
      </c>
      <c r="B35" s="1">
        <f>IFERROR(__xludf.DUMMYFUNCTION("""COMPUTED_VALUE"""),70.7)</f>
        <v>70.7</v>
      </c>
      <c r="C35" s="1">
        <f>IFERROR(__xludf.DUMMYFUNCTION("""COMPUTED_VALUE"""),71.55)</f>
        <v>71.55</v>
      </c>
      <c r="D35" s="1">
        <f>IFERROR(__xludf.DUMMYFUNCTION("""COMPUTED_VALUE"""),70.7)</f>
        <v>70.7</v>
      </c>
      <c r="E35" s="1">
        <f>IFERROR(__xludf.DUMMYFUNCTION("""COMPUTED_VALUE"""),71.3)</f>
        <v>71.3</v>
      </c>
      <c r="F35" s="1">
        <f>IFERROR(__xludf.DUMMYFUNCTION("""COMPUTED_VALUE"""),124639.0)</f>
        <v>124639</v>
      </c>
      <c r="G35" s="2" t="s">
        <v>8</v>
      </c>
    </row>
    <row r="36">
      <c r="A36" s="3">
        <f>IFERROR(__xludf.DUMMYFUNCTION("""COMPUTED_VALUE"""),44610.72916666667)</f>
        <v>44610.72917</v>
      </c>
      <c r="B36" s="1">
        <f>IFERROR(__xludf.DUMMYFUNCTION("""COMPUTED_VALUE"""),71.85)</f>
        <v>71.85</v>
      </c>
      <c r="C36" s="1">
        <f>IFERROR(__xludf.DUMMYFUNCTION("""COMPUTED_VALUE"""),72.5)</f>
        <v>72.5</v>
      </c>
      <c r="D36" s="1">
        <f>IFERROR(__xludf.DUMMYFUNCTION("""COMPUTED_VALUE"""),71.15)</f>
        <v>71.15</v>
      </c>
      <c r="E36" s="1">
        <f>IFERROR(__xludf.DUMMYFUNCTION("""COMPUTED_VALUE"""),71.5)</f>
        <v>71.5</v>
      </c>
      <c r="F36" s="1">
        <f>IFERROR(__xludf.DUMMYFUNCTION("""COMPUTED_VALUE"""),155833.0)</f>
        <v>155833</v>
      </c>
      <c r="G36" s="2" t="s">
        <v>8</v>
      </c>
    </row>
    <row r="37">
      <c r="A37" s="3">
        <f>IFERROR(__xludf.DUMMYFUNCTION("""COMPUTED_VALUE"""),44613.72916666667)</f>
        <v>44613.72917</v>
      </c>
      <c r="B37" s="1">
        <f>IFERROR(__xludf.DUMMYFUNCTION("""COMPUTED_VALUE"""),71.95)</f>
        <v>71.95</v>
      </c>
      <c r="C37" s="1">
        <f>IFERROR(__xludf.DUMMYFUNCTION("""COMPUTED_VALUE"""),71.95)</f>
        <v>71.95</v>
      </c>
      <c r="D37" s="1">
        <f>IFERROR(__xludf.DUMMYFUNCTION("""COMPUTED_VALUE"""),69.8)</f>
        <v>69.8</v>
      </c>
      <c r="E37" s="1">
        <f>IFERROR(__xludf.DUMMYFUNCTION("""COMPUTED_VALUE"""),70.0)</f>
        <v>70</v>
      </c>
      <c r="F37" s="1">
        <f>IFERROR(__xludf.DUMMYFUNCTION("""COMPUTED_VALUE"""),129730.0)</f>
        <v>129730</v>
      </c>
      <c r="G37" s="2" t="s">
        <v>8</v>
      </c>
    </row>
    <row r="38">
      <c r="A38" s="3">
        <f>IFERROR(__xludf.DUMMYFUNCTION("""COMPUTED_VALUE"""),44614.72916666667)</f>
        <v>44614.72917</v>
      </c>
      <c r="B38" s="1">
        <f>IFERROR(__xludf.DUMMYFUNCTION("""COMPUTED_VALUE"""),68.35)</f>
        <v>68.35</v>
      </c>
      <c r="C38" s="1">
        <f>IFERROR(__xludf.DUMMYFUNCTION("""COMPUTED_VALUE"""),69.35)</f>
        <v>69.35</v>
      </c>
      <c r="D38" s="1">
        <f>IFERROR(__xludf.DUMMYFUNCTION("""COMPUTED_VALUE"""),68.0)</f>
        <v>68</v>
      </c>
      <c r="E38" s="1">
        <f>IFERROR(__xludf.DUMMYFUNCTION("""COMPUTED_VALUE"""),69.2)</f>
        <v>69.2</v>
      </c>
      <c r="F38" s="1">
        <f>IFERROR(__xludf.DUMMYFUNCTION("""COMPUTED_VALUE"""),251131.0)</f>
        <v>251131</v>
      </c>
      <c r="G38" s="2" t="s">
        <v>8</v>
      </c>
    </row>
    <row r="39">
      <c r="A39" s="3">
        <f>IFERROR(__xludf.DUMMYFUNCTION("""COMPUTED_VALUE"""),44615.72916666667)</f>
        <v>44615.72917</v>
      </c>
      <c r="B39" s="1">
        <f>IFERROR(__xludf.DUMMYFUNCTION("""COMPUTED_VALUE"""),69.4)</f>
        <v>69.4</v>
      </c>
      <c r="C39" s="1">
        <f>IFERROR(__xludf.DUMMYFUNCTION("""COMPUTED_VALUE"""),72.4)</f>
        <v>72.4</v>
      </c>
      <c r="D39" s="1">
        <f>IFERROR(__xludf.DUMMYFUNCTION("""COMPUTED_VALUE"""),69.2)</f>
        <v>69.2</v>
      </c>
      <c r="E39" s="1">
        <f>IFERROR(__xludf.DUMMYFUNCTION("""COMPUTED_VALUE"""),71.0)</f>
        <v>71</v>
      </c>
      <c r="F39" s="1">
        <f>IFERROR(__xludf.DUMMYFUNCTION("""COMPUTED_VALUE"""),159316.0)</f>
        <v>159316</v>
      </c>
      <c r="G39" s="2" t="s">
        <v>8</v>
      </c>
    </row>
    <row r="40">
      <c r="A40" s="3">
        <f>IFERROR(__xludf.DUMMYFUNCTION("""COMPUTED_VALUE"""),44616.72916666667)</f>
        <v>44616.72917</v>
      </c>
      <c r="B40" s="1">
        <f>IFERROR(__xludf.DUMMYFUNCTION("""COMPUTED_VALUE"""),68.45)</f>
        <v>68.45</v>
      </c>
      <c r="C40" s="1">
        <f>IFERROR(__xludf.DUMMYFUNCTION("""COMPUTED_VALUE"""),68.95)</f>
        <v>68.95</v>
      </c>
      <c r="D40" s="1">
        <f>IFERROR(__xludf.DUMMYFUNCTION("""COMPUTED_VALUE"""),66.65)</f>
        <v>66.65</v>
      </c>
      <c r="E40" s="1">
        <f>IFERROR(__xludf.DUMMYFUNCTION("""COMPUTED_VALUE"""),67.0)</f>
        <v>67</v>
      </c>
      <c r="F40" s="1">
        <f>IFERROR(__xludf.DUMMYFUNCTION("""COMPUTED_VALUE"""),330424.0)</f>
        <v>330424</v>
      </c>
      <c r="G40" s="2" t="s">
        <v>8</v>
      </c>
    </row>
    <row r="41">
      <c r="A41" s="3">
        <f>IFERROR(__xludf.DUMMYFUNCTION("""COMPUTED_VALUE"""),44617.72916666667)</f>
        <v>44617.72917</v>
      </c>
      <c r="B41" s="1">
        <f>IFERROR(__xludf.DUMMYFUNCTION("""COMPUTED_VALUE"""),67.3)</f>
        <v>67.3</v>
      </c>
      <c r="C41" s="1">
        <f>IFERROR(__xludf.DUMMYFUNCTION("""COMPUTED_VALUE"""),70.25)</f>
        <v>70.25</v>
      </c>
      <c r="D41" s="1">
        <f>IFERROR(__xludf.DUMMYFUNCTION("""COMPUTED_VALUE"""),66.8)</f>
        <v>66.8</v>
      </c>
      <c r="E41" s="1">
        <f>IFERROR(__xludf.DUMMYFUNCTION("""COMPUTED_VALUE"""),69.95)</f>
        <v>69.95</v>
      </c>
      <c r="F41" s="1">
        <f>IFERROR(__xludf.DUMMYFUNCTION("""COMPUTED_VALUE"""),277392.0)</f>
        <v>277392</v>
      </c>
      <c r="G41" s="2" t="s">
        <v>8</v>
      </c>
    </row>
    <row r="42">
      <c r="A42" s="3">
        <f>IFERROR(__xludf.DUMMYFUNCTION("""COMPUTED_VALUE"""),44620.72916666667)</f>
        <v>44620.72917</v>
      </c>
      <c r="B42" s="1">
        <f>IFERROR(__xludf.DUMMYFUNCTION("""COMPUTED_VALUE"""),68.35)</f>
        <v>68.35</v>
      </c>
      <c r="C42" s="1">
        <f>IFERROR(__xludf.DUMMYFUNCTION("""COMPUTED_VALUE"""),69.2)</f>
        <v>69.2</v>
      </c>
      <c r="D42" s="1">
        <f>IFERROR(__xludf.DUMMYFUNCTION("""COMPUTED_VALUE"""),67.9)</f>
        <v>67.9</v>
      </c>
      <c r="E42" s="1">
        <f>IFERROR(__xludf.DUMMYFUNCTION("""COMPUTED_VALUE"""),68.6)</f>
        <v>68.6</v>
      </c>
      <c r="F42" s="1">
        <f>IFERROR(__xludf.DUMMYFUNCTION("""COMPUTED_VALUE"""),433712.0)</f>
        <v>433712</v>
      </c>
      <c r="G42" s="2" t="s">
        <v>8</v>
      </c>
    </row>
    <row r="43">
      <c r="A43" s="3">
        <f>IFERROR(__xludf.DUMMYFUNCTION("""COMPUTED_VALUE"""),44621.72916666667)</f>
        <v>44621.72917</v>
      </c>
      <c r="B43" s="1">
        <f>IFERROR(__xludf.DUMMYFUNCTION("""COMPUTED_VALUE"""),68.35)</f>
        <v>68.35</v>
      </c>
      <c r="C43" s="1">
        <f>IFERROR(__xludf.DUMMYFUNCTION("""COMPUTED_VALUE"""),69.15)</f>
        <v>69.15</v>
      </c>
      <c r="D43" s="1">
        <f>IFERROR(__xludf.DUMMYFUNCTION("""COMPUTED_VALUE"""),67.35)</f>
        <v>67.35</v>
      </c>
      <c r="E43" s="1">
        <f>IFERROR(__xludf.DUMMYFUNCTION("""COMPUTED_VALUE"""),67.55)</f>
        <v>67.55</v>
      </c>
      <c r="F43" s="1">
        <f>IFERROR(__xludf.DUMMYFUNCTION("""COMPUTED_VALUE"""),217282.0)</f>
        <v>217282</v>
      </c>
      <c r="G43" s="2" t="s">
        <v>8</v>
      </c>
    </row>
    <row r="44">
      <c r="A44" s="3">
        <f>IFERROR(__xludf.DUMMYFUNCTION("""COMPUTED_VALUE"""),44622.72916666667)</f>
        <v>44622.72917</v>
      </c>
      <c r="B44" s="1">
        <f>IFERROR(__xludf.DUMMYFUNCTION("""COMPUTED_VALUE"""),66.8)</f>
        <v>66.8</v>
      </c>
      <c r="C44" s="1">
        <f>IFERROR(__xludf.DUMMYFUNCTION("""COMPUTED_VALUE"""),66.9)</f>
        <v>66.9</v>
      </c>
      <c r="D44" s="1">
        <f>IFERROR(__xludf.DUMMYFUNCTION("""COMPUTED_VALUE"""),64.6)</f>
        <v>64.6</v>
      </c>
      <c r="E44" s="1">
        <f>IFERROR(__xludf.DUMMYFUNCTION("""COMPUTED_VALUE"""),65.5)</f>
        <v>65.5</v>
      </c>
      <c r="F44" s="1">
        <f>IFERROR(__xludf.DUMMYFUNCTION("""COMPUTED_VALUE"""),313639.0)</f>
        <v>313639</v>
      </c>
      <c r="G44" s="2" t="s">
        <v>8</v>
      </c>
    </row>
    <row r="45">
      <c r="A45" s="3">
        <f>IFERROR(__xludf.DUMMYFUNCTION("""COMPUTED_VALUE"""),44623.72916666667)</f>
        <v>44623.72917</v>
      </c>
      <c r="B45" s="1">
        <f>IFERROR(__xludf.DUMMYFUNCTION("""COMPUTED_VALUE"""),65.15)</f>
        <v>65.15</v>
      </c>
      <c r="C45" s="1">
        <f>IFERROR(__xludf.DUMMYFUNCTION("""COMPUTED_VALUE"""),65.2)</f>
        <v>65.2</v>
      </c>
      <c r="D45" s="1">
        <f>IFERROR(__xludf.DUMMYFUNCTION("""COMPUTED_VALUE"""),63.3)</f>
        <v>63.3</v>
      </c>
      <c r="E45" s="1">
        <f>IFERROR(__xludf.DUMMYFUNCTION("""COMPUTED_VALUE"""),63.3)</f>
        <v>63.3</v>
      </c>
      <c r="F45" s="1">
        <f>IFERROR(__xludf.DUMMYFUNCTION("""COMPUTED_VALUE"""),206547.0)</f>
        <v>206547</v>
      </c>
      <c r="G45" s="2" t="s">
        <v>8</v>
      </c>
    </row>
    <row r="46">
      <c r="A46" s="3">
        <f>IFERROR(__xludf.DUMMYFUNCTION("""COMPUTED_VALUE"""),44624.72916666667)</f>
        <v>44624.72917</v>
      </c>
      <c r="B46" s="1">
        <f>IFERROR(__xludf.DUMMYFUNCTION("""COMPUTED_VALUE"""),62.5)</f>
        <v>62.5</v>
      </c>
      <c r="C46" s="1">
        <f>IFERROR(__xludf.DUMMYFUNCTION("""COMPUTED_VALUE"""),62.5)</f>
        <v>62.5</v>
      </c>
      <c r="D46" s="1">
        <f>IFERROR(__xludf.DUMMYFUNCTION("""COMPUTED_VALUE"""),59.9)</f>
        <v>59.9</v>
      </c>
      <c r="E46" s="1">
        <f>IFERROR(__xludf.DUMMYFUNCTION("""COMPUTED_VALUE"""),61.85)</f>
        <v>61.85</v>
      </c>
      <c r="F46" s="1">
        <f>IFERROR(__xludf.DUMMYFUNCTION("""COMPUTED_VALUE"""),356137.0)</f>
        <v>356137</v>
      </c>
      <c r="G46" s="2" t="s">
        <v>8</v>
      </c>
    </row>
    <row r="47">
      <c r="A47" s="3">
        <f>IFERROR(__xludf.DUMMYFUNCTION("""COMPUTED_VALUE"""),44627.72916666667)</f>
        <v>44627.72917</v>
      </c>
      <c r="B47" s="1">
        <f>IFERROR(__xludf.DUMMYFUNCTION("""COMPUTED_VALUE"""),60.25)</f>
        <v>60.25</v>
      </c>
      <c r="C47" s="1">
        <f>IFERROR(__xludf.DUMMYFUNCTION("""COMPUTED_VALUE"""),61.85)</f>
        <v>61.85</v>
      </c>
      <c r="D47" s="1">
        <f>IFERROR(__xludf.DUMMYFUNCTION("""COMPUTED_VALUE"""),58.5)</f>
        <v>58.5</v>
      </c>
      <c r="E47" s="1">
        <f>IFERROR(__xludf.DUMMYFUNCTION("""COMPUTED_VALUE"""),61.35)</f>
        <v>61.35</v>
      </c>
      <c r="F47" s="1">
        <f>IFERROR(__xludf.DUMMYFUNCTION("""COMPUTED_VALUE"""),268084.0)</f>
        <v>268084</v>
      </c>
      <c r="G47" s="2" t="s">
        <v>8</v>
      </c>
    </row>
    <row r="48">
      <c r="A48" s="3">
        <f>IFERROR(__xludf.DUMMYFUNCTION("""COMPUTED_VALUE"""),44628.72916666667)</f>
        <v>44628.72917</v>
      </c>
      <c r="B48" s="1">
        <f>IFERROR(__xludf.DUMMYFUNCTION("""COMPUTED_VALUE"""),60.65)</f>
        <v>60.65</v>
      </c>
      <c r="C48" s="1">
        <f>IFERROR(__xludf.DUMMYFUNCTION("""COMPUTED_VALUE"""),62.2)</f>
        <v>62.2</v>
      </c>
      <c r="D48" s="1">
        <f>IFERROR(__xludf.DUMMYFUNCTION("""COMPUTED_VALUE"""),60.35)</f>
        <v>60.35</v>
      </c>
      <c r="E48" s="1">
        <f>IFERROR(__xludf.DUMMYFUNCTION("""COMPUTED_VALUE"""),61.1)</f>
        <v>61.1</v>
      </c>
      <c r="F48" s="1">
        <f>IFERROR(__xludf.DUMMYFUNCTION("""COMPUTED_VALUE"""),270700.0)</f>
        <v>270700</v>
      </c>
      <c r="G48" s="2" t="s">
        <v>8</v>
      </c>
    </row>
    <row r="49">
      <c r="A49" s="3">
        <f>IFERROR(__xludf.DUMMYFUNCTION("""COMPUTED_VALUE"""),44629.72916666667)</f>
        <v>44629.72917</v>
      </c>
      <c r="B49" s="1">
        <f>IFERROR(__xludf.DUMMYFUNCTION("""COMPUTED_VALUE"""),62.95)</f>
        <v>62.95</v>
      </c>
      <c r="C49" s="1">
        <f>IFERROR(__xludf.DUMMYFUNCTION("""COMPUTED_VALUE"""),63.95)</f>
        <v>63.95</v>
      </c>
      <c r="D49" s="1">
        <f>IFERROR(__xludf.DUMMYFUNCTION("""COMPUTED_VALUE"""),62.35)</f>
        <v>62.35</v>
      </c>
      <c r="E49" s="1">
        <f>IFERROR(__xludf.DUMMYFUNCTION("""COMPUTED_VALUE"""),63.95)</f>
        <v>63.95</v>
      </c>
      <c r="F49" s="1">
        <f>IFERROR(__xludf.DUMMYFUNCTION("""COMPUTED_VALUE"""),241931.0)</f>
        <v>241931</v>
      </c>
      <c r="G49" s="2" t="s">
        <v>8</v>
      </c>
    </row>
    <row r="50">
      <c r="A50" s="3">
        <f>IFERROR(__xludf.DUMMYFUNCTION("""COMPUTED_VALUE"""),44630.72916666667)</f>
        <v>44630.72917</v>
      </c>
      <c r="B50" s="1">
        <f>IFERROR(__xludf.DUMMYFUNCTION("""COMPUTED_VALUE"""),63.9)</f>
        <v>63.9</v>
      </c>
      <c r="C50" s="1">
        <f>IFERROR(__xludf.DUMMYFUNCTION("""COMPUTED_VALUE"""),64.95)</f>
        <v>64.95</v>
      </c>
      <c r="D50" s="1">
        <f>IFERROR(__xludf.DUMMYFUNCTION("""COMPUTED_VALUE"""),61.75)</f>
        <v>61.75</v>
      </c>
      <c r="E50" s="1">
        <f>IFERROR(__xludf.DUMMYFUNCTION("""COMPUTED_VALUE"""),62.05)</f>
        <v>62.05</v>
      </c>
      <c r="F50" s="1">
        <f>IFERROR(__xludf.DUMMYFUNCTION("""COMPUTED_VALUE"""),379078.0)</f>
        <v>379078</v>
      </c>
      <c r="G50" s="2" t="s">
        <v>8</v>
      </c>
    </row>
    <row r="51">
      <c r="A51" s="3">
        <f>IFERROR(__xludf.DUMMYFUNCTION("""COMPUTED_VALUE"""),44631.72916666667)</f>
        <v>44631.72917</v>
      </c>
      <c r="B51" s="1">
        <f>IFERROR(__xludf.DUMMYFUNCTION("""COMPUTED_VALUE"""),62.2)</f>
        <v>62.2</v>
      </c>
      <c r="C51" s="1">
        <f>IFERROR(__xludf.DUMMYFUNCTION("""COMPUTED_VALUE"""),63.75)</f>
        <v>63.75</v>
      </c>
      <c r="D51" s="1">
        <f>IFERROR(__xludf.DUMMYFUNCTION("""COMPUTED_VALUE"""),61.45)</f>
        <v>61.45</v>
      </c>
      <c r="E51" s="1">
        <f>IFERROR(__xludf.DUMMYFUNCTION("""COMPUTED_VALUE"""),62.5)</f>
        <v>62.5</v>
      </c>
      <c r="F51" s="1">
        <f>IFERROR(__xludf.DUMMYFUNCTION("""COMPUTED_VALUE"""),311894.0)</f>
        <v>311894</v>
      </c>
      <c r="G51" s="2" t="s">
        <v>8</v>
      </c>
    </row>
    <row r="52">
      <c r="A52" s="3">
        <f>IFERROR(__xludf.DUMMYFUNCTION("""COMPUTED_VALUE"""),44634.72916666667)</f>
        <v>44634.72917</v>
      </c>
      <c r="B52" s="1">
        <f>IFERROR(__xludf.DUMMYFUNCTION("""COMPUTED_VALUE"""),63.25)</f>
        <v>63.25</v>
      </c>
      <c r="C52" s="1">
        <f>IFERROR(__xludf.DUMMYFUNCTION("""COMPUTED_VALUE"""),64.2)</f>
        <v>64.2</v>
      </c>
      <c r="D52" s="1">
        <f>IFERROR(__xludf.DUMMYFUNCTION("""COMPUTED_VALUE"""),62.9)</f>
        <v>62.9</v>
      </c>
      <c r="E52" s="1">
        <f>IFERROR(__xludf.DUMMYFUNCTION("""COMPUTED_VALUE"""),64.0)</f>
        <v>64</v>
      </c>
      <c r="F52" s="1">
        <f>IFERROR(__xludf.DUMMYFUNCTION("""COMPUTED_VALUE"""),176814.0)</f>
        <v>176814</v>
      </c>
      <c r="G52" s="2" t="s">
        <v>8</v>
      </c>
    </row>
    <row r="53">
      <c r="A53" s="3">
        <f>IFERROR(__xludf.DUMMYFUNCTION("""COMPUTED_VALUE"""),44635.72916666667)</f>
        <v>44635.72917</v>
      </c>
      <c r="B53" s="1">
        <f>IFERROR(__xludf.DUMMYFUNCTION("""COMPUTED_VALUE"""),63.4)</f>
        <v>63.4</v>
      </c>
      <c r="C53" s="1">
        <f>IFERROR(__xludf.DUMMYFUNCTION("""COMPUTED_VALUE"""),63.4)</f>
        <v>63.4</v>
      </c>
      <c r="D53" s="1">
        <f>IFERROR(__xludf.DUMMYFUNCTION("""COMPUTED_VALUE"""),62.3)</f>
        <v>62.3</v>
      </c>
      <c r="E53" s="1">
        <f>IFERROR(__xludf.DUMMYFUNCTION("""COMPUTED_VALUE"""),62.65)</f>
        <v>62.65</v>
      </c>
      <c r="F53" s="1">
        <f>IFERROR(__xludf.DUMMYFUNCTION("""COMPUTED_VALUE"""),255812.0)</f>
        <v>255812</v>
      </c>
      <c r="G53" s="2" t="s">
        <v>8</v>
      </c>
    </row>
    <row r="54">
      <c r="A54" s="3">
        <f>IFERROR(__xludf.DUMMYFUNCTION("""COMPUTED_VALUE"""),44636.72916666667)</f>
        <v>44636.72917</v>
      </c>
      <c r="B54" s="1">
        <f>IFERROR(__xludf.DUMMYFUNCTION("""COMPUTED_VALUE"""),63.6)</f>
        <v>63.6</v>
      </c>
      <c r="C54" s="1">
        <f>IFERROR(__xludf.DUMMYFUNCTION("""COMPUTED_VALUE"""),63.7)</f>
        <v>63.7</v>
      </c>
      <c r="D54" s="1">
        <f>IFERROR(__xludf.DUMMYFUNCTION("""COMPUTED_VALUE"""),63.0)</f>
        <v>63</v>
      </c>
      <c r="E54" s="1">
        <f>IFERROR(__xludf.DUMMYFUNCTION("""COMPUTED_VALUE"""),63.45)</f>
        <v>63.45</v>
      </c>
      <c r="F54" s="1">
        <f>IFERROR(__xludf.DUMMYFUNCTION("""COMPUTED_VALUE"""),332063.0)</f>
        <v>332063</v>
      </c>
      <c r="G54" s="2" t="s">
        <v>8</v>
      </c>
    </row>
    <row r="55">
      <c r="A55" s="3">
        <f>IFERROR(__xludf.DUMMYFUNCTION("""COMPUTED_VALUE"""),44637.72916666667)</f>
        <v>44637.72917</v>
      </c>
      <c r="B55" s="1">
        <f>IFERROR(__xludf.DUMMYFUNCTION("""COMPUTED_VALUE"""),63.3)</f>
        <v>63.3</v>
      </c>
      <c r="C55" s="1">
        <f>IFERROR(__xludf.DUMMYFUNCTION("""COMPUTED_VALUE"""),63.45)</f>
        <v>63.45</v>
      </c>
      <c r="D55" s="1">
        <f>IFERROR(__xludf.DUMMYFUNCTION("""COMPUTED_VALUE"""),61.8)</f>
        <v>61.8</v>
      </c>
      <c r="E55" s="1">
        <f>IFERROR(__xludf.DUMMYFUNCTION("""COMPUTED_VALUE"""),63.3)</f>
        <v>63.3</v>
      </c>
      <c r="F55" s="1">
        <f>IFERROR(__xludf.DUMMYFUNCTION("""COMPUTED_VALUE"""),201248.0)</f>
        <v>201248</v>
      </c>
      <c r="G55" s="2" t="s">
        <v>8</v>
      </c>
    </row>
    <row r="56">
      <c r="A56" s="3">
        <f>IFERROR(__xludf.DUMMYFUNCTION("""COMPUTED_VALUE"""),44638.72916666667)</f>
        <v>44638.72917</v>
      </c>
      <c r="B56" s="1">
        <f>IFERROR(__xludf.DUMMYFUNCTION("""COMPUTED_VALUE"""),62.95)</f>
        <v>62.95</v>
      </c>
      <c r="C56" s="1">
        <f>IFERROR(__xludf.DUMMYFUNCTION("""COMPUTED_VALUE"""),63.05)</f>
        <v>63.05</v>
      </c>
      <c r="D56" s="1">
        <f>IFERROR(__xludf.DUMMYFUNCTION("""COMPUTED_VALUE"""),60.6)</f>
        <v>60.6</v>
      </c>
      <c r="E56" s="1">
        <f>IFERROR(__xludf.DUMMYFUNCTION("""COMPUTED_VALUE"""),61.45)</f>
        <v>61.45</v>
      </c>
      <c r="F56" s="1">
        <f>IFERROR(__xludf.DUMMYFUNCTION("""COMPUTED_VALUE"""),391285.0)</f>
        <v>391285</v>
      </c>
      <c r="G56" s="2" t="s">
        <v>8</v>
      </c>
    </row>
    <row r="57">
      <c r="A57" s="3">
        <f>IFERROR(__xludf.DUMMYFUNCTION("""COMPUTED_VALUE"""),44641.72916666667)</f>
        <v>44641.72917</v>
      </c>
      <c r="B57" s="1">
        <f>IFERROR(__xludf.DUMMYFUNCTION("""COMPUTED_VALUE"""),61.55)</f>
        <v>61.55</v>
      </c>
      <c r="C57" s="1">
        <f>IFERROR(__xludf.DUMMYFUNCTION("""COMPUTED_VALUE"""),61.8)</f>
        <v>61.8</v>
      </c>
      <c r="D57" s="1">
        <f>IFERROR(__xludf.DUMMYFUNCTION("""COMPUTED_VALUE"""),61.1)</f>
        <v>61.1</v>
      </c>
      <c r="E57" s="1">
        <f>IFERROR(__xludf.DUMMYFUNCTION("""COMPUTED_VALUE"""),61.3)</f>
        <v>61.3</v>
      </c>
      <c r="F57" s="1">
        <f>IFERROR(__xludf.DUMMYFUNCTION("""COMPUTED_VALUE"""),136314.0)</f>
        <v>136314</v>
      </c>
      <c r="G57" s="2" t="s">
        <v>8</v>
      </c>
    </row>
    <row r="58">
      <c r="A58" s="3">
        <f>IFERROR(__xludf.DUMMYFUNCTION("""COMPUTED_VALUE"""),44642.72916666667)</f>
        <v>44642.72917</v>
      </c>
      <c r="B58" s="1">
        <f>IFERROR(__xludf.DUMMYFUNCTION("""COMPUTED_VALUE"""),61.5)</f>
        <v>61.5</v>
      </c>
      <c r="C58" s="1">
        <f>IFERROR(__xludf.DUMMYFUNCTION("""COMPUTED_VALUE"""),62.3)</f>
        <v>62.3</v>
      </c>
      <c r="D58" s="1">
        <f>IFERROR(__xludf.DUMMYFUNCTION("""COMPUTED_VALUE"""),60.65)</f>
        <v>60.65</v>
      </c>
      <c r="E58" s="1">
        <f>IFERROR(__xludf.DUMMYFUNCTION("""COMPUTED_VALUE"""),62.3)</f>
        <v>62.3</v>
      </c>
      <c r="F58" s="1">
        <f>IFERROR(__xludf.DUMMYFUNCTION("""COMPUTED_VALUE"""),220695.0)</f>
        <v>220695</v>
      </c>
      <c r="G58" s="2" t="s">
        <v>8</v>
      </c>
    </row>
    <row r="59">
      <c r="A59" s="3">
        <f>IFERROR(__xludf.DUMMYFUNCTION("""COMPUTED_VALUE"""),44643.72916666667)</f>
        <v>44643.72917</v>
      </c>
      <c r="B59" s="1">
        <f>IFERROR(__xludf.DUMMYFUNCTION("""COMPUTED_VALUE"""),62.6)</f>
        <v>62.6</v>
      </c>
      <c r="C59" s="1">
        <f>IFERROR(__xludf.DUMMYFUNCTION("""COMPUTED_VALUE"""),63.4)</f>
        <v>63.4</v>
      </c>
      <c r="D59" s="1">
        <f>IFERROR(__xludf.DUMMYFUNCTION("""COMPUTED_VALUE"""),62.15)</f>
        <v>62.15</v>
      </c>
      <c r="E59" s="1">
        <f>IFERROR(__xludf.DUMMYFUNCTION("""COMPUTED_VALUE"""),62.45)</f>
        <v>62.45</v>
      </c>
      <c r="F59" s="1">
        <f>IFERROR(__xludf.DUMMYFUNCTION("""COMPUTED_VALUE"""),201314.0)</f>
        <v>201314</v>
      </c>
      <c r="G59" s="2" t="s">
        <v>8</v>
      </c>
    </row>
    <row r="60">
      <c r="A60" s="3">
        <f>IFERROR(__xludf.DUMMYFUNCTION("""COMPUTED_VALUE"""),44644.72916666667)</f>
        <v>44644.72917</v>
      </c>
      <c r="B60" s="1">
        <f>IFERROR(__xludf.DUMMYFUNCTION("""COMPUTED_VALUE"""),62.5)</f>
        <v>62.5</v>
      </c>
      <c r="C60" s="1">
        <f>IFERROR(__xludf.DUMMYFUNCTION("""COMPUTED_VALUE"""),62.6)</f>
        <v>62.6</v>
      </c>
      <c r="D60" s="1">
        <f>IFERROR(__xludf.DUMMYFUNCTION("""COMPUTED_VALUE"""),61.15)</f>
        <v>61.15</v>
      </c>
      <c r="E60" s="1">
        <f>IFERROR(__xludf.DUMMYFUNCTION("""COMPUTED_VALUE"""),61.25)</f>
        <v>61.25</v>
      </c>
      <c r="F60" s="1">
        <f>IFERROR(__xludf.DUMMYFUNCTION("""COMPUTED_VALUE"""),155504.0)</f>
        <v>155504</v>
      </c>
      <c r="G60" s="2" t="s">
        <v>8</v>
      </c>
    </row>
    <row r="61">
      <c r="A61" s="3">
        <f>IFERROR(__xludf.DUMMYFUNCTION("""COMPUTED_VALUE"""),44645.72916666667)</f>
        <v>44645.72917</v>
      </c>
      <c r="B61" s="1">
        <f>IFERROR(__xludf.DUMMYFUNCTION("""COMPUTED_VALUE"""),61.3)</f>
        <v>61.3</v>
      </c>
      <c r="C61" s="1">
        <f>IFERROR(__xludf.DUMMYFUNCTION("""COMPUTED_VALUE"""),61.4)</f>
        <v>61.4</v>
      </c>
      <c r="D61" s="1">
        <f>IFERROR(__xludf.DUMMYFUNCTION("""COMPUTED_VALUE"""),60.45)</f>
        <v>60.45</v>
      </c>
      <c r="E61" s="1">
        <f>IFERROR(__xludf.DUMMYFUNCTION("""COMPUTED_VALUE"""),60.7)</f>
        <v>60.7</v>
      </c>
      <c r="F61" s="1">
        <f>IFERROR(__xludf.DUMMYFUNCTION("""COMPUTED_VALUE"""),177404.0)</f>
        <v>177404</v>
      </c>
      <c r="G61" s="2" t="s">
        <v>8</v>
      </c>
    </row>
    <row r="62">
      <c r="A62" s="3">
        <f>IFERROR(__xludf.DUMMYFUNCTION("""COMPUTED_VALUE"""),44648.72916666667)</f>
        <v>44648.72917</v>
      </c>
      <c r="B62" s="1">
        <f>IFERROR(__xludf.DUMMYFUNCTION("""COMPUTED_VALUE"""),61.15)</f>
        <v>61.15</v>
      </c>
      <c r="C62" s="1">
        <f>IFERROR(__xludf.DUMMYFUNCTION("""COMPUTED_VALUE"""),62.5)</f>
        <v>62.5</v>
      </c>
      <c r="D62" s="1">
        <f>IFERROR(__xludf.DUMMYFUNCTION("""COMPUTED_VALUE"""),61.05)</f>
        <v>61.05</v>
      </c>
      <c r="E62" s="1">
        <f>IFERROR(__xludf.DUMMYFUNCTION("""COMPUTED_VALUE"""),61.75)</f>
        <v>61.75</v>
      </c>
      <c r="F62" s="1">
        <f>IFERROR(__xludf.DUMMYFUNCTION("""COMPUTED_VALUE"""),212271.0)</f>
        <v>212271</v>
      </c>
      <c r="G62" s="2" t="s">
        <v>8</v>
      </c>
    </row>
    <row r="63">
      <c r="A63" s="3">
        <f>IFERROR(__xludf.DUMMYFUNCTION("""COMPUTED_VALUE"""),44649.72916666667)</f>
        <v>44649.72917</v>
      </c>
      <c r="B63" s="1">
        <f>IFERROR(__xludf.DUMMYFUNCTION("""COMPUTED_VALUE"""),63.1)</f>
        <v>63.1</v>
      </c>
      <c r="C63" s="1">
        <f>IFERROR(__xludf.DUMMYFUNCTION("""COMPUTED_VALUE"""),63.45)</f>
        <v>63.45</v>
      </c>
      <c r="D63" s="1">
        <f>IFERROR(__xludf.DUMMYFUNCTION("""COMPUTED_VALUE"""),61.75)</f>
        <v>61.75</v>
      </c>
      <c r="E63" s="1">
        <f>IFERROR(__xludf.DUMMYFUNCTION("""COMPUTED_VALUE"""),62.4)</f>
        <v>62.4</v>
      </c>
      <c r="F63" s="1">
        <f>IFERROR(__xludf.DUMMYFUNCTION("""COMPUTED_VALUE"""),295435.0)</f>
        <v>295435</v>
      </c>
      <c r="G63" s="2" t="s">
        <v>8</v>
      </c>
    </row>
    <row r="64">
      <c r="A64" s="3">
        <f>IFERROR(__xludf.DUMMYFUNCTION("""COMPUTED_VALUE"""),44650.72916666667)</f>
        <v>44650.72917</v>
      </c>
      <c r="B64" s="1">
        <f>IFERROR(__xludf.DUMMYFUNCTION("""COMPUTED_VALUE"""),61.95)</f>
        <v>61.95</v>
      </c>
      <c r="C64" s="1">
        <f>IFERROR(__xludf.DUMMYFUNCTION("""COMPUTED_VALUE"""),62.0)</f>
        <v>62</v>
      </c>
      <c r="D64" s="1">
        <f>IFERROR(__xludf.DUMMYFUNCTION("""COMPUTED_VALUE"""),60.2)</f>
        <v>60.2</v>
      </c>
      <c r="E64" s="1">
        <f>IFERROR(__xludf.DUMMYFUNCTION("""COMPUTED_VALUE"""),60.4)</f>
        <v>60.4</v>
      </c>
      <c r="F64" s="1">
        <f>IFERROR(__xludf.DUMMYFUNCTION("""COMPUTED_VALUE"""),313340.0)</f>
        <v>313340</v>
      </c>
      <c r="G64" s="2" t="s">
        <v>8</v>
      </c>
    </row>
    <row r="65">
      <c r="A65" s="3">
        <f>IFERROR(__xludf.DUMMYFUNCTION("""COMPUTED_VALUE"""),44651.72916666667)</f>
        <v>44651.72917</v>
      </c>
      <c r="B65" s="1">
        <f>IFERROR(__xludf.DUMMYFUNCTION("""COMPUTED_VALUE"""),61.0)</f>
        <v>61</v>
      </c>
      <c r="C65" s="1">
        <f>IFERROR(__xludf.DUMMYFUNCTION("""COMPUTED_VALUE"""),61.4)</f>
        <v>61.4</v>
      </c>
      <c r="D65" s="1">
        <f>IFERROR(__xludf.DUMMYFUNCTION("""COMPUTED_VALUE"""),59.7)</f>
        <v>59.7</v>
      </c>
      <c r="E65" s="1">
        <f>IFERROR(__xludf.DUMMYFUNCTION("""COMPUTED_VALUE"""),59.95)</f>
        <v>59.95</v>
      </c>
      <c r="F65" s="1">
        <f>IFERROR(__xludf.DUMMYFUNCTION("""COMPUTED_VALUE"""),263893.0)</f>
        <v>263893</v>
      </c>
      <c r="G65" s="2" t="s">
        <v>8</v>
      </c>
    </row>
    <row r="66">
      <c r="A66" s="3">
        <f>IFERROR(__xludf.DUMMYFUNCTION("""COMPUTED_VALUE"""),44652.72916666667)</f>
        <v>44652.72917</v>
      </c>
      <c r="B66" s="1">
        <f>IFERROR(__xludf.DUMMYFUNCTION("""COMPUTED_VALUE"""),60.3)</f>
        <v>60.3</v>
      </c>
      <c r="C66" s="1">
        <f>IFERROR(__xludf.DUMMYFUNCTION("""COMPUTED_VALUE"""),60.35)</f>
        <v>60.35</v>
      </c>
      <c r="D66" s="1">
        <f>IFERROR(__xludf.DUMMYFUNCTION("""COMPUTED_VALUE"""),59.55)</f>
        <v>59.55</v>
      </c>
      <c r="E66" s="1">
        <f>IFERROR(__xludf.DUMMYFUNCTION("""COMPUTED_VALUE"""),59.55)</f>
        <v>59.55</v>
      </c>
      <c r="F66" s="1">
        <f>IFERROR(__xludf.DUMMYFUNCTION("""COMPUTED_VALUE"""),181788.0)</f>
        <v>181788</v>
      </c>
      <c r="G66" s="2" t="s">
        <v>8</v>
      </c>
    </row>
    <row r="67">
      <c r="A67" s="3">
        <f>IFERROR(__xludf.DUMMYFUNCTION("""COMPUTED_VALUE"""),44655.72916666667)</f>
        <v>44655.72917</v>
      </c>
      <c r="B67" s="1">
        <f>IFERROR(__xludf.DUMMYFUNCTION("""COMPUTED_VALUE"""),60.4)</f>
        <v>60.4</v>
      </c>
      <c r="C67" s="1">
        <f>IFERROR(__xludf.DUMMYFUNCTION("""COMPUTED_VALUE"""),60.4)</f>
        <v>60.4</v>
      </c>
      <c r="D67" s="1">
        <f>IFERROR(__xludf.DUMMYFUNCTION("""COMPUTED_VALUE"""),59.2)</f>
        <v>59.2</v>
      </c>
      <c r="E67" s="1">
        <f>IFERROR(__xludf.DUMMYFUNCTION("""COMPUTED_VALUE"""),60.1)</f>
        <v>60.1</v>
      </c>
      <c r="F67" s="1">
        <f>IFERROR(__xludf.DUMMYFUNCTION("""COMPUTED_VALUE"""),309646.0)</f>
        <v>309646</v>
      </c>
      <c r="G67" s="2" t="s">
        <v>8</v>
      </c>
    </row>
    <row r="68">
      <c r="A68" s="3">
        <f>IFERROR(__xludf.DUMMYFUNCTION("""COMPUTED_VALUE"""),44656.72916666667)</f>
        <v>44656.72917</v>
      </c>
      <c r="B68" s="1">
        <f>IFERROR(__xludf.DUMMYFUNCTION("""COMPUTED_VALUE"""),58.95)</f>
        <v>58.95</v>
      </c>
      <c r="C68" s="1">
        <f>IFERROR(__xludf.DUMMYFUNCTION("""COMPUTED_VALUE"""),59.25)</f>
        <v>59.25</v>
      </c>
      <c r="D68" s="1">
        <f>IFERROR(__xludf.DUMMYFUNCTION("""COMPUTED_VALUE"""),58.1)</f>
        <v>58.1</v>
      </c>
      <c r="E68" s="1">
        <f>IFERROR(__xludf.DUMMYFUNCTION("""COMPUTED_VALUE"""),58.45)</f>
        <v>58.45</v>
      </c>
      <c r="F68" s="1">
        <f>IFERROR(__xludf.DUMMYFUNCTION("""COMPUTED_VALUE"""),265386.0)</f>
        <v>265386</v>
      </c>
      <c r="G68" s="2" t="s">
        <v>8</v>
      </c>
    </row>
    <row r="69">
      <c r="A69" s="3">
        <f>IFERROR(__xludf.DUMMYFUNCTION("""COMPUTED_VALUE"""),44657.72916666667)</f>
        <v>44657.72917</v>
      </c>
      <c r="B69" s="1">
        <f>IFERROR(__xludf.DUMMYFUNCTION("""COMPUTED_VALUE"""),58.2)</f>
        <v>58.2</v>
      </c>
      <c r="C69" s="1">
        <f>IFERROR(__xludf.DUMMYFUNCTION("""COMPUTED_VALUE"""),59.15)</f>
        <v>59.15</v>
      </c>
      <c r="D69" s="1">
        <f>IFERROR(__xludf.DUMMYFUNCTION("""COMPUTED_VALUE"""),58.1)</f>
        <v>58.1</v>
      </c>
      <c r="E69" s="1">
        <f>IFERROR(__xludf.DUMMYFUNCTION("""COMPUTED_VALUE"""),59.0)</f>
        <v>59</v>
      </c>
      <c r="F69" s="1">
        <f>IFERROR(__xludf.DUMMYFUNCTION("""COMPUTED_VALUE"""),221512.0)</f>
        <v>221512</v>
      </c>
      <c r="G69" s="2" t="s">
        <v>8</v>
      </c>
    </row>
    <row r="70">
      <c r="A70" s="3">
        <f>IFERROR(__xludf.DUMMYFUNCTION("""COMPUTED_VALUE"""),44658.72916666667)</f>
        <v>44658.72917</v>
      </c>
      <c r="B70" s="1">
        <f>IFERROR(__xludf.DUMMYFUNCTION("""COMPUTED_VALUE"""),59.25)</f>
        <v>59.25</v>
      </c>
      <c r="C70" s="1">
        <f>IFERROR(__xludf.DUMMYFUNCTION("""COMPUTED_VALUE"""),59.3)</f>
        <v>59.3</v>
      </c>
      <c r="D70" s="1">
        <f>IFERROR(__xludf.DUMMYFUNCTION("""COMPUTED_VALUE"""),58.25)</f>
        <v>58.25</v>
      </c>
      <c r="E70" s="1">
        <f>IFERROR(__xludf.DUMMYFUNCTION("""COMPUTED_VALUE"""),58.75)</f>
        <v>58.75</v>
      </c>
      <c r="F70" s="1">
        <f>IFERROR(__xludf.DUMMYFUNCTION("""COMPUTED_VALUE"""),171040.0)</f>
        <v>171040</v>
      </c>
      <c r="G70" s="2" t="s">
        <v>8</v>
      </c>
    </row>
    <row r="71">
      <c r="A71" s="3">
        <f>IFERROR(__xludf.DUMMYFUNCTION("""COMPUTED_VALUE"""),44659.72916666667)</f>
        <v>44659.72917</v>
      </c>
      <c r="B71" s="1">
        <f>IFERROR(__xludf.DUMMYFUNCTION("""COMPUTED_VALUE"""),59.4)</f>
        <v>59.4</v>
      </c>
      <c r="C71" s="1">
        <f>IFERROR(__xludf.DUMMYFUNCTION("""COMPUTED_VALUE"""),60.15)</f>
        <v>60.15</v>
      </c>
      <c r="D71" s="1">
        <f>IFERROR(__xludf.DUMMYFUNCTION("""COMPUTED_VALUE"""),59.05)</f>
        <v>59.05</v>
      </c>
      <c r="E71" s="1">
        <f>IFERROR(__xludf.DUMMYFUNCTION("""COMPUTED_VALUE"""),60.1)</f>
        <v>60.1</v>
      </c>
      <c r="F71" s="1">
        <f>IFERROR(__xludf.DUMMYFUNCTION("""COMPUTED_VALUE"""),165538.0)</f>
        <v>165538</v>
      </c>
      <c r="G71" s="2" t="s">
        <v>8</v>
      </c>
    </row>
    <row r="72">
      <c r="A72" s="3">
        <f>IFERROR(__xludf.DUMMYFUNCTION("""COMPUTED_VALUE"""),44662.72916666667)</f>
        <v>44662.72917</v>
      </c>
      <c r="B72" s="1">
        <f>IFERROR(__xludf.DUMMYFUNCTION("""COMPUTED_VALUE"""),59.9)</f>
        <v>59.9</v>
      </c>
      <c r="C72" s="1">
        <f>IFERROR(__xludf.DUMMYFUNCTION("""COMPUTED_VALUE"""),60.0)</f>
        <v>60</v>
      </c>
      <c r="D72" s="1">
        <f>IFERROR(__xludf.DUMMYFUNCTION("""COMPUTED_VALUE"""),58.75)</f>
        <v>58.75</v>
      </c>
      <c r="E72" s="1">
        <f>IFERROR(__xludf.DUMMYFUNCTION("""COMPUTED_VALUE"""),58.95)</f>
        <v>58.95</v>
      </c>
      <c r="F72" s="1">
        <f>IFERROR(__xludf.DUMMYFUNCTION("""COMPUTED_VALUE"""),152353.0)</f>
        <v>152353</v>
      </c>
      <c r="G72" s="2" t="s">
        <v>8</v>
      </c>
    </row>
    <row r="73">
      <c r="A73" s="3">
        <f>IFERROR(__xludf.DUMMYFUNCTION("""COMPUTED_VALUE"""),44663.72916666667)</f>
        <v>44663.72917</v>
      </c>
      <c r="B73" s="1">
        <f>IFERROR(__xludf.DUMMYFUNCTION("""COMPUTED_VALUE"""),58.1)</f>
        <v>58.1</v>
      </c>
      <c r="C73" s="1">
        <f>IFERROR(__xludf.DUMMYFUNCTION("""COMPUTED_VALUE"""),58.75)</f>
        <v>58.75</v>
      </c>
      <c r="D73" s="1">
        <f>IFERROR(__xludf.DUMMYFUNCTION("""COMPUTED_VALUE"""),57.45)</f>
        <v>57.45</v>
      </c>
      <c r="E73" s="1">
        <f>IFERROR(__xludf.DUMMYFUNCTION("""COMPUTED_VALUE"""),58.7)</f>
        <v>58.7</v>
      </c>
      <c r="F73" s="1">
        <f>IFERROR(__xludf.DUMMYFUNCTION("""COMPUTED_VALUE"""),179813.0)</f>
        <v>179813</v>
      </c>
      <c r="G73" s="2" t="s">
        <v>8</v>
      </c>
    </row>
    <row r="74">
      <c r="A74" s="3">
        <f>IFERROR(__xludf.DUMMYFUNCTION("""COMPUTED_VALUE"""),44664.72916666667)</f>
        <v>44664.72917</v>
      </c>
      <c r="B74" s="1">
        <f>IFERROR(__xludf.DUMMYFUNCTION("""COMPUTED_VALUE"""),58.8)</f>
        <v>58.8</v>
      </c>
      <c r="C74" s="1">
        <f>IFERROR(__xludf.DUMMYFUNCTION("""COMPUTED_VALUE"""),59.05)</f>
        <v>59.05</v>
      </c>
      <c r="D74" s="1">
        <f>IFERROR(__xludf.DUMMYFUNCTION("""COMPUTED_VALUE"""),57.95)</f>
        <v>57.95</v>
      </c>
      <c r="E74" s="1">
        <f>IFERROR(__xludf.DUMMYFUNCTION("""COMPUTED_VALUE"""),59.0)</f>
        <v>59</v>
      </c>
      <c r="F74" s="1">
        <f>IFERROR(__xludf.DUMMYFUNCTION("""COMPUTED_VALUE"""),178192.0)</f>
        <v>178192</v>
      </c>
      <c r="G74" s="2" t="s">
        <v>8</v>
      </c>
    </row>
    <row r="75">
      <c r="A75" s="3">
        <f>IFERROR(__xludf.DUMMYFUNCTION("""COMPUTED_VALUE"""),44665.72916666667)</f>
        <v>44665.72917</v>
      </c>
      <c r="B75" s="1">
        <f>IFERROR(__xludf.DUMMYFUNCTION("""COMPUTED_VALUE"""),59.15)</f>
        <v>59.15</v>
      </c>
      <c r="C75" s="1">
        <f>IFERROR(__xludf.DUMMYFUNCTION("""COMPUTED_VALUE"""),59.8)</f>
        <v>59.8</v>
      </c>
      <c r="D75" s="1">
        <f>IFERROR(__xludf.DUMMYFUNCTION("""COMPUTED_VALUE"""),58.75)</f>
        <v>58.75</v>
      </c>
      <c r="E75" s="1">
        <f>IFERROR(__xludf.DUMMYFUNCTION("""COMPUTED_VALUE"""),59.5)</f>
        <v>59.5</v>
      </c>
      <c r="F75" s="1">
        <f>IFERROR(__xludf.DUMMYFUNCTION("""COMPUTED_VALUE"""),146890.0)</f>
        <v>146890</v>
      </c>
      <c r="G75" s="2" t="s">
        <v>8</v>
      </c>
    </row>
    <row r="76">
      <c r="A76" s="3">
        <f>IFERROR(__xludf.DUMMYFUNCTION("""COMPUTED_VALUE"""),44670.72916666667)</f>
        <v>44670.72917</v>
      </c>
      <c r="B76" s="1">
        <f>IFERROR(__xludf.DUMMYFUNCTION("""COMPUTED_VALUE"""),59.95)</f>
        <v>59.95</v>
      </c>
      <c r="C76" s="1">
        <f>IFERROR(__xludf.DUMMYFUNCTION("""COMPUTED_VALUE"""),59.95)</f>
        <v>59.95</v>
      </c>
      <c r="D76" s="1">
        <f>IFERROR(__xludf.DUMMYFUNCTION("""COMPUTED_VALUE"""),57.25)</f>
        <v>57.25</v>
      </c>
      <c r="E76" s="1">
        <f>IFERROR(__xludf.DUMMYFUNCTION("""COMPUTED_VALUE"""),58.3)</f>
        <v>58.3</v>
      </c>
      <c r="F76" s="1">
        <f>IFERROR(__xludf.DUMMYFUNCTION("""COMPUTED_VALUE"""),244666.0)</f>
        <v>244666</v>
      </c>
      <c r="G76" s="2" t="s">
        <v>8</v>
      </c>
    </row>
    <row r="77">
      <c r="A77" s="3">
        <f>IFERROR(__xludf.DUMMYFUNCTION("""COMPUTED_VALUE"""),44671.72916666667)</f>
        <v>44671.72917</v>
      </c>
      <c r="B77" s="1">
        <f>IFERROR(__xludf.DUMMYFUNCTION("""COMPUTED_VALUE"""),58.35)</f>
        <v>58.35</v>
      </c>
      <c r="C77" s="1">
        <f>IFERROR(__xludf.DUMMYFUNCTION("""COMPUTED_VALUE"""),60.2)</f>
        <v>60.2</v>
      </c>
      <c r="D77" s="1">
        <f>IFERROR(__xludf.DUMMYFUNCTION("""COMPUTED_VALUE"""),58.35)</f>
        <v>58.35</v>
      </c>
      <c r="E77" s="1">
        <f>IFERROR(__xludf.DUMMYFUNCTION("""COMPUTED_VALUE"""),60.1)</f>
        <v>60.1</v>
      </c>
      <c r="F77" s="1">
        <f>IFERROR(__xludf.DUMMYFUNCTION("""COMPUTED_VALUE"""),113790.0)</f>
        <v>113790</v>
      </c>
      <c r="G77" s="2" t="s">
        <v>8</v>
      </c>
    </row>
    <row r="78">
      <c r="A78" s="3">
        <f>IFERROR(__xludf.DUMMYFUNCTION("""COMPUTED_VALUE"""),44672.72916666667)</f>
        <v>44672.72917</v>
      </c>
      <c r="B78" s="1">
        <f>IFERROR(__xludf.DUMMYFUNCTION("""COMPUTED_VALUE"""),60.55)</f>
        <v>60.55</v>
      </c>
      <c r="C78" s="1">
        <f>IFERROR(__xludf.DUMMYFUNCTION("""COMPUTED_VALUE"""),60.95)</f>
        <v>60.95</v>
      </c>
      <c r="D78" s="1">
        <f>IFERROR(__xludf.DUMMYFUNCTION("""COMPUTED_VALUE"""),59.95)</f>
        <v>59.95</v>
      </c>
      <c r="E78" s="1">
        <f>IFERROR(__xludf.DUMMYFUNCTION("""COMPUTED_VALUE"""),60.45)</f>
        <v>60.45</v>
      </c>
      <c r="F78" s="1">
        <f>IFERROR(__xludf.DUMMYFUNCTION("""COMPUTED_VALUE"""),162212.0)</f>
        <v>162212</v>
      </c>
      <c r="G78" s="2" t="s">
        <v>8</v>
      </c>
    </row>
    <row r="79">
      <c r="A79" s="3">
        <f>IFERROR(__xludf.DUMMYFUNCTION("""COMPUTED_VALUE"""),44673.72916666667)</f>
        <v>44673.72917</v>
      </c>
      <c r="B79" s="1">
        <f>IFERROR(__xludf.DUMMYFUNCTION("""COMPUTED_VALUE"""),60.0)</f>
        <v>60</v>
      </c>
      <c r="C79" s="1">
        <f>IFERROR(__xludf.DUMMYFUNCTION("""COMPUTED_VALUE"""),60.9)</f>
        <v>60.9</v>
      </c>
      <c r="D79" s="1">
        <f>IFERROR(__xludf.DUMMYFUNCTION("""COMPUTED_VALUE"""),59.75)</f>
        <v>59.75</v>
      </c>
      <c r="E79" s="1">
        <f>IFERROR(__xludf.DUMMYFUNCTION("""COMPUTED_VALUE"""),59.85)</f>
        <v>59.85</v>
      </c>
      <c r="F79" s="1">
        <f>IFERROR(__xludf.DUMMYFUNCTION("""COMPUTED_VALUE"""),73021.0)</f>
        <v>73021</v>
      </c>
      <c r="G79" s="2" t="s">
        <v>8</v>
      </c>
    </row>
    <row r="80">
      <c r="A80" s="3">
        <f>IFERROR(__xludf.DUMMYFUNCTION("""COMPUTED_VALUE"""),44676.72916666667)</f>
        <v>44676.72917</v>
      </c>
      <c r="B80" s="1">
        <f>IFERROR(__xludf.DUMMYFUNCTION("""COMPUTED_VALUE"""),59.05)</f>
        <v>59.05</v>
      </c>
      <c r="C80" s="1">
        <f>IFERROR(__xludf.DUMMYFUNCTION("""COMPUTED_VALUE"""),60.85)</f>
        <v>60.85</v>
      </c>
      <c r="D80" s="1">
        <f>IFERROR(__xludf.DUMMYFUNCTION("""COMPUTED_VALUE"""),58.7)</f>
        <v>58.7</v>
      </c>
      <c r="E80" s="1">
        <f>IFERROR(__xludf.DUMMYFUNCTION("""COMPUTED_VALUE"""),60.65)</f>
        <v>60.65</v>
      </c>
      <c r="F80" s="1">
        <f>IFERROR(__xludf.DUMMYFUNCTION("""COMPUTED_VALUE"""),124829.0)</f>
        <v>124829</v>
      </c>
      <c r="G80" s="2" t="s">
        <v>8</v>
      </c>
    </row>
    <row r="81">
      <c r="A81" s="3">
        <f>IFERROR(__xludf.DUMMYFUNCTION("""COMPUTED_VALUE"""),44677.72916666667)</f>
        <v>44677.72917</v>
      </c>
      <c r="B81" s="1">
        <f>IFERROR(__xludf.DUMMYFUNCTION("""COMPUTED_VALUE"""),61.25)</f>
        <v>61.25</v>
      </c>
      <c r="C81" s="1">
        <f>IFERROR(__xludf.DUMMYFUNCTION("""COMPUTED_VALUE"""),62.35)</f>
        <v>62.35</v>
      </c>
      <c r="D81" s="1">
        <f>IFERROR(__xludf.DUMMYFUNCTION("""COMPUTED_VALUE"""),60.5)</f>
        <v>60.5</v>
      </c>
      <c r="E81" s="1">
        <f>IFERROR(__xludf.DUMMYFUNCTION("""COMPUTED_VALUE"""),60.5)</f>
        <v>60.5</v>
      </c>
      <c r="F81" s="1">
        <f>IFERROR(__xludf.DUMMYFUNCTION("""COMPUTED_VALUE"""),148955.0)</f>
        <v>148955</v>
      </c>
      <c r="G81" s="2" t="s">
        <v>8</v>
      </c>
    </row>
    <row r="82">
      <c r="A82" s="3">
        <f>IFERROR(__xludf.DUMMYFUNCTION("""COMPUTED_VALUE"""),44678.72916666667)</f>
        <v>44678.72917</v>
      </c>
      <c r="B82" s="1">
        <f>IFERROR(__xludf.DUMMYFUNCTION("""COMPUTED_VALUE"""),60.85)</f>
        <v>60.85</v>
      </c>
      <c r="C82" s="1">
        <f>IFERROR(__xludf.DUMMYFUNCTION("""COMPUTED_VALUE"""),61.45)</f>
        <v>61.45</v>
      </c>
      <c r="D82" s="1">
        <f>IFERROR(__xludf.DUMMYFUNCTION("""COMPUTED_VALUE"""),59.7)</f>
        <v>59.7</v>
      </c>
      <c r="E82" s="1">
        <f>IFERROR(__xludf.DUMMYFUNCTION("""COMPUTED_VALUE"""),61.45)</f>
        <v>61.45</v>
      </c>
      <c r="F82" s="1">
        <f>IFERROR(__xludf.DUMMYFUNCTION("""COMPUTED_VALUE"""),141396.0)</f>
        <v>141396</v>
      </c>
      <c r="G82" s="2" t="s">
        <v>8</v>
      </c>
    </row>
    <row r="83">
      <c r="A83" s="3">
        <f>IFERROR(__xludf.DUMMYFUNCTION("""COMPUTED_VALUE"""),44679.72916666667)</f>
        <v>44679.72917</v>
      </c>
      <c r="B83" s="1">
        <f>IFERROR(__xludf.DUMMYFUNCTION("""COMPUTED_VALUE"""),61.75)</f>
        <v>61.75</v>
      </c>
      <c r="C83" s="1">
        <f>IFERROR(__xludf.DUMMYFUNCTION("""COMPUTED_VALUE"""),62.85)</f>
        <v>62.85</v>
      </c>
      <c r="D83" s="1">
        <f>IFERROR(__xludf.DUMMYFUNCTION("""COMPUTED_VALUE"""),61.75)</f>
        <v>61.75</v>
      </c>
      <c r="E83" s="1">
        <f>IFERROR(__xludf.DUMMYFUNCTION("""COMPUTED_VALUE"""),62.6)</f>
        <v>62.6</v>
      </c>
      <c r="F83" s="1">
        <f>IFERROR(__xludf.DUMMYFUNCTION("""COMPUTED_VALUE"""),182431.0)</f>
        <v>182431</v>
      </c>
      <c r="G83" s="2" t="s">
        <v>8</v>
      </c>
    </row>
    <row r="84">
      <c r="A84" s="3">
        <f>IFERROR(__xludf.DUMMYFUNCTION("""COMPUTED_VALUE"""),44680.72916666667)</f>
        <v>44680.72917</v>
      </c>
      <c r="B84" s="1">
        <f>IFERROR(__xludf.DUMMYFUNCTION("""COMPUTED_VALUE"""),58.5)</f>
        <v>58.5</v>
      </c>
      <c r="C84" s="1">
        <f>IFERROR(__xludf.DUMMYFUNCTION("""COMPUTED_VALUE"""),60.9)</f>
        <v>60.9</v>
      </c>
      <c r="D84" s="1">
        <f>IFERROR(__xludf.DUMMYFUNCTION("""COMPUTED_VALUE"""),56.55)</f>
        <v>56.55</v>
      </c>
      <c r="E84" s="1">
        <f>IFERROR(__xludf.DUMMYFUNCTION("""COMPUTED_VALUE"""),60.6)</f>
        <v>60.6</v>
      </c>
      <c r="F84" s="1">
        <f>IFERROR(__xludf.DUMMYFUNCTION("""COMPUTED_VALUE"""),729810.0)</f>
        <v>729810</v>
      </c>
      <c r="G84" s="2" t="s">
        <v>8</v>
      </c>
    </row>
    <row r="85">
      <c r="A85" s="3">
        <f>IFERROR(__xludf.DUMMYFUNCTION("""COMPUTED_VALUE"""),44683.72916666667)</f>
        <v>44683.72917</v>
      </c>
      <c r="B85" s="1">
        <f>IFERROR(__xludf.DUMMYFUNCTION("""COMPUTED_VALUE"""),58.75)</f>
        <v>58.75</v>
      </c>
      <c r="C85" s="1">
        <f>IFERROR(__xludf.DUMMYFUNCTION("""COMPUTED_VALUE"""),60.35)</f>
        <v>60.35</v>
      </c>
      <c r="D85" s="1">
        <f>IFERROR(__xludf.DUMMYFUNCTION("""COMPUTED_VALUE"""),56.85)</f>
        <v>56.85</v>
      </c>
      <c r="E85" s="1">
        <f>IFERROR(__xludf.DUMMYFUNCTION("""COMPUTED_VALUE"""),59.3)</f>
        <v>59.3</v>
      </c>
      <c r="F85" s="1">
        <f>IFERROR(__xludf.DUMMYFUNCTION("""COMPUTED_VALUE"""),206248.0)</f>
        <v>206248</v>
      </c>
      <c r="G85" s="2" t="s">
        <v>8</v>
      </c>
    </row>
    <row r="86">
      <c r="A86" s="3">
        <f>IFERROR(__xludf.DUMMYFUNCTION("""COMPUTED_VALUE"""),44684.72916666667)</f>
        <v>44684.72917</v>
      </c>
      <c r="B86" s="1">
        <f>IFERROR(__xludf.DUMMYFUNCTION("""COMPUTED_VALUE"""),59.25)</f>
        <v>59.25</v>
      </c>
      <c r="C86" s="1">
        <f>IFERROR(__xludf.DUMMYFUNCTION("""COMPUTED_VALUE"""),60.15)</f>
        <v>60.15</v>
      </c>
      <c r="D86" s="1">
        <f>IFERROR(__xludf.DUMMYFUNCTION("""COMPUTED_VALUE"""),59.05)</f>
        <v>59.05</v>
      </c>
      <c r="E86" s="1">
        <f>IFERROR(__xludf.DUMMYFUNCTION("""COMPUTED_VALUE"""),59.5)</f>
        <v>59.5</v>
      </c>
      <c r="F86" s="1">
        <f>IFERROR(__xludf.DUMMYFUNCTION("""COMPUTED_VALUE"""),214958.0)</f>
        <v>214958</v>
      </c>
      <c r="G86" s="2" t="s">
        <v>8</v>
      </c>
    </row>
    <row r="87">
      <c r="A87" s="3">
        <f>IFERROR(__xludf.DUMMYFUNCTION("""COMPUTED_VALUE"""),44685.72916666667)</f>
        <v>44685.72917</v>
      </c>
      <c r="B87" s="1">
        <f>IFERROR(__xludf.DUMMYFUNCTION("""COMPUTED_VALUE"""),59.5)</f>
        <v>59.5</v>
      </c>
      <c r="C87" s="1">
        <f>IFERROR(__xludf.DUMMYFUNCTION("""COMPUTED_VALUE"""),59.6)</f>
        <v>59.6</v>
      </c>
      <c r="D87" s="1">
        <f>IFERROR(__xludf.DUMMYFUNCTION("""COMPUTED_VALUE"""),58.95)</f>
        <v>58.95</v>
      </c>
      <c r="E87" s="1">
        <f>IFERROR(__xludf.DUMMYFUNCTION("""COMPUTED_VALUE"""),58.95)</f>
        <v>58.95</v>
      </c>
      <c r="F87" s="1">
        <f>IFERROR(__xludf.DUMMYFUNCTION("""COMPUTED_VALUE"""),221030.0)</f>
        <v>221030</v>
      </c>
      <c r="G87" s="2" t="s">
        <v>8</v>
      </c>
    </row>
    <row r="88">
      <c r="A88" s="3">
        <f>IFERROR(__xludf.DUMMYFUNCTION("""COMPUTED_VALUE"""),44686.72916666667)</f>
        <v>44686.72917</v>
      </c>
      <c r="B88" s="1">
        <f>IFERROR(__xludf.DUMMYFUNCTION("""COMPUTED_VALUE"""),59.9)</f>
        <v>59.9</v>
      </c>
      <c r="C88" s="1">
        <f>IFERROR(__xludf.DUMMYFUNCTION("""COMPUTED_VALUE"""),60.7)</f>
        <v>60.7</v>
      </c>
      <c r="D88" s="1">
        <f>IFERROR(__xludf.DUMMYFUNCTION("""COMPUTED_VALUE"""),58.1)</f>
        <v>58.1</v>
      </c>
      <c r="E88" s="1">
        <f>IFERROR(__xludf.DUMMYFUNCTION("""COMPUTED_VALUE"""),58.55)</f>
        <v>58.55</v>
      </c>
      <c r="F88" s="1">
        <f>IFERROR(__xludf.DUMMYFUNCTION("""COMPUTED_VALUE"""),148719.0)</f>
        <v>148719</v>
      </c>
      <c r="G88" s="2" t="s">
        <v>8</v>
      </c>
    </row>
    <row r="89">
      <c r="A89" s="3">
        <f>IFERROR(__xludf.DUMMYFUNCTION("""COMPUTED_VALUE"""),44687.72916666667)</f>
        <v>44687.72917</v>
      </c>
      <c r="B89" s="1">
        <f>IFERROR(__xludf.DUMMYFUNCTION("""COMPUTED_VALUE"""),58.85)</f>
        <v>58.85</v>
      </c>
      <c r="C89" s="1">
        <f>IFERROR(__xludf.DUMMYFUNCTION("""COMPUTED_VALUE"""),60.7)</f>
        <v>60.7</v>
      </c>
      <c r="D89" s="1">
        <f>IFERROR(__xludf.DUMMYFUNCTION("""COMPUTED_VALUE"""),58.6)</f>
        <v>58.6</v>
      </c>
      <c r="E89" s="1">
        <f>IFERROR(__xludf.DUMMYFUNCTION("""COMPUTED_VALUE"""),60.4)</f>
        <v>60.4</v>
      </c>
      <c r="F89" s="1">
        <f>IFERROR(__xludf.DUMMYFUNCTION("""COMPUTED_VALUE"""),200484.0)</f>
        <v>200484</v>
      </c>
      <c r="G89" s="2" t="s">
        <v>8</v>
      </c>
    </row>
    <row r="90">
      <c r="A90" s="3">
        <f>IFERROR(__xludf.DUMMYFUNCTION("""COMPUTED_VALUE"""),44690.72916666667)</f>
        <v>44690.72917</v>
      </c>
      <c r="B90" s="1">
        <f>IFERROR(__xludf.DUMMYFUNCTION("""COMPUTED_VALUE"""),60.05)</f>
        <v>60.05</v>
      </c>
      <c r="C90" s="1">
        <f>IFERROR(__xludf.DUMMYFUNCTION("""COMPUTED_VALUE"""),60.65)</f>
        <v>60.65</v>
      </c>
      <c r="D90" s="1">
        <f>IFERROR(__xludf.DUMMYFUNCTION("""COMPUTED_VALUE"""),59.25)</f>
        <v>59.25</v>
      </c>
      <c r="E90" s="1">
        <f>IFERROR(__xludf.DUMMYFUNCTION("""COMPUTED_VALUE"""),60.35)</f>
        <v>60.35</v>
      </c>
      <c r="F90" s="1">
        <f>IFERROR(__xludf.DUMMYFUNCTION("""COMPUTED_VALUE"""),122479.0)</f>
        <v>122479</v>
      </c>
      <c r="G90" s="2" t="s">
        <v>8</v>
      </c>
    </row>
    <row r="91">
      <c r="A91" s="3">
        <f>IFERROR(__xludf.DUMMYFUNCTION("""COMPUTED_VALUE"""),44691.72916666667)</f>
        <v>44691.72917</v>
      </c>
      <c r="B91" s="1">
        <f>IFERROR(__xludf.DUMMYFUNCTION("""COMPUTED_VALUE"""),60.9)</f>
        <v>60.9</v>
      </c>
      <c r="C91" s="1">
        <f>IFERROR(__xludf.DUMMYFUNCTION("""COMPUTED_VALUE"""),62.9)</f>
        <v>62.9</v>
      </c>
      <c r="D91" s="1">
        <f>IFERROR(__xludf.DUMMYFUNCTION("""COMPUTED_VALUE"""),60.55)</f>
        <v>60.55</v>
      </c>
      <c r="E91" s="1">
        <f>IFERROR(__xludf.DUMMYFUNCTION("""COMPUTED_VALUE"""),62.1)</f>
        <v>62.1</v>
      </c>
      <c r="F91" s="1">
        <f>IFERROR(__xludf.DUMMYFUNCTION("""COMPUTED_VALUE"""),169988.0)</f>
        <v>169988</v>
      </c>
      <c r="G91" s="2" t="s">
        <v>8</v>
      </c>
    </row>
    <row r="92">
      <c r="A92" s="3">
        <f>IFERROR(__xludf.DUMMYFUNCTION("""COMPUTED_VALUE"""),44692.72916666667)</f>
        <v>44692.72917</v>
      </c>
      <c r="B92" s="1">
        <f>IFERROR(__xludf.DUMMYFUNCTION("""COMPUTED_VALUE"""),62.8)</f>
        <v>62.8</v>
      </c>
      <c r="C92" s="1">
        <f>IFERROR(__xludf.DUMMYFUNCTION("""COMPUTED_VALUE"""),63.3)</f>
        <v>63.3</v>
      </c>
      <c r="D92" s="1">
        <f>IFERROR(__xludf.DUMMYFUNCTION("""COMPUTED_VALUE"""),62.0)</f>
        <v>62</v>
      </c>
      <c r="E92" s="1">
        <f>IFERROR(__xludf.DUMMYFUNCTION("""COMPUTED_VALUE"""),62.5)</f>
        <v>62.5</v>
      </c>
      <c r="F92" s="1">
        <f>IFERROR(__xludf.DUMMYFUNCTION("""COMPUTED_VALUE"""),125421.0)</f>
        <v>125421</v>
      </c>
      <c r="G92" s="2" t="s">
        <v>8</v>
      </c>
    </row>
    <row r="93">
      <c r="A93" s="3">
        <f>IFERROR(__xludf.DUMMYFUNCTION("""COMPUTED_VALUE"""),44693.72916666667)</f>
        <v>44693.72917</v>
      </c>
      <c r="B93" s="1">
        <f>IFERROR(__xludf.DUMMYFUNCTION("""COMPUTED_VALUE"""),62.3)</f>
        <v>62.3</v>
      </c>
      <c r="C93" s="1">
        <f>IFERROR(__xludf.DUMMYFUNCTION("""COMPUTED_VALUE"""),62.65)</f>
        <v>62.65</v>
      </c>
      <c r="D93" s="1">
        <f>IFERROR(__xludf.DUMMYFUNCTION("""COMPUTED_VALUE"""),61.1)</f>
        <v>61.1</v>
      </c>
      <c r="E93" s="1">
        <f>IFERROR(__xludf.DUMMYFUNCTION("""COMPUTED_VALUE"""),62.15)</f>
        <v>62.15</v>
      </c>
      <c r="F93" s="1">
        <f>IFERROR(__xludf.DUMMYFUNCTION("""COMPUTED_VALUE"""),180733.0)</f>
        <v>180733</v>
      </c>
      <c r="G93" s="2" t="s">
        <v>8</v>
      </c>
    </row>
    <row r="94">
      <c r="A94" s="3">
        <f>IFERROR(__xludf.DUMMYFUNCTION("""COMPUTED_VALUE"""),44694.72916666667)</f>
        <v>44694.72917</v>
      </c>
      <c r="B94" s="1">
        <f>IFERROR(__xludf.DUMMYFUNCTION("""COMPUTED_VALUE"""),62.2)</f>
        <v>62.2</v>
      </c>
      <c r="C94" s="1">
        <f>IFERROR(__xludf.DUMMYFUNCTION("""COMPUTED_VALUE"""),63.15)</f>
        <v>63.15</v>
      </c>
      <c r="D94" s="1">
        <f>IFERROR(__xludf.DUMMYFUNCTION("""COMPUTED_VALUE"""),62.2)</f>
        <v>62.2</v>
      </c>
      <c r="E94" s="1">
        <f>IFERROR(__xludf.DUMMYFUNCTION("""COMPUTED_VALUE"""),62.5)</f>
        <v>62.5</v>
      </c>
      <c r="F94" s="1">
        <f>IFERROR(__xludf.DUMMYFUNCTION("""COMPUTED_VALUE"""),114304.0)</f>
        <v>114304</v>
      </c>
      <c r="G94" s="2" t="s">
        <v>8</v>
      </c>
    </row>
    <row r="95">
      <c r="A95" s="3">
        <f>IFERROR(__xludf.DUMMYFUNCTION("""COMPUTED_VALUE"""),44697.72916666667)</f>
        <v>44697.72917</v>
      </c>
      <c r="B95" s="1">
        <f>IFERROR(__xludf.DUMMYFUNCTION("""COMPUTED_VALUE"""),62.4)</f>
        <v>62.4</v>
      </c>
      <c r="C95" s="1">
        <f>IFERROR(__xludf.DUMMYFUNCTION("""COMPUTED_VALUE"""),62.75)</f>
        <v>62.75</v>
      </c>
      <c r="D95" s="1">
        <f>IFERROR(__xludf.DUMMYFUNCTION("""COMPUTED_VALUE"""),61.4)</f>
        <v>61.4</v>
      </c>
      <c r="E95" s="1">
        <f>IFERROR(__xludf.DUMMYFUNCTION("""COMPUTED_VALUE"""),62.7)</f>
        <v>62.7</v>
      </c>
      <c r="F95" s="1">
        <f>IFERROR(__xludf.DUMMYFUNCTION("""COMPUTED_VALUE"""),105176.0)</f>
        <v>105176</v>
      </c>
      <c r="G95" s="2" t="s">
        <v>8</v>
      </c>
    </row>
    <row r="96">
      <c r="A96" s="3">
        <f>IFERROR(__xludf.DUMMYFUNCTION("""COMPUTED_VALUE"""),44698.72916666667)</f>
        <v>44698.72917</v>
      </c>
      <c r="B96" s="1">
        <f>IFERROR(__xludf.DUMMYFUNCTION("""COMPUTED_VALUE"""),63.4)</f>
        <v>63.4</v>
      </c>
      <c r="C96" s="1">
        <f>IFERROR(__xludf.DUMMYFUNCTION("""COMPUTED_VALUE"""),63.65)</f>
        <v>63.65</v>
      </c>
      <c r="D96" s="1">
        <f>IFERROR(__xludf.DUMMYFUNCTION("""COMPUTED_VALUE"""),62.85)</f>
        <v>62.85</v>
      </c>
      <c r="E96" s="1">
        <f>IFERROR(__xludf.DUMMYFUNCTION("""COMPUTED_VALUE"""),63.0)</f>
        <v>63</v>
      </c>
      <c r="F96" s="1">
        <f>IFERROR(__xludf.DUMMYFUNCTION("""COMPUTED_VALUE"""),71650.0)</f>
        <v>71650</v>
      </c>
      <c r="G96" s="2" t="s">
        <v>8</v>
      </c>
    </row>
    <row r="97">
      <c r="A97" s="3">
        <f>IFERROR(__xludf.DUMMYFUNCTION("""COMPUTED_VALUE"""),44699.72916666667)</f>
        <v>44699.72917</v>
      </c>
      <c r="B97" s="1">
        <f>IFERROR(__xludf.DUMMYFUNCTION("""COMPUTED_VALUE"""),63.0)</f>
        <v>63</v>
      </c>
      <c r="C97" s="1">
        <f>IFERROR(__xludf.DUMMYFUNCTION("""COMPUTED_VALUE"""),63.05)</f>
        <v>63.05</v>
      </c>
      <c r="D97" s="1">
        <f>IFERROR(__xludf.DUMMYFUNCTION("""COMPUTED_VALUE"""),62.05)</f>
        <v>62.05</v>
      </c>
      <c r="E97" s="1">
        <f>IFERROR(__xludf.DUMMYFUNCTION("""COMPUTED_VALUE"""),62.1)</f>
        <v>62.1</v>
      </c>
      <c r="F97" s="1">
        <f>IFERROR(__xludf.DUMMYFUNCTION("""COMPUTED_VALUE"""),97782.0)</f>
        <v>97782</v>
      </c>
      <c r="G97" s="2" t="s">
        <v>8</v>
      </c>
    </row>
    <row r="98">
      <c r="A98" s="3">
        <f>IFERROR(__xludf.DUMMYFUNCTION("""COMPUTED_VALUE"""),44700.72916666667)</f>
        <v>44700.72917</v>
      </c>
      <c r="B98" s="1">
        <f>IFERROR(__xludf.DUMMYFUNCTION("""COMPUTED_VALUE"""),61.6)</f>
        <v>61.6</v>
      </c>
      <c r="C98" s="1">
        <f>IFERROR(__xludf.DUMMYFUNCTION("""COMPUTED_VALUE"""),61.65)</f>
        <v>61.65</v>
      </c>
      <c r="D98" s="1">
        <f>IFERROR(__xludf.DUMMYFUNCTION("""COMPUTED_VALUE"""),60.25)</f>
        <v>60.25</v>
      </c>
      <c r="E98" s="1">
        <f>IFERROR(__xludf.DUMMYFUNCTION("""COMPUTED_VALUE"""),60.75)</f>
        <v>60.75</v>
      </c>
      <c r="F98" s="1">
        <f>IFERROR(__xludf.DUMMYFUNCTION("""COMPUTED_VALUE"""),139096.0)</f>
        <v>139096</v>
      </c>
      <c r="G98" s="2" t="s">
        <v>8</v>
      </c>
    </row>
    <row r="99">
      <c r="A99" s="3">
        <f>IFERROR(__xludf.DUMMYFUNCTION("""COMPUTED_VALUE"""),44701.72916666667)</f>
        <v>44701.72917</v>
      </c>
      <c r="B99" s="1">
        <f>IFERROR(__xludf.DUMMYFUNCTION("""COMPUTED_VALUE"""),60.75)</f>
        <v>60.75</v>
      </c>
      <c r="C99" s="1">
        <f>IFERROR(__xludf.DUMMYFUNCTION("""COMPUTED_VALUE"""),61.5)</f>
        <v>61.5</v>
      </c>
      <c r="D99" s="1">
        <f>IFERROR(__xludf.DUMMYFUNCTION("""COMPUTED_VALUE"""),60.6)</f>
        <v>60.6</v>
      </c>
      <c r="E99" s="1">
        <f>IFERROR(__xludf.DUMMYFUNCTION("""COMPUTED_VALUE"""),61.2)</f>
        <v>61.2</v>
      </c>
      <c r="F99" s="1">
        <f>IFERROR(__xludf.DUMMYFUNCTION("""COMPUTED_VALUE"""),110325.0)</f>
        <v>110325</v>
      </c>
      <c r="G99" s="2" t="s">
        <v>8</v>
      </c>
    </row>
    <row r="100">
      <c r="A100" s="3">
        <f>IFERROR(__xludf.DUMMYFUNCTION("""COMPUTED_VALUE"""),44704.72916666667)</f>
        <v>44704.72917</v>
      </c>
      <c r="B100" s="1">
        <f>IFERROR(__xludf.DUMMYFUNCTION("""COMPUTED_VALUE"""),61.65)</f>
        <v>61.65</v>
      </c>
      <c r="C100" s="1">
        <f>IFERROR(__xludf.DUMMYFUNCTION("""COMPUTED_VALUE"""),62.0)</f>
        <v>62</v>
      </c>
      <c r="D100" s="1">
        <f>IFERROR(__xludf.DUMMYFUNCTION("""COMPUTED_VALUE"""),61.35)</f>
        <v>61.35</v>
      </c>
      <c r="E100" s="1">
        <f>IFERROR(__xludf.DUMMYFUNCTION("""COMPUTED_VALUE"""),61.75)</f>
        <v>61.75</v>
      </c>
      <c r="F100" s="1">
        <f>IFERROR(__xludf.DUMMYFUNCTION("""COMPUTED_VALUE"""),71656.0)</f>
        <v>71656</v>
      </c>
      <c r="G100" s="2" t="s">
        <v>8</v>
      </c>
    </row>
    <row r="101">
      <c r="A101" s="3">
        <f>IFERROR(__xludf.DUMMYFUNCTION("""COMPUTED_VALUE"""),44705.72916666667)</f>
        <v>44705.72917</v>
      </c>
      <c r="B101" s="1">
        <f>IFERROR(__xludf.DUMMYFUNCTION("""COMPUTED_VALUE"""),62.3)</f>
        <v>62.3</v>
      </c>
      <c r="C101" s="1">
        <f>IFERROR(__xludf.DUMMYFUNCTION("""COMPUTED_VALUE"""),62.3)</f>
        <v>62.3</v>
      </c>
      <c r="D101" s="1">
        <f>IFERROR(__xludf.DUMMYFUNCTION("""COMPUTED_VALUE"""),60.85)</f>
        <v>60.85</v>
      </c>
      <c r="E101" s="1">
        <f>IFERROR(__xludf.DUMMYFUNCTION("""COMPUTED_VALUE"""),61.05)</f>
        <v>61.05</v>
      </c>
      <c r="F101" s="1">
        <f>IFERROR(__xludf.DUMMYFUNCTION("""COMPUTED_VALUE"""),115530.0)</f>
        <v>115530</v>
      </c>
      <c r="G101" s="2" t="s">
        <v>8</v>
      </c>
    </row>
    <row r="102">
      <c r="A102" s="3">
        <f>IFERROR(__xludf.DUMMYFUNCTION("""COMPUTED_VALUE"""),44706.72916666667)</f>
        <v>44706.72917</v>
      </c>
      <c r="B102" s="1">
        <f>IFERROR(__xludf.DUMMYFUNCTION("""COMPUTED_VALUE"""),61.35)</f>
        <v>61.35</v>
      </c>
      <c r="C102" s="1">
        <f>IFERROR(__xludf.DUMMYFUNCTION("""COMPUTED_VALUE"""),61.55)</f>
        <v>61.55</v>
      </c>
      <c r="D102" s="1">
        <f>IFERROR(__xludf.DUMMYFUNCTION("""COMPUTED_VALUE"""),60.7)</f>
        <v>60.7</v>
      </c>
      <c r="E102" s="1">
        <f>IFERROR(__xludf.DUMMYFUNCTION("""COMPUTED_VALUE"""),61.05)</f>
        <v>61.05</v>
      </c>
      <c r="F102" s="1">
        <f>IFERROR(__xludf.DUMMYFUNCTION("""COMPUTED_VALUE"""),175516.0)</f>
        <v>175516</v>
      </c>
      <c r="G102" s="2" t="s">
        <v>8</v>
      </c>
    </row>
    <row r="103">
      <c r="A103" s="3">
        <f>IFERROR(__xludf.DUMMYFUNCTION("""COMPUTED_VALUE"""),44707.72916666667)</f>
        <v>44707.72917</v>
      </c>
      <c r="B103" s="1">
        <f>IFERROR(__xludf.DUMMYFUNCTION("""COMPUTED_VALUE"""),61.25)</f>
        <v>61.25</v>
      </c>
      <c r="C103" s="1">
        <f>IFERROR(__xludf.DUMMYFUNCTION("""COMPUTED_VALUE"""),61.8)</f>
        <v>61.8</v>
      </c>
      <c r="D103" s="1">
        <f>IFERROR(__xludf.DUMMYFUNCTION("""COMPUTED_VALUE"""),61.05)</f>
        <v>61.05</v>
      </c>
      <c r="E103" s="1">
        <f>IFERROR(__xludf.DUMMYFUNCTION("""COMPUTED_VALUE"""),61.55)</f>
        <v>61.55</v>
      </c>
      <c r="F103" s="1">
        <f>IFERROR(__xludf.DUMMYFUNCTION("""COMPUTED_VALUE"""),75176.0)</f>
        <v>75176</v>
      </c>
      <c r="G103" s="2" t="s">
        <v>8</v>
      </c>
    </row>
    <row r="104">
      <c r="A104" s="3">
        <f>IFERROR(__xludf.DUMMYFUNCTION("""COMPUTED_VALUE"""),44708.72916666667)</f>
        <v>44708.72917</v>
      </c>
      <c r="B104" s="1">
        <f>IFERROR(__xludf.DUMMYFUNCTION("""COMPUTED_VALUE"""),60.6)</f>
        <v>60.6</v>
      </c>
      <c r="C104" s="1">
        <f>IFERROR(__xludf.DUMMYFUNCTION("""COMPUTED_VALUE"""),61.5)</f>
        <v>61.5</v>
      </c>
      <c r="D104" s="1">
        <f>IFERROR(__xludf.DUMMYFUNCTION("""COMPUTED_VALUE"""),59.95)</f>
        <v>59.95</v>
      </c>
      <c r="E104" s="1">
        <f>IFERROR(__xludf.DUMMYFUNCTION("""COMPUTED_VALUE"""),60.7)</f>
        <v>60.7</v>
      </c>
      <c r="F104" s="1">
        <f>IFERROR(__xludf.DUMMYFUNCTION("""COMPUTED_VALUE"""),142952.0)</f>
        <v>142952</v>
      </c>
      <c r="G104" s="2" t="s">
        <v>8</v>
      </c>
    </row>
    <row r="105">
      <c r="A105" s="3">
        <f>IFERROR(__xludf.DUMMYFUNCTION("""COMPUTED_VALUE"""),44711.72916666667)</f>
        <v>44711.72917</v>
      </c>
      <c r="B105" s="1">
        <f>IFERROR(__xludf.DUMMYFUNCTION("""COMPUTED_VALUE"""),61.15)</f>
        <v>61.15</v>
      </c>
      <c r="C105" s="1">
        <f>IFERROR(__xludf.DUMMYFUNCTION("""COMPUTED_VALUE"""),62.0)</f>
        <v>62</v>
      </c>
      <c r="D105" s="1">
        <f>IFERROR(__xludf.DUMMYFUNCTION("""COMPUTED_VALUE"""),60.8)</f>
        <v>60.8</v>
      </c>
      <c r="E105" s="1">
        <f>IFERROR(__xludf.DUMMYFUNCTION("""COMPUTED_VALUE"""),61.8)</f>
        <v>61.8</v>
      </c>
      <c r="F105" s="1">
        <f>IFERROR(__xludf.DUMMYFUNCTION("""COMPUTED_VALUE"""),115210.0)</f>
        <v>115210</v>
      </c>
      <c r="G105" s="2" t="s">
        <v>8</v>
      </c>
    </row>
    <row r="106">
      <c r="A106" s="3">
        <f>IFERROR(__xludf.DUMMYFUNCTION("""COMPUTED_VALUE"""),44712.72916666667)</f>
        <v>44712.72917</v>
      </c>
      <c r="B106" s="1">
        <f>IFERROR(__xludf.DUMMYFUNCTION("""COMPUTED_VALUE"""),61.8)</f>
        <v>61.8</v>
      </c>
      <c r="C106" s="1">
        <f>IFERROR(__xludf.DUMMYFUNCTION("""COMPUTED_VALUE"""),62.75)</f>
        <v>62.75</v>
      </c>
      <c r="D106" s="1">
        <f>IFERROR(__xludf.DUMMYFUNCTION("""COMPUTED_VALUE"""),61.4)</f>
        <v>61.4</v>
      </c>
      <c r="E106" s="1">
        <f>IFERROR(__xludf.DUMMYFUNCTION("""COMPUTED_VALUE"""),62.75)</f>
        <v>62.75</v>
      </c>
      <c r="F106" s="1">
        <f>IFERROR(__xludf.DUMMYFUNCTION("""COMPUTED_VALUE"""),646320.0)</f>
        <v>646320</v>
      </c>
      <c r="G106" s="2" t="s">
        <v>8</v>
      </c>
    </row>
    <row r="107">
      <c r="A107" s="3">
        <f>IFERROR(__xludf.DUMMYFUNCTION("""COMPUTED_VALUE"""),44713.72916666667)</f>
        <v>44713.72917</v>
      </c>
      <c r="B107" s="1">
        <f>IFERROR(__xludf.DUMMYFUNCTION("""COMPUTED_VALUE"""),63.15)</f>
        <v>63.15</v>
      </c>
      <c r="C107" s="1">
        <f>IFERROR(__xludf.DUMMYFUNCTION("""COMPUTED_VALUE"""),63.2)</f>
        <v>63.2</v>
      </c>
      <c r="D107" s="1">
        <f>IFERROR(__xludf.DUMMYFUNCTION("""COMPUTED_VALUE"""),61.5)</f>
        <v>61.5</v>
      </c>
      <c r="E107" s="1">
        <f>IFERROR(__xludf.DUMMYFUNCTION("""COMPUTED_VALUE"""),61.55)</f>
        <v>61.55</v>
      </c>
      <c r="F107" s="1">
        <f>IFERROR(__xludf.DUMMYFUNCTION("""COMPUTED_VALUE"""),135193.0)</f>
        <v>135193</v>
      </c>
      <c r="G107" s="2" t="s">
        <v>8</v>
      </c>
    </row>
    <row r="108">
      <c r="A108" s="3">
        <f>IFERROR(__xludf.DUMMYFUNCTION("""COMPUTED_VALUE"""),44714.72916666667)</f>
        <v>44714.72917</v>
      </c>
      <c r="B108" s="1">
        <f>IFERROR(__xludf.DUMMYFUNCTION("""COMPUTED_VALUE"""),62.1)</f>
        <v>62.1</v>
      </c>
      <c r="C108" s="1">
        <f>IFERROR(__xludf.DUMMYFUNCTION("""COMPUTED_VALUE"""),62.1)</f>
        <v>62.1</v>
      </c>
      <c r="D108" s="1">
        <f>IFERROR(__xludf.DUMMYFUNCTION("""COMPUTED_VALUE"""),61.15)</f>
        <v>61.15</v>
      </c>
      <c r="E108" s="1">
        <f>IFERROR(__xludf.DUMMYFUNCTION("""COMPUTED_VALUE"""),61.65)</f>
        <v>61.65</v>
      </c>
      <c r="F108" s="1">
        <f>IFERROR(__xludf.DUMMYFUNCTION("""COMPUTED_VALUE"""),93590.0)</f>
        <v>93590</v>
      </c>
      <c r="G108" s="2" t="s">
        <v>8</v>
      </c>
    </row>
    <row r="109">
      <c r="A109" s="3">
        <f>IFERROR(__xludf.DUMMYFUNCTION("""COMPUTED_VALUE"""),44715.72916666667)</f>
        <v>44715.72917</v>
      </c>
      <c r="B109" s="1">
        <f>IFERROR(__xludf.DUMMYFUNCTION("""COMPUTED_VALUE"""),61.95)</f>
        <v>61.95</v>
      </c>
      <c r="C109" s="1">
        <f>IFERROR(__xludf.DUMMYFUNCTION("""COMPUTED_VALUE"""),61.95)</f>
        <v>61.95</v>
      </c>
      <c r="D109" s="1">
        <f>IFERROR(__xludf.DUMMYFUNCTION("""COMPUTED_VALUE"""),61.2)</f>
        <v>61.2</v>
      </c>
      <c r="E109" s="1">
        <f>IFERROR(__xludf.DUMMYFUNCTION("""COMPUTED_VALUE"""),61.2)</f>
        <v>61.2</v>
      </c>
      <c r="F109" s="1">
        <f>IFERROR(__xludf.DUMMYFUNCTION("""COMPUTED_VALUE"""),64119.0)</f>
        <v>64119</v>
      </c>
      <c r="G109" s="2" t="s">
        <v>8</v>
      </c>
    </row>
    <row r="110">
      <c r="A110" s="3">
        <f>IFERROR(__xludf.DUMMYFUNCTION("""COMPUTED_VALUE"""),44718.72916666667)</f>
        <v>44718.72917</v>
      </c>
      <c r="B110" s="1">
        <f>IFERROR(__xludf.DUMMYFUNCTION("""COMPUTED_VALUE"""),61.5)</f>
        <v>61.5</v>
      </c>
      <c r="C110" s="1">
        <f>IFERROR(__xludf.DUMMYFUNCTION("""COMPUTED_VALUE"""),62.2)</f>
        <v>62.2</v>
      </c>
      <c r="D110" s="1">
        <f>IFERROR(__xludf.DUMMYFUNCTION("""COMPUTED_VALUE"""),61.45)</f>
        <v>61.45</v>
      </c>
      <c r="E110" s="1">
        <f>IFERROR(__xludf.DUMMYFUNCTION("""COMPUTED_VALUE"""),61.8)</f>
        <v>61.8</v>
      </c>
      <c r="F110" s="1">
        <f>IFERROR(__xludf.DUMMYFUNCTION("""COMPUTED_VALUE"""),82853.0)</f>
        <v>82853</v>
      </c>
      <c r="G110" s="2" t="s">
        <v>8</v>
      </c>
    </row>
    <row r="111">
      <c r="A111" s="3">
        <f>IFERROR(__xludf.DUMMYFUNCTION("""COMPUTED_VALUE"""),44719.72916666667)</f>
        <v>44719.72917</v>
      </c>
      <c r="B111" s="1">
        <f>IFERROR(__xludf.DUMMYFUNCTION("""COMPUTED_VALUE"""),61.35)</f>
        <v>61.35</v>
      </c>
      <c r="C111" s="1">
        <f>IFERROR(__xludf.DUMMYFUNCTION("""COMPUTED_VALUE"""),61.5)</f>
        <v>61.5</v>
      </c>
      <c r="D111" s="1">
        <f>IFERROR(__xludf.DUMMYFUNCTION("""COMPUTED_VALUE"""),60.65)</f>
        <v>60.65</v>
      </c>
      <c r="E111" s="1">
        <f>IFERROR(__xludf.DUMMYFUNCTION("""COMPUTED_VALUE"""),61.05)</f>
        <v>61.05</v>
      </c>
      <c r="F111" s="1">
        <f>IFERROR(__xludf.DUMMYFUNCTION("""COMPUTED_VALUE"""),119776.0)</f>
        <v>119776</v>
      </c>
      <c r="G111" s="2" t="s">
        <v>8</v>
      </c>
    </row>
    <row r="112">
      <c r="A112" s="3">
        <f>IFERROR(__xludf.DUMMYFUNCTION("""COMPUTED_VALUE"""),44720.72916666667)</f>
        <v>44720.72917</v>
      </c>
      <c r="B112" s="1">
        <f>IFERROR(__xludf.DUMMYFUNCTION("""COMPUTED_VALUE"""),61.4)</f>
        <v>61.4</v>
      </c>
      <c r="C112" s="1">
        <f>IFERROR(__xludf.DUMMYFUNCTION("""COMPUTED_VALUE"""),61.4)</f>
        <v>61.4</v>
      </c>
      <c r="D112" s="1">
        <f>IFERROR(__xludf.DUMMYFUNCTION("""COMPUTED_VALUE"""),60.25)</f>
        <v>60.25</v>
      </c>
      <c r="E112" s="1">
        <f>IFERROR(__xludf.DUMMYFUNCTION("""COMPUTED_VALUE"""),60.5)</f>
        <v>60.5</v>
      </c>
      <c r="F112" s="1">
        <f>IFERROR(__xludf.DUMMYFUNCTION("""COMPUTED_VALUE"""),84761.0)</f>
        <v>84761</v>
      </c>
      <c r="G112" s="2" t="s">
        <v>8</v>
      </c>
    </row>
    <row r="113">
      <c r="A113" s="3">
        <f>IFERROR(__xludf.DUMMYFUNCTION("""COMPUTED_VALUE"""),44721.72916666667)</f>
        <v>44721.72917</v>
      </c>
      <c r="B113" s="1">
        <f>IFERROR(__xludf.DUMMYFUNCTION("""COMPUTED_VALUE"""),60.6)</f>
        <v>60.6</v>
      </c>
      <c r="C113" s="1">
        <f>IFERROR(__xludf.DUMMYFUNCTION("""COMPUTED_VALUE"""),61.6)</f>
        <v>61.6</v>
      </c>
      <c r="D113" s="1">
        <f>IFERROR(__xludf.DUMMYFUNCTION("""COMPUTED_VALUE"""),60.45)</f>
        <v>60.45</v>
      </c>
      <c r="E113" s="1">
        <f>IFERROR(__xludf.DUMMYFUNCTION("""COMPUTED_VALUE"""),61.05)</f>
        <v>61.05</v>
      </c>
      <c r="F113" s="1">
        <f>IFERROR(__xludf.DUMMYFUNCTION("""COMPUTED_VALUE"""),161387.0)</f>
        <v>161387</v>
      </c>
      <c r="G113" s="2" t="s">
        <v>8</v>
      </c>
    </row>
    <row r="114">
      <c r="A114" s="3">
        <f>IFERROR(__xludf.DUMMYFUNCTION("""COMPUTED_VALUE"""),44722.72916666667)</f>
        <v>44722.72917</v>
      </c>
      <c r="B114" s="1">
        <f>IFERROR(__xludf.DUMMYFUNCTION("""COMPUTED_VALUE"""),60.7)</f>
        <v>60.7</v>
      </c>
      <c r="C114" s="1">
        <f>IFERROR(__xludf.DUMMYFUNCTION("""COMPUTED_VALUE"""),60.7)</f>
        <v>60.7</v>
      </c>
      <c r="D114" s="1">
        <f>IFERROR(__xludf.DUMMYFUNCTION("""COMPUTED_VALUE"""),59.1)</f>
        <v>59.1</v>
      </c>
      <c r="E114" s="1">
        <f>IFERROR(__xludf.DUMMYFUNCTION("""COMPUTED_VALUE"""),59.55)</f>
        <v>59.55</v>
      </c>
      <c r="F114" s="1">
        <f>IFERROR(__xludf.DUMMYFUNCTION("""COMPUTED_VALUE"""),182301.0)</f>
        <v>182301</v>
      </c>
      <c r="G114" s="2" t="s">
        <v>8</v>
      </c>
    </row>
    <row r="115">
      <c r="A115" s="3">
        <f>IFERROR(__xludf.DUMMYFUNCTION("""COMPUTED_VALUE"""),44725.72916666667)</f>
        <v>44725.72917</v>
      </c>
      <c r="B115" s="1">
        <f>IFERROR(__xludf.DUMMYFUNCTION("""COMPUTED_VALUE"""),59.1)</f>
        <v>59.1</v>
      </c>
      <c r="C115" s="1">
        <f>IFERROR(__xludf.DUMMYFUNCTION("""COMPUTED_VALUE"""),59.5)</f>
        <v>59.5</v>
      </c>
      <c r="D115" s="1">
        <f>IFERROR(__xludf.DUMMYFUNCTION("""COMPUTED_VALUE"""),58.5)</f>
        <v>58.5</v>
      </c>
      <c r="E115" s="1">
        <f>IFERROR(__xludf.DUMMYFUNCTION("""COMPUTED_VALUE"""),59.35)</f>
        <v>59.35</v>
      </c>
      <c r="F115" s="1">
        <f>IFERROR(__xludf.DUMMYFUNCTION("""COMPUTED_VALUE"""),176189.0)</f>
        <v>176189</v>
      </c>
      <c r="G115" s="2" t="s">
        <v>8</v>
      </c>
    </row>
    <row r="116">
      <c r="A116" s="3">
        <f>IFERROR(__xludf.DUMMYFUNCTION("""COMPUTED_VALUE"""),44726.72916666667)</f>
        <v>44726.72917</v>
      </c>
      <c r="B116" s="1">
        <f>IFERROR(__xludf.DUMMYFUNCTION("""COMPUTED_VALUE"""),59.55)</f>
        <v>59.55</v>
      </c>
      <c r="C116" s="1">
        <f>IFERROR(__xludf.DUMMYFUNCTION("""COMPUTED_VALUE"""),60.3)</f>
        <v>60.3</v>
      </c>
      <c r="D116" s="1">
        <f>IFERROR(__xludf.DUMMYFUNCTION("""COMPUTED_VALUE"""),58.45)</f>
        <v>58.45</v>
      </c>
      <c r="E116" s="1">
        <f>IFERROR(__xludf.DUMMYFUNCTION("""COMPUTED_VALUE"""),58.45)</f>
        <v>58.45</v>
      </c>
      <c r="F116" s="1">
        <f>IFERROR(__xludf.DUMMYFUNCTION("""COMPUTED_VALUE"""),122631.0)</f>
        <v>122631</v>
      </c>
      <c r="G116" s="2" t="s">
        <v>8</v>
      </c>
    </row>
    <row r="117">
      <c r="A117" s="3">
        <f>IFERROR(__xludf.DUMMYFUNCTION("""COMPUTED_VALUE"""),44727.72916666667)</f>
        <v>44727.72917</v>
      </c>
      <c r="B117" s="1">
        <f>IFERROR(__xludf.DUMMYFUNCTION("""COMPUTED_VALUE"""),58.95)</f>
        <v>58.95</v>
      </c>
      <c r="C117" s="1">
        <f>IFERROR(__xludf.DUMMYFUNCTION("""COMPUTED_VALUE"""),59.5)</f>
        <v>59.5</v>
      </c>
      <c r="D117" s="1">
        <f>IFERROR(__xludf.DUMMYFUNCTION("""COMPUTED_VALUE"""),58.7)</f>
        <v>58.7</v>
      </c>
      <c r="E117" s="1">
        <f>IFERROR(__xludf.DUMMYFUNCTION("""COMPUTED_VALUE"""),59.0)</f>
        <v>59</v>
      </c>
      <c r="F117" s="1">
        <f>IFERROR(__xludf.DUMMYFUNCTION("""COMPUTED_VALUE"""),104471.0)</f>
        <v>104471</v>
      </c>
      <c r="G117" s="2" t="s">
        <v>8</v>
      </c>
    </row>
    <row r="118">
      <c r="A118" s="3">
        <f>IFERROR(__xludf.DUMMYFUNCTION("""COMPUTED_VALUE"""),44728.72916666667)</f>
        <v>44728.72917</v>
      </c>
      <c r="B118" s="1">
        <f>IFERROR(__xludf.DUMMYFUNCTION("""COMPUTED_VALUE"""),58.4)</f>
        <v>58.4</v>
      </c>
      <c r="C118" s="1">
        <f>IFERROR(__xludf.DUMMYFUNCTION("""COMPUTED_VALUE"""),58.6)</f>
        <v>58.6</v>
      </c>
      <c r="D118" s="1">
        <f>IFERROR(__xludf.DUMMYFUNCTION("""COMPUTED_VALUE"""),57.1)</f>
        <v>57.1</v>
      </c>
      <c r="E118" s="1">
        <f>IFERROR(__xludf.DUMMYFUNCTION("""COMPUTED_VALUE"""),57.1)</f>
        <v>57.1</v>
      </c>
      <c r="F118" s="1">
        <f>IFERROR(__xludf.DUMMYFUNCTION("""COMPUTED_VALUE"""),96260.0)</f>
        <v>96260</v>
      </c>
      <c r="G118" s="2" t="s">
        <v>8</v>
      </c>
    </row>
    <row r="119">
      <c r="A119" s="3">
        <f>IFERROR(__xludf.DUMMYFUNCTION("""COMPUTED_VALUE"""),44729.72916666667)</f>
        <v>44729.72917</v>
      </c>
      <c r="B119" s="1">
        <f>IFERROR(__xludf.DUMMYFUNCTION("""COMPUTED_VALUE"""),57.1)</f>
        <v>57.1</v>
      </c>
      <c r="C119" s="1">
        <f>IFERROR(__xludf.DUMMYFUNCTION("""COMPUTED_VALUE"""),57.95)</f>
        <v>57.95</v>
      </c>
      <c r="D119" s="1">
        <f>IFERROR(__xludf.DUMMYFUNCTION("""COMPUTED_VALUE"""),56.85)</f>
        <v>56.85</v>
      </c>
      <c r="E119" s="1">
        <f>IFERROR(__xludf.DUMMYFUNCTION("""COMPUTED_VALUE"""),57.05)</f>
        <v>57.05</v>
      </c>
      <c r="F119" s="1">
        <f>IFERROR(__xludf.DUMMYFUNCTION("""COMPUTED_VALUE"""),277482.0)</f>
        <v>277482</v>
      </c>
      <c r="G119" s="2" t="s">
        <v>8</v>
      </c>
    </row>
    <row r="120">
      <c r="A120" s="3">
        <f>IFERROR(__xludf.DUMMYFUNCTION("""COMPUTED_VALUE"""),44732.72916666667)</f>
        <v>44732.72917</v>
      </c>
      <c r="B120" s="1">
        <f>IFERROR(__xludf.DUMMYFUNCTION("""COMPUTED_VALUE"""),57.15)</f>
        <v>57.15</v>
      </c>
      <c r="C120" s="1">
        <f>IFERROR(__xludf.DUMMYFUNCTION("""COMPUTED_VALUE"""),59.4)</f>
        <v>59.4</v>
      </c>
      <c r="D120" s="1">
        <f>IFERROR(__xludf.DUMMYFUNCTION("""COMPUTED_VALUE"""),57.15)</f>
        <v>57.15</v>
      </c>
      <c r="E120" s="1">
        <f>IFERROR(__xludf.DUMMYFUNCTION("""COMPUTED_VALUE"""),59.0)</f>
        <v>59</v>
      </c>
      <c r="F120" s="1">
        <f>IFERROR(__xludf.DUMMYFUNCTION("""COMPUTED_VALUE"""),128886.0)</f>
        <v>128886</v>
      </c>
      <c r="G120" s="2" t="s">
        <v>8</v>
      </c>
    </row>
    <row r="121">
      <c r="A121" s="3">
        <f>IFERROR(__xludf.DUMMYFUNCTION("""COMPUTED_VALUE"""),44733.72916666667)</f>
        <v>44733.72917</v>
      </c>
      <c r="B121" s="1">
        <f>IFERROR(__xludf.DUMMYFUNCTION("""COMPUTED_VALUE"""),59.1)</f>
        <v>59.1</v>
      </c>
      <c r="C121" s="1">
        <f>IFERROR(__xludf.DUMMYFUNCTION("""COMPUTED_VALUE"""),59.65)</f>
        <v>59.65</v>
      </c>
      <c r="D121" s="1">
        <f>IFERROR(__xludf.DUMMYFUNCTION("""COMPUTED_VALUE"""),58.85)</f>
        <v>58.85</v>
      </c>
      <c r="E121" s="1">
        <f>IFERROR(__xludf.DUMMYFUNCTION("""COMPUTED_VALUE"""),59.15)</f>
        <v>59.15</v>
      </c>
      <c r="F121" s="1">
        <f>IFERROR(__xludf.DUMMYFUNCTION("""COMPUTED_VALUE"""),94308.0)</f>
        <v>94308</v>
      </c>
      <c r="G121" s="2" t="s">
        <v>8</v>
      </c>
    </row>
    <row r="122">
      <c r="A122" s="3">
        <f>IFERROR(__xludf.DUMMYFUNCTION("""COMPUTED_VALUE"""),44734.72916666667)</f>
        <v>44734.72917</v>
      </c>
      <c r="B122" s="1">
        <f>IFERROR(__xludf.DUMMYFUNCTION("""COMPUTED_VALUE"""),58.6)</f>
        <v>58.6</v>
      </c>
      <c r="C122" s="1">
        <f>IFERROR(__xludf.DUMMYFUNCTION("""COMPUTED_VALUE"""),59.1)</f>
        <v>59.1</v>
      </c>
      <c r="D122" s="1">
        <f>IFERROR(__xludf.DUMMYFUNCTION("""COMPUTED_VALUE"""),58.25)</f>
        <v>58.25</v>
      </c>
      <c r="E122" s="1">
        <f>IFERROR(__xludf.DUMMYFUNCTION("""COMPUTED_VALUE"""),58.9)</f>
        <v>58.9</v>
      </c>
      <c r="F122" s="1">
        <f>IFERROR(__xludf.DUMMYFUNCTION("""COMPUTED_VALUE"""),108064.0)</f>
        <v>108064</v>
      </c>
      <c r="G122" s="2" t="s">
        <v>8</v>
      </c>
    </row>
    <row r="123">
      <c r="A123" s="3">
        <f>IFERROR(__xludf.DUMMYFUNCTION("""COMPUTED_VALUE"""),44735.72916666667)</f>
        <v>44735.72917</v>
      </c>
      <c r="B123" s="1">
        <f>IFERROR(__xludf.DUMMYFUNCTION("""COMPUTED_VALUE"""),58.85)</f>
        <v>58.85</v>
      </c>
      <c r="C123" s="1">
        <f>IFERROR(__xludf.DUMMYFUNCTION("""COMPUTED_VALUE"""),58.9)</f>
        <v>58.9</v>
      </c>
      <c r="D123" s="1">
        <f>IFERROR(__xludf.DUMMYFUNCTION("""COMPUTED_VALUE"""),58.0)</f>
        <v>58</v>
      </c>
      <c r="E123" s="1">
        <f>IFERROR(__xludf.DUMMYFUNCTION("""COMPUTED_VALUE"""),58.45)</f>
        <v>58.45</v>
      </c>
      <c r="F123" s="1">
        <f>IFERROR(__xludf.DUMMYFUNCTION("""COMPUTED_VALUE"""),96615.0)</f>
        <v>96615</v>
      </c>
      <c r="G123" s="2" t="s">
        <v>8</v>
      </c>
    </row>
    <row r="124">
      <c r="A124" s="3">
        <f>IFERROR(__xludf.DUMMYFUNCTION("""COMPUTED_VALUE"""),44736.72916666667)</f>
        <v>44736.72917</v>
      </c>
      <c r="B124" s="1">
        <f>IFERROR(__xludf.DUMMYFUNCTION("""COMPUTED_VALUE"""),58.3)</f>
        <v>58.3</v>
      </c>
      <c r="C124" s="1">
        <f>IFERROR(__xludf.DUMMYFUNCTION("""COMPUTED_VALUE"""),59.3)</f>
        <v>59.3</v>
      </c>
      <c r="D124" s="1">
        <f>IFERROR(__xludf.DUMMYFUNCTION("""COMPUTED_VALUE"""),58.3)</f>
        <v>58.3</v>
      </c>
      <c r="E124" s="1">
        <f>IFERROR(__xludf.DUMMYFUNCTION("""COMPUTED_VALUE"""),59.05)</f>
        <v>59.05</v>
      </c>
      <c r="F124" s="1">
        <f>IFERROR(__xludf.DUMMYFUNCTION("""COMPUTED_VALUE"""),101131.0)</f>
        <v>101131</v>
      </c>
      <c r="G124" s="2" t="s">
        <v>8</v>
      </c>
    </row>
    <row r="125">
      <c r="A125" s="3">
        <f>IFERROR(__xludf.DUMMYFUNCTION("""COMPUTED_VALUE"""),44739.72916666667)</f>
        <v>44739.72917</v>
      </c>
      <c r="B125" s="1">
        <f>IFERROR(__xludf.DUMMYFUNCTION("""COMPUTED_VALUE"""),59.5)</f>
        <v>59.5</v>
      </c>
      <c r="C125" s="1">
        <f>IFERROR(__xludf.DUMMYFUNCTION("""COMPUTED_VALUE"""),60.0)</f>
        <v>60</v>
      </c>
      <c r="D125" s="1">
        <f>IFERROR(__xludf.DUMMYFUNCTION("""COMPUTED_VALUE"""),59.3)</f>
        <v>59.3</v>
      </c>
      <c r="E125" s="1">
        <f>IFERROR(__xludf.DUMMYFUNCTION("""COMPUTED_VALUE"""),59.85)</f>
        <v>59.85</v>
      </c>
      <c r="F125" s="1">
        <f>IFERROR(__xludf.DUMMYFUNCTION("""COMPUTED_VALUE"""),82386.0)</f>
        <v>82386</v>
      </c>
      <c r="G125" s="2" t="s">
        <v>8</v>
      </c>
    </row>
    <row r="126">
      <c r="A126" s="3">
        <f>IFERROR(__xludf.DUMMYFUNCTION("""COMPUTED_VALUE"""),44740.72916666667)</f>
        <v>44740.72917</v>
      </c>
      <c r="B126" s="1">
        <f>IFERROR(__xludf.DUMMYFUNCTION("""COMPUTED_VALUE"""),58.95)</f>
        <v>58.95</v>
      </c>
      <c r="C126" s="1">
        <f>IFERROR(__xludf.DUMMYFUNCTION("""COMPUTED_VALUE"""),60.1)</f>
        <v>60.1</v>
      </c>
      <c r="D126" s="1">
        <f>IFERROR(__xludf.DUMMYFUNCTION("""COMPUTED_VALUE"""),58.9)</f>
        <v>58.9</v>
      </c>
      <c r="E126" s="1">
        <f>IFERROR(__xludf.DUMMYFUNCTION("""COMPUTED_VALUE"""),59.25)</f>
        <v>59.25</v>
      </c>
      <c r="F126" s="1">
        <f>IFERROR(__xludf.DUMMYFUNCTION("""COMPUTED_VALUE"""),145657.0)</f>
        <v>145657</v>
      </c>
      <c r="G126" s="2" t="s">
        <v>8</v>
      </c>
    </row>
    <row r="127">
      <c r="A127" s="3">
        <f>IFERROR(__xludf.DUMMYFUNCTION("""COMPUTED_VALUE"""),44741.72916666667)</f>
        <v>44741.72917</v>
      </c>
      <c r="B127" s="1">
        <f>IFERROR(__xludf.DUMMYFUNCTION("""COMPUTED_VALUE"""),58.55)</f>
        <v>58.55</v>
      </c>
      <c r="C127" s="1">
        <f>IFERROR(__xludf.DUMMYFUNCTION("""COMPUTED_VALUE"""),59.45)</f>
        <v>59.45</v>
      </c>
      <c r="D127" s="1">
        <f>IFERROR(__xludf.DUMMYFUNCTION("""COMPUTED_VALUE"""),58.3)</f>
        <v>58.3</v>
      </c>
      <c r="E127" s="1">
        <f>IFERROR(__xludf.DUMMYFUNCTION("""COMPUTED_VALUE"""),59.35)</f>
        <v>59.35</v>
      </c>
      <c r="F127" s="1">
        <f>IFERROR(__xludf.DUMMYFUNCTION("""COMPUTED_VALUE"""),119250.0)</f>
        <v>119250</v>
      </c>
      <c r="G127" s="2" t="s">
        <v>8</v>
      </c>
    </row>
    <row r="128">
      <c r="A128" s="3">
        <f>IFERROR(__xludf.DUMMYFUNCTION("""COMPUTED_VALUE"""),44742.72916666667)</f>
        <v>44742.72917</v>
      </c>
      <c r="B128" s="1">
        <f>IFERROR(__xludf.DUMMYFUNCTION("""COMPUTED_VALUE"""),58.5)</f>
        <v>58.5</v>
      </c>
      <c r="C128" s="1">
        <f>IFERROR(__xludf.DUMMYFUNCTION("""COMPUTED_VALUE"""),58.5)</f>
        <v>58.5</v>
      </c>
      <c r="D128" s="1">
        <f>IFERROR(__xludf.DUMMYFUNCTION("""COMPUTED_VALUE"""),57.85)</f>
        <v>57.85</v>
      </c>
      <c r="E128" s="1">
        <f>IFERROR(__xludf.DUMMYFUNCTION("""COMPUTED_VALUE"""),58.4)</f>
        <v>58.4</v>
      </c>
      <c r="F128" s="1">
        <f>IFERROR(__xludf.DUMMYFUNCTION("""COMPUTED_VALUE"""),167996.0)</f>
        <v>167996</v>
      </c>
      <c r="G128" s="2" t="s">
        <v>8</v>
      </c>
    </row>
    <row r="129">
      <c r="A129" s="3">
        <f>IFERROR(__xludf.DUMMYFUNCTION("""COMPUTED_VALUE"""),44743.72916666667)</f>
        <v>44743.72917</v>
      </c>
      <c r="B129" s="1">
        <f>IFERROR(__xludf.DUMMYFUNCTION("""COMPUTED_VALUE"""),58.0)</f>
        <v>58</v>
      </c>
      <c r="C129" s="1">
        <f>IFERROR(__xludf.DUMMYFUNCTION("""COMPUTED_VALUE"""),58.95)</f>
        <v>58.95</v>
      </c>
      <c r="D129" s="1">
        <f>IFERROR(__xludf.DUMMYFUNCTION("""COMPUTED_VALUE"""),58.0)</f>
        <v>58</v>
      </c>
      <c r="E129" s="1">
        <f>IFERROR(__xludf.DUMMYFUNCTION("""COMPUTED_VALUE"""),58.9)</f>
        <v>58.9</v>
      </c>
      <c r="F129" s="1">
        <f>IFERROR(__xludf.DUMMYFUNCTION("""COMPUTED_VALUE"""),77458.0)</f>
        <v>77458</v>
      </c>
      <c r="G129" s="2" t="s">
        <v>8</v>
      </c>
    </row>
    <row r="130">
      <c r="A130" s="3">
        <f>IFERROR(__xludf.DUMMYFUNCTION("""COMPUTED_VALUE"""),44746.72916666667)</f>
        <v>44746.72917</v>
      </c>
      <c r="B130" s="1">
        <f>IFERROR(__xludf.DUMMYFUNCTION("""COMPUTED_VALUE"""),59.3)</f>
        <v>59.3</v>
      </c>
      <c r="C130" s="1">
        <f>IFERROR(__xludf.DUMMYFUNCTION("""COMPUTED_VALUE"""),60.05)</f>
        <v>60.05</v>
      </c>
      <c r="D130" s="1">
        <f>IFERROR(__xludf.DUMMYFUNCTION("""COMPUTED_VALUE"""),59.15)</f>
        <v>59.15</v>
      </c>
      <c r="E130" s="1">
        <f>IFERROR(__xludf.DUMMYFUNCTION("""COMPUTED_VALUE"""),59.45)</f>
        <v>59.45</v>
      </c>
      <c r="F130" s="1">
        <f>IFERROR(__xludf.DUMMYFUNCTION("""COMPUTED_VALUE"""),66757.0)</f>
        <v>66757</v>
      </c>
      <c r="G130" s="2" t="s">
        <v>8</v>
      </c>
    </row>
    <row r="131">
      <c r="A131" s="3">
        <f>IFERROR(__xludf.DUMMYFUNCTION("""COMPUTED_VALUE"""),44747.72916666667)</f>
        <v>44747.72917</v>
      </c>
      <c r="B131" s="1">
        <f>IFERROR(__xludf.DUMMYFUNCTION("""COMPUTED_VALUE"""),59.25)</f>
        <v>59.25</v>
      </c>
      <c r="C131" s="1">
        <f>IFERROR(__xludf.DUMMYFUNCTION("""COMPUTED_VALUE"""),60.15)</f>
        <v>60.15</v>
      </c>
      <c r="D131" s="1">
        <f>IFERROR(__xludf.DUMMYFUNCTION("""COMPUTED_VALUE"""),59.1)</f>
        <v>59.1</v>
      </c>
      <c r="E131" s="1">
        <f>IFERROR(__xludf.DUMMYFUNCTION("""COMPUTED_VALUE"""),59.25)</f>
        <v>59.25</v>
      </c>
      <c r="F131" s="1">
        <f>IFERROR(__xludf.DUMMYFUNCTION("""COMPUTED_VALUE"""),104656.0)</f>
        <v>104656</v>
      </c>
      <c r="G131" s="2" t="s">
        <v>8</v>
      </c>
    </row>
    <row r="132">
      <c r="A132" s="3">
        <f>IFERROR(__xludf.DUMMYFUNCTION("""COMPUTED_VALUE"""),44748.72916666667)</f>
        <v>44748.72917</v>
      </c>
      <c r="B132" s="1">
        <f>IFERROR(__xludf.DUMMYFUNCTION("""COMPUTED_VALUE"""),59.85)</f>
        <v>59.85</v>
      </c>
      <c r="C132" s="1">
        <f>IFERROR(__xludf.DUMMYFUNCTION("""COMPUTED_VALUE"""),60.8)</f>
        <v>60.8</v>
      </c>
      <c r="D132" s="1">
        <f>IFERROR(__xludf.DUMMYFUNCTION("""COMPUTED_VALUE"""),59.65)</f>
        <v>59.65</v>
      </c>
      <c r="E132" s="1">
        <f>IFERROR(__xludf.DUMMYFUNCTION("""COMPUTED_VALUE"""),60.45)</f>
        <v>60.45</v>
      </c>
      <c r="F132" s="1">
        <f>IFERROR(__xludf.DUMMYFUNCTION("""COMPUTED_VALUE"""),104506.0)</f>
        <v>104506</v>
      </c>
      <c r="G132" s="2" t="s">
        <v>8</v>
      </c>
    </row>
    <row r="133">
      <c r="A133" s="3">
        <f>IFERROR(__xludf.DUMMYFUNCTION("""COMPUTED_VALUE"""),44749.72916666667)</f>
        <v>44749.72917</v>
      </c>
      <c r="B133" s="1">
        <f>IFERROR(__xludf.DUMMYFUNCTION("""COMPUTED_VALUE"""),60.6)</f>
        <v>60.6</v>
      </c>
      <c r="C133" s="1">
        <f>IFERROR(__xludf.DUMMYFUNCTION("""COMPUTED_VALUE"""),60.7)</f>
        <v>60.7</v>
      </c>
      <c r="D133" s="1">
        <f>IFERROR(__xludf.DUMMYFUNCTION("""COMPUTED_VALUE"""),59.6)</f>
        <v>59.6</v>
      </c>
      <c r="E133" s="1">
        <f>IFERROR(__xludf.DUMMYFUNCTION("""COMPUTED_VALUE"""),60.3)</f>
        <v>60.3</v>
      </c>
      <c r="F133" s="1">
        <f>IFERROR(__xludf.DUMMYFUNCTION("""COMPUTED_VALUE"""),65589.0)</f>
        <v>65589</v>
      </c>
      <c r="G133" s="2" t="s">
        <v>8</v>
      </c>
    </row>
    <row r="134">
      <c r="A134" s="3">
        <f>IFERROR(__xludf.DUMMYFUNCTION("""COMPUTED_VALUE"""),44750.72916666667)</f>
        <v>44750.72917</v>
      </c>
      <c r="B134" s="1">
        <f>IFERROR(__xludf.DUMMYFUNCTION("""COMPUTED_VALUE"""),60.15)</f>
        <v>60.15</v>
      </c>
      <c r="C134" s="1">
        <f>IFERROR(__xludf.DUMMYFUNCTION("""COMPUTED_VALUE"""),60.85)</f>
        <v>60.85</v>
      </c>
      <c r="D134" s="1">
        <f>IFERROR(__xludf.DUMMYFUNCTION("""COMPUTED_VALUE"""),59.75)</f>
        <v>59.75</v>
      </c>
      <c r="E134" s="1">
        <f>IFERROR(__xludf.DUMMYFUNCTION("""COMPUTED_VALUE"""),60.75)</f>
        <v>60.75</v>
      </c>
      <c r="F134" s="1">
        <f>IFERROR(__xludf.DUMMYFUNCTION("""COMPUTED_VALUE"""),106031.0)</f>
        <v>106031</v>
      </c>
      <c r="G134" s="2" t="s">
        <v>8</v>
      </c>
    </row>
    <row r="135">
      <c r="A135" s="3">
        <f>IFERROR(__xludf.DUMMYFUNCTION("""COMPUTED_VALUE"""),44753.72916666667)</f>
        <v>44753.72917</v>
      </c>
      <c r="B135" s="1">
        <f>IFERROR(__xludf.DUMMYFUNCTION("""COMPUTED_VALUE"""),59.9)</f>
        <v>59.9</v>
      </c>
      <c r="C135" s="1">
        <f>IFERROR(__xludf.DUMMYFUNCTION("""COMPUTED_VALUE"""),61.25)</f>
        <v>61.25</v>
      </c>
      <c r="D135" s="1">
        <f>IFERROR(__xludf.DUMMYFUNCTION("""COMPUTED_VALUE"""),59.9)</f>
        <v>59.9</v>
      </c>
      <c r="E135" s="1">
        <f>IFERROR(__xludf.DUMMYFUNCTION("""COMPUTED_VALUE"""),60.45)</f>
        <v>60.45</v>
      </c>
      <c r="F135" s="1">
        <f>IFERROR(__xludf.DUMMYFUNCTION("""COMPUTED_VALUE"""),75377.0)</f>
        <v>75377</v>
      </c>
      <c r="G135" s="2" t="s">
        <v>8</v>
      </c>
    </row>
    <row r="136">
      <c r="A136" s="3">
        <f>IFERROR(__xludf.DUMMYFUNCTION("""COMPUTED_VALUE"""),44754.72916666667)</f>
        <v>44754.72917</v>
      </c>
      <c r="B136" s="1">
        <f>IFERROR(__xludf.DUMMYFUNCTION("""COMPUTED_VALUE"""),60.15)</f>
        <v>60.15</v>
      </c>
      <c r="C136" s="1">
        <f>IFERROR(__xludf.DUMMYFUNCTION("""COMPUTED_VALUE"""),60.7)</f>
        <v>60.7</v>
      </c>
      <c r="D136" s="1">
        <f>IFERROR(__xludf.DUMMYFUNCTION("""COMPUTED_VALUE"""),59.9)</f>
        <v>59.9</v>
      </c>
      <c r="E136" s="1">
        <f>IFERROR(__xludf.DUMMYFUNCTION("""COMPUTED_VALUE"""),60.7)</f>
        <v>60.7</v>
      </c>
      <c r="F136" s="1">
        <f>IFERROR(__xludf.DUMMYFUNCTION("""COMPUTED_VALUE"""),73098.0)</f>
        <v>73098</v>
      </c>
      <c r="G136" s="2" t="s">
        <v>8</v>
      </c>
    </row>
    <row r="137">
      <c r="A137" s="3">
        <f>IFERROR(__xludf.DUMMYFUNCTION("""COMPUTED_VALUE"""),44755.72916666667)</f>
        <v>44755.72917</v>
      </c>
      <c r="B137" s="1">
        <f>IFERROR(__xludf.DUMMYFUNCTION("""COMPUTED_VALUE"""),60.85)</f>
        <v>60.85</v>
      </c>
      <c r="C137" s="1">
        <f>IFERROR(__xludf.DUMMYFUNCTION("""COMPUTED_VALUE"""),61.3)</f>
        <v>61.3</v>
      </c>
      <c r="D137" s="1">
        <f>IFERROR(__xludf.DUMMYFUNCTION("""COMPUTED_VALUE"""),60.15)</f>
        <v>60.15</v>
      </c>
      <c r="E137" s="1">
        <f>IFERROR(__xludf.DUMMYFUNCTION("""COMPUTED_VALUE"""),61.25)</f>
        <v>61.25</v>
      </c>
      <c r="F137" s="1">
        <f>IFERROR(__xludf.DUMMYFUNCTION("""COMPUTED_VALUE"""),90417.0)</f>
        <v>90417</v>
      </c>
      <c r="G137" s="2" t="s">
        <v>8</v>
      </c>
    </row>
    <row r="138">
      <c r="A138" s="3">
        <f>IFERROR(__xludf.DUMMYFUNCTION("""COMPUTED_VALUE"""),44756.72916666667)</f>
        <v>44756.72917</v>
      </c>
      <c r="B138" s="1">
        <f>IFERROR(__xludf.DUMMYFUNCTION("""COMPUTED_VALUE"""),61.15)</f>
        <v>61.15</v>
      </c>
      <c r="C138" s="1">
        <f>IFERROR(__xludf.DUMMYFUNCTION("""COMPUTED_VALUE"""),61.15)</f>
        <v>61.15</v>
      </c>
      <c r="D138" s="1">
        <f>IFERROR(__xludf.DUMMYFUNCTION("""COMPUTED_VALUE"""),59.8)</f>
        <v>59.8</v>
      </c>
      <c r="E138" s="1">
        <f>IFERROR(__xludf.DUMMYFUNCTION("""COMPUTED_VALUE"""),60.1)</f>
        <v>60.1</v>
      </c>
      <c r="F138" s="1">
        <f>IFERROR(__xludf.DUMMYFUNCTION("""COMPUTED_VALUE"""),91613.0)</f>
        <v>91613</v>
      </c>
      <c r="G138" s="2" t="s">
        <v>8</v>
      </c>
    </row>
    <row r="139">
      <c r="A139" s="3">
        <f>IFERROR(__xludf.DUMMYFUNCTION("""COMPUTED_VALUE"""),44757.72916666667)</f>
        <v>44757.72917</v>
      </c>
      <c r="B139" s="1">
        <f>IFERROR(__xludf.DUMMYFUNCTION("""COMPUTED_VALUE"""),60.2)</f>
        <v>60.2</v>
      </c>
      <c r="C139" s="1">
        <f>IFERROR(__xludf.DUMMYFUNCTION("""COMPUTED_VALUE"""),61.1)</f>
        <v>61.1</v>
      </c>
      <c r="D139" s="1">
        <f>IFERROR(__xludf.DUMMYFUNCTION("""COMPUTED_VALUE"""),60.15)</f>
        <v>60.15</v>
      </c>
      <c r="E139" s="1">
        <f>IFERROR(__xludf.DUMMYFUNCTION("""COMPUTED_VALUE"""),60.55)</f>
        <v>60.55</v>
      </c>
      <c r="F139" s="1">
        <f>IFERROR(__xludf.DUMMYFUNCTION("""COMPUTED_VALUE"""),72397.0)</f>
        <v>72397</v>
      </c>
      <c r="G139" s="2" t="s">
        <v>8</v>
      </c>
    </row>
    <row r="140">
      <c r="A140" s="3">
        <f>IFERROR(__xludf.DUMMYFUNCTION("""COMPUTED_VALUE"""),44760.72916666667)</f>
        <v>44760.72917</v>
      </c>
      <c r="B140" s="1">
        <f>IFERROR(__xludf.DUMMYFUNCTION("""COMPUTED_VALUE"""),60.95)</f>
        <v>60.95</v>
      </c>
      <c r="C140" s="1">
        <f>IFERROR(__xludf.DUMMYFUNCTION("""COMPUTED_VALUE"""),61.35)</f>
        <v>61.35</v>
      </c>
      <c r="D140" s="1">
        <f>IFERROR(__xludf.DUMMYFUNCTION("""COMPUTED_VALUE"""),60.6)</f>
        <v>60.6</v>
      </c>
      <c r="E140" s="1">
        <f>IFERROR(__xludf.DUMMYFUNCTION("""COMPUTED_VALUE"""),60.9)</f>
        <v>60.9</v>
      </c>
      <c r="F140" s="1">
        <f>IFERROR(__xludf.DUMMYFUNCTION("""COMPUTED_VALUE"""),79655.0)</f>
        <v>79655</v>
      </c>
      <c r="G140" s="2" t="s">
        <v>8</v>
      </c>
    </row>
    <row r="141">
      <c r="A141" s="3">
        <f>IFERROR(__xludf.DUMMYFUNCTION("""COMPUTED_VALUE"""),44761.72916666667)</f>
        <v>44761.72917</v>
      </c>
      <c r="B141" s="1">
        <f>IFERROR(__xludf.DUMMYFUNCTION("""COMPUTED_VALUE"""),60.35)</f>
        <v>60.35</v>
      </c>
      <c r="C141" s="1">
        <f>IFERROR(__xludf.DUMMYFUNCTION("""COMPUTED_VALUE"""),61.5)</f>
        <v>61.5</v>
      </c>
      <c r="D141" s="1">
        <f>IFERROR(__xludf.DUMMYFUNCTION("""COMPUTED_VALUE"""),60.0)</f>
        <v>60</v>
      </c>
      <c r="E141" s="1">
        <f>IFERROR(__xludf.DUMMYFUNCTION("""COMPUTED_VALUE"""),61.3)</f>
        <v>61.3</v>
      </c>
      <c r="F141" s="1">
        <f>IFERROR(__xludf.DUMMYFUNCTION("""COMPUTED_VALUE"""),106301.0)</f>
        <v>106301</v>
      </c>
      <c r="G141" s="2" t="s">
        <v>8</v>
      </c>
    </row>
    <row r="142">
      <c r="A142" s="3">
        <f>IFERROR(__xludf.DUMMYFUNCTION("""COMPUTED_VALUE"""),44762.72916666667)</f>
        <v>44762.72917</v>
      </c>
      <c r="B142" s="1">
        <f>IFERROR(__xludf.DUMMYFUNCTION("""COMPUTED_VALUE"""),61.45)</f>
        <v>61.45</v>
      </c>
      <c r="C142" s="1">
        <f>IFERROR(__xludf.DUMMYFUNCTION("""COMPUTED_VALUE"""),61.65)</f>
        <v>61.65</v>
      </c>
      <c r="D142" s="1">
        <f>IFERROR(__xludf.DUMMYFUNCTION("""COMPUTED_VALUE"""),60.0)</f>
        <v>60</v>
      </c>
      <c r="E142" s="1">
        <f>IFERROR(__xludf.DUMMYFUNCTION("""COMPUTED_VALUE"""),60.45)</f>
        <v>60.45</v>
      </c>
      <c r="F142" s="1">
        <f>IFERROR(__xludf.DUMMYFUNCTION("""COMPUTED_VALUE"""),88588.0)</f>
        <v>88588</v>
      </c>
      <c r="G142" s="2" t="s">
        <v>8</v>
      </c>
    </row>
    <row r="143">
      <c r="A143" s="3">
        <f>IFERROR(__xludf.DUMMYFUNCTION("""COMPUTED_VALUE"""),44763.72916666667)</f>
        <v>44763.72917</v>
      </c>
      <c r="B143" s="1">
        <f>IFERROR(__xludf.DUMMYFUNCTION("""COMPUTED_VALUE"""),60.5)</f>
        <v>60.5</v>
      </c>
      <c r="C143" s="1">
        <f>IFERROR(__xludf.DUMMYFUNCTION("""COMPUTED_VALUE"""),61.1)</f>
        <v>61.1</v>
      </c>
      <c r="D143" s="1">
        <f>IFERROR(__xludf.DUMMYFUNCTION("""COMPUTED_VALUE"""),59.8)</f>
        <v>59.8</v>
      </c>
      <c r="E143" s="1">
        <f>IFERROR(__xludf.DUMMYFUNCTION("""COMPUTED_VALUE"""),60.9)</f>
        <v>60.9</v>
      </c>
      <c r="F143" s="1">
        <f>IFERROR(__xludf.DUMMYFUNCTION("""COMPUTED_VALUE"""),102573.0)</f>
        <v>102573</v>
      </c>
      <c r="G143" s="2" t="s">
        <v>8</v>
      </c>
    </row>
    <row r="144">
      <c r="A144" s="3">
        <f>IFERROR(__xludf.DUMMYFUNCTION("""COMPUTED_VALUE"""),44764.72916666667)</f>
        <v>44764.72917</v>
      </c>
      <c r="B144" s="1">
        <f>IFERROR(__xludf.DUMMYFUNCTION("""COMPUTED_VALUE"""),60.6)</f>
        <v>60.6</v>
      </c>
      <c r="C144" s="1">
        <f>IFERROR(__xludf.DUMMYFUNCTION("""COMPUTED_VALUE"""),60.85)</f>
        <v>60.85</v>
      </c>
      <c r="D144" s="1">
        <f>IFERROR(__xludf.DUMMYFUNCTION("""COMPUTED_VALUE"""),59.7)</f>
        <v>59.7</v>
      </c>
      <c r="E144" s="1">
        <f>IFERROR(__xludf.DUMMYFUNCTION("""COMPUTED_VALUE"""),60.7)</f>
        <v>60.7</v>
      </c>
      <c r="F144" s="1">
        <f>IFERROR(__xludf.DUMMYFUNCTION("""COMPUTED_VALUE"""),79459.0)</f>
        <v>79459</v>
      </c>
      <c r="G144" s="2" t="s">
        <v>8</v>
      </c>
    </row>
    <row r="145">
      <c r="A145" s="3">
        <f>IFERROR(__xludf.DUMMYFUNCTION("""COMPUTED_VALUE"""),44767.72916666667)</f>
        <v>44767.72917</v>
      </c>
      <c r="B145" s="1">
        <f>IFERROR(__xludf.DUMMYFUNCTION("""COMPUTED_VALUE"""),60.2)</f>
        <v>60.2</v>
      </c>
      <c r="C145" s="1">
        <f>IFERROR(__xludf.DUMMYFUNCTION("""COMPUTED_VALUE"""),60.9)</f>
        <v>60.9</v>
      </c>
      <c r="D145" s="1">
        <f>IFERROR(__xludf.DUMMYFUNCTION("""COMPUTED_VALUE"""),60.15)</f>
        <v>60.15</v>
      </c>
      <c r="E145" s="1">
        <f>IFERROR(__xludf.DUMMYFUNCTION("""COMPUTED_VALUE"""),60.2)</f>
        <v>60.2</v>
      </c>
      <c r="F145" s="1">
        <f>IFERROR(__xludf.DUMMYFUNCTION("""COMPUTED_VALUE"""),100373.0)</f>
        <v>100373</v>
      </c>
      <c r="G145" s="2" t="s">
        <v>8</v>
      </c>
    </row>
    <row r="146">
      <c r="A146" s="3">
        <f>IFERROR(__xludf.DUMMYFUNCTION("""COMPUTED_VALUE"""),44768.72916666667)</f>
        <v>44768.72917</v>
      </c>
      <c r="B146" s="1">
        <f>IFERROR(__xludf.DUMMYFUNCTION("""COMPUTED_VALUE"""),60.3)</f>
        <v>60.3</v>
      </c>
      <c r="C146" s="1">
        <f>IFERROR(__xludf.DUMMYFUNCTION("""COMPUTED_VALUE"""),60.8)</f>
        <v>60.8</v>
      </c>
      <c r="D146" s="1">
        <f>IFERROR(__xludf.DUMMYFUNCTION("""COMPUTED_VALUE"""),60.05)</f>
        <v>60.05</v>
      </c>
      <c r="E146" s="1">
        <f>IFERROR(__xludf.DUMMYFUNCTION("""COMPUTED_VALUE"""),60.8)</f>
        <v>60.8</v>
      </c>
      <c r="F146" s="1">
        <f>IFERROR(__xludf.DUMMYFUNCTION("""COMPUTED_VALUE"""),54133.0)</f>
        <v>54133</v>
      </c>
      <c r="G146" s="2" t="s">
        <v>8</v>
      </c>
    </row>
    <row r="147">
      <c r="A147" s="3">
        <f>IFERROR(__xludf.DUMMYFUNCTION("""COMPUTED_VALUE"""),44769.72916666667)</f>
        <v>44769.72917</v>
      </c>
      <c r="B147" s="1">
        <f>IFERROR(__xludf.DUMMYFUNCTION("""COMPUTED_VALUE"""),60.95)</f>
        <v>60.95</v>
      </c>
      <c r="C147" s="1">
        <f>IFERROR(__xludf.DUMMYFUNCTION("""COMPUTED_VALUE"""),61.35)</f>
        <v>61.35</v>
      </c>
      <c r="D147" s="1">
        <f>IFERROR(__xludf.DUMMYFUNCTION("""COMPUTED_VALUE"""),60.6)</f>
        <v>60.6</v>
      </c>
      <c r="E147" s="1">
        <f>IFERROR(__xludf.DUMMYFUNCTION("""COMPUTED_VALUE"""),60.65)</f>
        <v>60.65</v>
      </c>
      <c r="F147" s="1">
        <f>IFERROR(__xludf.DUMMYFUNCTION("""COMPUTED_VALUE"""),53233.0)</f>
        <v>53233</v>
      </c>
      <c r="G147" s="2" t="s">
        <v>8</v>
      </c>
    </row>
    <row r="148">
      <c r="A148" s="3">
        <f>IFERROR(__xludf.DUMMYFUNCTION("""COMPUTED_VALUE"""),44770.72916666667)</f>
        <v>44770.72917</v>
      </c>
      <c r="B148" s="1">
        <f>IFERROR(__xludf.DUMMYFUNCTION("""COMPUTED_VALUE"""),60.5)</f>
        <v>60.5</v>
      </c>
      <c r="C148" s="1">
        <f>IFERROR(__xludf.DUMMYFUNCTION("""COMPUTED_VALUE"""),61.05)</f>
        <v>61.05</v>
      </c>
      <c r="D148" s="1">
        <f>IFERROR(__xludf.DUMMYFUNCTION("""COMPUTED_VALUE"""),60.15)</f>
        <v>60.15</v>
      </c>
      <c r="E148" s="1">
        <f>IFERROR(__xludf.DUMMYFUNCTION("""COMPUTED_VALUE"""),60.5)</f>
        <v>60.5</v>
      </c>
      <c r="F148" s="1">
        <f>IFERROR(__xludf.DUMMYFUNCTION("""COMPUTED_VALUE"""),122497.0)</f>
        <v>122497</v>
      </c>
      <c r="G148" s="2" t="s">
        <v>8</v>
      </c>
    </row>
    <row r="149">
      <c r="A149" s="3">
        <f>IFERROR(__xludf.DUMMYFUNCTION("""COMPUTED_VALUE"""),44771.72916666667)</f>
        <v>44771.72917</v>
      </c>
      <c r="B149" s="1">
        <f>IFERROR(__xludf.DUMMYFUNCTION("""COMPUTED_VALUE"""),60.65)</f>
        <v>60.65</v>
      </c>
      <c r="C149" s="1">
        <f>IFERROR(__xludf.DUMMYFUNCTION("""COMPUTED_VALUE"""),61.9)</f>
        <v>61.9</v>
      </c>
      <c r="D149" s="1">
        <f>IFERROR(__xludf.DUMMYFUNCTION("""COMPUTED_VALUE"""),60.45)</f>
        <v>60.45</v>
      </c>
      <c r="E149" s="1">
        <f>IFERROR(__xludf.DUMMYFUNCTION("""COMPUTED_VALUE"""),61.45)</f>
        <v>61.45</v>
      </c>
      <c r="F149" s="1">
        <f>IFERROR(__xludf.DUMMYFUNCTION("""COMPUTED_VALUE"""),154469.0)</f>
        <v>154469</v>
      </c>
      <c r="G149" s="2" t="s">
        <v>8</v>
      </c>
    </row>
    <row r="150">
      <c r="A150" s="3">
        <f>IFERROR(__xludf.DUMMYFUNCTION("""COMPUTED_VALUE"""),44774.72916666667)</f>
        <v>44774.72917</v>
      </c>
      <c r="B150" s="1">
        <f>IFERROR(__xludf.DUMMYFUNCTION("""COMPUTED_VALUE"""),61.45)</f>
        <v>61.45</v>
      </c>
      <c r="C150" s="1">
        <f>IFERROR(__xludf.DUMMYFUNCTION("""COMPUTED_VALUE"""),62.25)</f>
        <v>62.25</v>
      </c>
      <c r="D150" s="1">
        <f>IFERROR(__xludf.DUMMYFUNCTION("""COMPUTED_VALUE"""),61.45)</f>
        <v>61.45</v>
      </c>
      <c r="E150" s="1">
        <f>IFERROR(__xludf.DUMMYFUNCTION("""COMPUTED_VALUE"""),62.05)</f>
        <v>62.05</v>
      </c>
      <c r="F150" s="1">
        <f>IFERROR(__xludf.DUMMYFUNCTION("""COMPUTED_VALUE"""),38331.0)</f>
        <v>38331</v>
      </c>
      <c r="G150" s="2" t="s">
        <v>8</v>
      </c>
    </row>
    <row r="151">
      <c r="A151" s="3">
        <f>IFERROR(__xludf.DUMMYFUNCTION("""COMPUTED_VALUE"""),44775.72916666667)</f>
        <v>44775.72917</v>
      </c>
      <c r="B151" s="1">
        <f>IFERROR(__xludf.DUMMYFUNCTION("""COMPUTED_VALUE"""),62.1)</f>
        <v>62.1</v>
      </c>
      <c r="C151" s="1">
        <f>IFERROR(__xludf.DUMMYFUNCTION("""COMPUTED_VALUE"""),62.4)</f>
        <v>62.4</v>
      </c>
      <c r="D151" s="1">
        <f>IFERROR(__xludf.DUMMYFUNCTION("""COMPUTED_VALUE"""),61.85)</f>
        <v>61.85</v>
      </c>
      <c r="E151" s="1">
        <f>IFERROR(__xludf.DUMMYFUNCTION("""COMPUTED_VALUE"""),62.1)</f>
        <v>62.1</v>
      </c>
      <c r="F151" s="1">
        <f>IFERROR(__xludf.DUMMYFUNCTION("""COMPUTED_VALUE"""),62662.0)</f>
        <v>62662</v>
      </c>
      <c r="G151" s="2" t="s">
        <v>8</v>
      </c>
    </row>
    <row r="152">
      <c r="A152" s="3">
        <f>IFERROR(__xludf.DUMMYFUNCTION("""COMPUTED_VALUE"""),44776.72916666667)</f>
        <v>44776.72917</v>
      </c>
      <c r="B152" s="1">
        <f>IFERROR(__xludf.DUMMYFUNCTION("""COMPUTED_VALUE"""),62.15)</f>
        <v>62.15</v>
      </c>
      <c r="C152" s="1">
        <f>IFERROR(__xludf.DUMMYFUNCTION("""COMPUTED_VALUE"""),62.75)</f>
        <v>62.75</v>
      </c>
      <c r="D152" s="1">
        <f>IFERROR(__xludf.DUMMYFUNCTION("""COMPUTED_VALUE"""),61.65)</f>
        <v>61.65</v>
      </c>
      <c r="E152" s="1">
        <f>IFERROR(__xludf.DUMMYFUNCTION("""COMPUTED_VALUE"""),62.6)</f>
        <v>62.6</v>
      </c>
      <c r="F152" s="1">
        <f>IFERROR(__xludf.DUMMYFUNCTION("""COMPUTED_VALUE"""),57286.0)</f>
        <v>57286</v>
      </c>
      <c r="G152" s="2" t="s">
        <v>8</v>
      </c>
    </row>
    <row r="153">
      <c r="A153" s="3">
        <f>IFERROR(__xludf.DUMMYFUNCTION("""COMPUTED_VALUE"""),44777.72916666667)</f>
        <v>44777.72917</v>
      </c>
      <c r="B153" s="1">
        <f>IFERROR(__xludf.DUMMYFUNCTION("""COMPUTED_VALUE"""),62.75)</f>
        <v>62.75</v>
      </c>
      <c r="C153" s="1">
        <f>IFERROR(__xludf.DUMMYFUNCTION("""COMPUTED_VALUE"""),63.15)</f>
        <v>63.15</v>
      </c>
      <c r="D153" s="1">
        <f>IFERROR(__xludf.DUMMYFUNCTION("""COMPUTED_VALUE"""),62.55)</f>
        <v>62.55</v>
      </c>
      <c r="E153" s="1">
        <f>IFERROR(__xludf.DUMMYFUNCTION("""COMPUTED_VALUE"""),62.8)</f>
        <v>62.8</v>
      </c>
      <c r="F153" s="1">
        <f>IFERROR(__xludf.DUMMYFUNCTION("""COMPUTED_VALUE"""),79209.0)</f>
        <v>79209</v>
      </c>
      <c r="G153" s="2" t="s">
        <v>8</v>
      </c>
    </row>
    <row r="154">
      <c r="A154" s="3">
        <f>IFERROR(__xludf.DUMMYFUNCTION("""COMPUTED_VALUE"""),44778.72916666667)</f>
        <v>44778.72917</v>
      </c>
      <c r="B154" s="1">
        <f>IFERROR(__xludf.DUMMYFUNCTION("""COMPUTED_VALUE"""),62.8)</f>
        <v>62.8</v>
      </c>
      <c r="C154" s="1">
        <f>IFERROR(__xludf.DUMMYFUNCTION("""COMPUTED_VALUE"""),63.0)</f>
        <v>63</v>
      </c>
      <c r="D154" s="1">
        <f>IFERROR(__xludf.DUMMYFUNCTION("""COMPUTED_VALUE"""),62.15)</f>
        <v>62.15</v>
      </c>
      <c r="E154" s="1">
        <f>IFERROR(__xludf.DUMMYFUNCTION("""COMPUTED_VALUE"""),62.35)</f>
        <v>62.35</v>
      </c>
      <c r="F154" s="1">
        <f>IFERROR(__xludf.DUMMYFUNCTION("""COMPUTED_VALUE"""),55641.0)</f>
        <v>55641</v>
      </c>
      <c r="G154" s="2" t="s">
        <v>8</v>
      </c>
    </row>
    <row r="155">
      <c r="A155" s="3">
        <f>IFERROR(__xludf.DUMMYFUNCTION("""COMPUTED_VALUE"""),44781.72916666667)</f>
        <v>44781.72917</v>
      </c>
      <c r="B155" s="1">
        <f>IFERROR(__xludf.DUMMYFUNCTION("""COMPUTED_VALUE"""),62.65)</f>
        <v>62.65</v>
      </c>
      <c r="C155" s="1">
        <f>IFERROR(__xludf.DUMMYFUNCTION("""COMPUTED_VALUE"""),63.4)</f>
        <v>63.4</v>
      </c>
      <c r="D155" s="1">
        <f>IFERROR(__xludf.DUMMYFUNCTION("""COMPUTED_VALUE"""),62.55)</f>
        <v>62.55</v>
      </c>
      <c r="E155" s="1">
        <f>IFERROR(__xludf.DUMMYFUNCTION("""COMPUTED_VALUE"""),63.25)</f>
        <v>63.25</v>
      </c>
      <c r="F155" s="1">
        <f>IFERROR(__xludf.DUMMYFUNCTION("""COMPUTED_VALUE"""),51590.0)</f>
        <v>51590</v>
      </c>
      <c r="G155" s="2" t="s">
        <v>8</v>
      </c>
    </row>
    <row r="156">
      <c r="A156" s="3">
        <f>IFERROR(__xludf.DUMMYFUNCTION("""COMPUTED_VALUE"""),44782.72916666667)</f>
        <v>44782.72917</v>
      </c>
      <c r="B156" s="1">
        <f>IFERROR(__xludf.DUMMYFUNCTION("""COMPUTED_VALUE"""),63.45)</f>
        <v>63.45</v>
      </c>
      <c r="C156" s="1">
        <f>IFERROR(__xludf.DUMMYFUNCTION("""COMPUTED_VALUE"""),63.5)</f>
        <v>63.5</v>
      </c>
      <c r="D156" s="1">
        <f>IFERROR(__xludf.DUMMYFUNCTION("""COMPUTED_VALUE"""),62.45)</f>
        <v>62.45</v>
      </c>
      <c r="E156" s="1">
        <f>IFERROR(__xludf.DUMMYFUNCTION("""COMPUTED_VALUE"""),63.1)</f>
        <v>63.1</v>
      </c>
      <c r="F156" s="1">
        <f>IFERROR(__xludf.DUMMYFUNCTION("""COMPUTED_VALUE"""),67565.0)</f>
        <v>67565</v>
      </c>
      <c r="G156" s="2" t="s">
        <v>8</v>
      </c>
    </row>
    <row r="157">
      <c r="A157" s="3">
        <f>IFERROR(__xludf.DUMMYFUNCTION("""COMPUTED_VALUE"""),44783.72916666667)</f>
        <v>44783.72917</v>
      </c>
      <c r="B157" s="1">
        <f>IFERROR(__xludf.DUMMYFUNCTION("""COMPUTED_VALUE"""),63.3)</f>
        <v>63.3</v>
      </c>
      <c r="C157" s="1">
        <f>IFERROR(__xludf.DUMMYFUNCTION("""COMPUTED_VALUE"""),63.6)</f>
        <v>63.6</v>
      </c>
      <c r="D157" s="1">
        <f>IFERROR(__xludf.DUMMYFUNCTION("""COMPUTED_VALUE"""),62.85)</f>
        <v>62.85</v>
      </c>
      <c r="E157" s="1">
        <f>IFERROR(__xludf.DUMMYFUNCTION("""COMPUTED_VALUE"""),63.2)</f>
        <v>63.2</v>
      </c>
      <c r="F157" s="1">
        <f>IFERROR(__xludf.DUMMYFUNCTION("""COMPUTED_VALUE"""),46831.0)</f>
        <v>46831</v>
      </c>
      <c r="G157" s="2" t="s">
        <v>8</v>
      </c>
    </row>
    <row r="158">
      <c r="A158" s="3">
        <f>IFERROR(__xludf.DUMMYFUNCTION("""COMPUTED_VALUE"""),44784.72916666667)</f>
        <v>44784.72917</v>
      </c>
      <c r="B158" s="1">
        <f>IFERROR(__xludf.DUMMYFUNCTION("""COMPUTED_VALUE"""),63.5)</f>
        <v>63.5</v>
      </c>
      <c r="C158" s="1">
        <f>IFERROR(__xludf.DUMMYFUNCTION("""COMPUTED_VALUE"""),63.65)</f>
        <v>63.65</v>
      </c>
      <c r="D158" s="1">
        <f>IFERROR(__xludf.DUMMYFUNCTION("""COMPUTED_VALUE"""),62.5)</f>
        <v>62.5</v>
      </c>
      <c r="E158" s="1">
        <f>IFERROR(__xludf.DUMMYFUNCTION("""COMPUTED_VALUE"""),63.05)</f>
        <v>63.05</v>
      </c>
      <c r="F158" s="1">
        <f>IFERROR(__xludf.DUMMYFUNCTION("""COMPUTED_VALUE"""),33712.0)</f>
        <v>33712</v>
      </c>
      <c r="G158" s="2" t="s">
        <v>8</v>
      </c>
    </row>
    <row r="159">
      <c r="A159" s="3">
        <f>IFERROR(__xludf.DUMMYFUNCTION("""COMPUTED_VALUE"""),44785.72916666667)</f>
        <v>44785.72917</v>
      </c>
      <c r="B159" s="1">
        <f>IFERROR(__xludf.DUMMYFUNCTION("""COMPUTED_VALUE"""),63.1)</f>
        <v>63.1</v>
      </c>
      <c r="C159" s="1">
        <f>IFERROR(__xludf.DUMMYFUNCTION("""COMPUTED_VALUE"""),63.65)</f>
        <v>63.65</v>
      </c>
      <c r="D159" s="1">
        <f>IFERROR(__xludf.DUMMYFUNCTION("""COMPUTED_VALUE"""),62.8)</f>
        <v>62.8</v>
      </c>
      <c r="E159" s="1">
        <f>IFERROR(__xludf.DUMMYFUNCTION("""COMPUTED_VALUE"""),63.15)</f>
        <v>63.15</v>
      </c>
      <c r="F159" s="1">
        <f>IFERROR(__xludf.DUMMYFUNCTION("""COMPUTED_VALUE"""),65629.0)</f>
        <v>65629</v>
      </c>
      <c r="G159" s="2" t="s">
        <v>8</v>
      </c>
    </row>
    <row r="160">
      <c r="A160" s="3">
        <f>IFERROR(__xludf.DUMMYFUNCTION("""COMPUTED_VALUE"""),44788.72916666667)</f>
        <v>44788.72917</v>
      </c>
      <c r="B160" s="1">
        <f>IFERROR(__xludf.DUMMYFUNCTION("""COMPUTED_VALUE"""),63.8)</f>
        <v>63.8</v>
      </c>
      <c r="C160" s="1">
        <f>IFERROR(__xludf.DUMMYFUNCTION("""COMPUTED_VALUE"""),64.3)</f>
        <v>64.3</v>
      </c>
      <c r="D160" s="1">
        <f>IFERROR(__xludf.DUMMYFUNCTION("""COMPUTED_VALUE"""),61.9)</f>
        <v>61.9</v>
      </c>
      <c r="E160" s="1">
        <f>IFERROR(__xludf.DUMMYFUNCTION("""COMPUTED_VALUE"""),63.75)</f>
        <v>63.75</v>
      </c>
      <c r="F160" s="1">
        <f>IFERROR(__xludf.DUMMYFUNCTION("""COMPUTED_VALUE"""),79424.0)</f>
        <v>79424</v>
      </c>
      <c r="G160" s="2" t="s">
        <v>8</v>
      </c>
    </row>
    <row r="161">
      <c r="A161" s="3">
        <f>IFERROR(__xludf.DUMMYFUNCTION("""COMPUTED_VALUE"""),44789.72916666667)</f>
        <v>44789.72917</v>
      </c>
      <c r="B161" s="1">
        <f>IFERROR(__xludf.DUMMYFUNCTION("""COMPUTED_VALUE"""),63.8)</f>
        <v>63.8</v>
      </c>
      <c r="C161" s="1">
        <f>IFERROR(__xludf.DUMMYFUNCTION("""COMPUTED_VALUE"""),64.5)</f>
        <v>64.5</v>
      </c>
      <c r="D161" s="1">
        <f>IFERROR(__xludf.DUMMYFUNCTION("""COMPUTED_VALUE"""),63.8)</f>
        <v>63.8</v>
      </c>
      <c r="E161" s="1">
        <f>IFERROR(__xludf.DUMMYFUNCTION("""COMPUTED_VALUE"""),64.15)</f>
        <v>64.15</v>
      </c>
      <c r="F161" s="1">
        <f>IFERROR(__xludf.DUMMYFUNCTION("""COMPUTED_VALUE"""),94187.0)</f>
        <v>94187</v>
      </c>
      <c r="G161" s="2" t="s">
        <v>8</v>
      </c>
    </row>
    <row r="162">
      <c r="A162" s="3">
        <f>IFERROR(__xludf.DUMMYFUNCTION("""COMPUTED_VALUE"""),44790.72916666667)</f>
        <v>44790.72917</v>
      </c>
      <c r="B162" s="1">
        <f>IFERROR(__xludf.DUMMYFUNCTION("""COMPUTED_VALUE"""),64.75)</f>
        <v>64.75</v>
      </c>
      <c r="C162" s="1">
        <f>IFERROR(__xludf.DUMMYFUNCTION("""COMPUTED_VALUE"""),66.0)</f>
        <v>66</v>
      </c>
      <c r="D162" s="1">
        <f>IFERROR(__xludf.DUMMYFUNCTION("""COMPUTED_VALUE"""),63.75)</f>
        <v>63.75</v>
      </c>
      <c r="E162" s="1">
        <f>IFERROR(__xludf.DUMMYFUNCTION("""COMPUTED_VALUE"""),64.55)</f>
        <v>64.55</v>
      </c>
      <c r="F162" s="1">
        <f>IFERROR(__xludf.DUMMYFUNCTION("""COMPUTED_VALUE"""),79163.0)</f>
        <v>79163</v>
      </c>
      <c r="G162" s="2" t="s">
        <v>8</v>
      </c>
    </row>
    <row r="163">
      <c r="A163" s="3">
        <f>IFERROR(__xludf.DUMMYFUNCTION("""COMPUTED_VALUE"""),44791.72916666667)</f>
        <v>44791.72917</v>
      </c>
      <c r="B163" s="1">
        <f>IFERROR(__xludf.DUMMYFUNCTION("""COMPUTED_VALUE"""),64.7)</f>
        <v>64.7</v>
      </c>
      <c r="C163" s="1">
        <f>IFERROR(__xludf.DUMMYFUNCTION("""COMPUTED_VALUE"""),65.5)</f>
        <v>65.5</v>
      </c>
      <c r="D163" s="1">
        <f>IFERROR(__xludf.DUMMYFUNCTION("""COMPUTED_VALUE"""),64.65)</f>
        <v>64.65</v>
      </c>
      <c r="E163" s="1">
        <f>IFERROR(__xludf.DUMMYFUNCTION("""COMPUTED_VALUE"""),65.1)</f>
        <v>65.1</v>
      </c>
      <c r="F163" s="1">
        <f>IFERROR(__xludf.DUMMYFUNCTION("""COMPUTED_VALUE"""),57750.0)</f>
        <v>57750</v>
      </c>
      <c r="G163" s="2" t="s">
        <v>8</v>
      </c>
    </row>
    <row r="164">
      <c r="A164" s="3">
        <f>IFERROR(__xludf.DUMMYFUNCTION("""COMPUTED_VALUE"""),44792.72916666667)</f>
        <v>44792.72917</v>
      </c>
      <c r="B164" s="1">
        <f>IFERROR(__xludf.DUMMYFUNCTION("""COMPUTED_VALUE"""),64.75)</f>
        <v>64.75</v>
      </c>
      <c r="C164" s="1">
        <f>IFERROR(__xludf.DUMMYFUNCTION("""COMPUTED_VALUE"""),65.45)</f>
        <v>65.45</v>
      </c>
      <c r="D164" s="1">
        <f>IFERROR(__xludf.DUMMYFUNCTION("""COMPUTED_VALUE"""),64.75)</f>
        <v>64.75</v>
      </c>
      <c r="E164" s="1">
        <f>IFERROR(__xludf.DUMMYFUNCTION("""COMPUTED_VALUE"""),65.15)</f>
        <v>65.15</v>
      </c>
      <c r="F164" s="1">
        <f>IFERROR(__xludf.DUMMYFUNCTION("""COMPUTED_VALUE"""),66146.0)</f>
        <v>66146</v>
      </c>
      <c r="G164" s="2" t="s">
        <v>8</v>
      </c>
    </row>
    <row r="165">
      <c r="A165" s="3">
        <f>IFERROR(__xludf.DUMMYFUNCTION("""COMPUTED_VALUE"""),44795.72916666667)</f>
        <v>44795.72917</v>
      </c>
      <c r="B165" s="1">
        <f>IFERROR(__xludf.DUMMYFUNCTION("""COMPUTED_VALUE"""),64.85)</f>
        <v>64.85</v>
      </c>
      <c r="C165" s="1">
        <f>IFERROR(__xludf.DUMMYFUNCTION("""COMPUTED_VALUE"""),64.95)</f>
        <v>64.95</v>
      </c>
      <c r="D165" s="1">
        <f>IFERROR(__xludf.DUMMYFUNCTION("""COMPUTED_VALUE"""),64.4)</f>
        <v>64.4</v>
      </c>
      <c r="E165" s="1">
        <f>IFERROR(__xludf.DUMMYFUNCTION("""COMPUTED_VALUE"""),64.75)</f>
        <v>64.75</v>
      </c>
      <c r="F165" s="1">
        <f>IFERROR(__xludf.DUMMYFUNCTION("""COMPUTED_VALUE"""),44127.0)</f>
        <v>44127</v>
      </c>
      <c r="G165" s="2" t="s">
        <v>8</v>
      </c>
    </row>
    <row r="166">
      <c r="A166" s="3">
        <f>IFERROR(__xludf.DUMMYFUNCTION("""COMPUTED_VALUE"""),44796.72916666667)</f>
        <v>44796.72917</v>
      </c>
      <c r="B166" s="1">
        <f>IFERROR(__xludf.DUMMYFUNCTION("""COMPUTED_VALUE"""),65.1)</f>
        <v>65.1</v>
      </c>
      <c r="C166" s="1">
        <f>IFERROR(__xludf.DUMMYFUNCTION("""COMPUTED_VALUE"""),65.7)</f>
        <v>65.7</v>
      </c>
      <c r="D166" s="1">
        <f>IFERROR(__xludf.DUMMYFUNCTION("""COMPUTED_VALUE"""),64.45)</f>
        <v>64.45</v>
      </c>
      <c r="E166" s="1">
        <f>IFERROR(__xludf.DUMMYFUNCTION("""COMPUTED_VALUE"""),64.45)</f>
        <v>64.45</v>
      </c>
      <c r="F166" s="1">
        <f>IFERROR(__xludf.DUMMYFUNCTION("""COMPUTED_VALUE"""),52420.0)</f>
        <v>52420</v>
      </c>
      <c r="G166" s="2" t="s">
        <v>8</v>
      </c>
    </row>
    <row r="167">
      <c r="A167" s="3">
        <f>IFERROR(__xludf.DUMMYFUNCTION("""COMPUTED_VALUE"""),44797.72916666667)</f>
        <v>44797.72917</v>
      </c>
      <c r="B167" s="1">
        <f>IFERROR(__xludf.DUMMYFUNCTION("""COMPUTED_VALUE"""),64.35)</f>
        <v>64.35</v>
      </c>
      <c r="C167" s="1">
        <f>IFERROR(__xludf.DUMMYFUNCTION("""COMPUTED_VALUE"""),65.0)</f>
        <v>65</v>
      </c>
      <c r="D167" s="1">
        <f>IFERROR(__xludf.DUMMYFUNCTION("""COMPUTED_VALUE"""),64.05)</f>
        <v>64.05</v>
      </c>
      <c r="E167" s="1">
        <f>IFERROR(__xludf.DUMMYFUNCTION("""COMPUTED_VALUE"""),64.2)</f>
        <v>64.2</v>
      </c>
      <c r="F167" s="1">
        <f>IFERROR(__xludf.DUMMYFUNCTION("""COMPUTED_VALUE"""),48911.0)</f>
        <v>48911</v>
      </c>
      <c r="G167" s="2" t="s">
        <v>8</v>
      </c>
    </row>
    <row r="168">
      <c r="A168" s="3">
        <f>IFERROR(__xludf.DUMMYFUNCTION("""COMPUTED_VALUE"""),44798.72916666667)</f>
        <v>44798.72917</v>
      </c>
      <c r="B168" s="1">
        <f>IFERROR(__xludf.DUMMYFUNCTION("""COMPUTED_VALUE"""),64.4)</f>
        <v>64.4</v>
      </c>
      <c r="C168" s="1">
        <f>IFERROR(__xludf.DUMMYFUNCTION("""COMPUTED_VALUE"""),65.0)</f>
        <v>65</v>
      </c>
      <c r="D168" s="1">
        <f>IFERROR(__xludf.DUMMYFUNCTION("""COMPUTED_VALUE"""),64.25)</f>
        <v>64.25</v>
      </c>
      <c r="E168" s="1">
        <f>IFERROR(__xludf.DUMMYFUNCTION("""COMPUTED_VALUE"""),64.4)</f>
        <v>64.4</v>
      </c>
      <c r="F168" s="1">
        <f>IFERROR(__xludf.DUMMYFUNCTION("""COMPUTED_VALUE"""),55670.0)</f>
        <v>55670</v>
      </c>
      <c r="G168" s="2" t="s">
        <v>8</v>
      </c>
    </row>
    <row r="169">
      <c r="A169" s="3">
        <f>IFERROR(__xludf.DUMMYFUNCTION("""COMPUTED_VALUE"""),44799.72916666667)</f>
        <v>44799.72917</v>
      </c>
      <c r="B169" s="1">
        <f>IFERROR(__xludf.DUMMYFUNCTION("""COMPUTED_VALUE"""),64.8)</f>
        <v>64.8</v>
      </c>
      <c r="C169" s="1">
        <f>IFERROR(__xludf.DUMMYFUNCTION("""COMPUTED_VALUE"""),64.8)</f>
        <v>64.8</v>
      </c>
      <c r="D169" s="1">
        <f>IFERROR(__xludf.DUMMYFUNCTION("""COMPUTED_VALUE"""),63.35)</f>
        <v>63.35</v>
      </c>
      <c r="E169" s="1">
        <f>IFERROR(__xludf.DUMMYFUNCTION("""COMPUTED_VALUE"""),63.55)</f>
        <v>63.55</v>
      </c>
      <c r="F169" s="1">
        <f>IFERROR(__xludf.DUMMYFUNCTION("""COMPUTED_VALUE"""),56489.0)</f>
        <v>56489</v>
      </c>
      <c r="G169" s="2" t="s">
        <v>8</v>
      </c>
    </row>
    <row r="170">
      <c r="A170" s="3">
        <f>IFERROR(__xludf.DUMMYFUNCTION("""COMPUTED_VALUE"""),44802.72916666667)</f>
        <v>44802.72917</v>
      </c>
      <c r="B170" s="1">
        <f>IFERROR(__xludf.DUMMYFUNCTION("""COMPUTED_VALUE"""),62.95)</f>
        <v>62.95</v>
      </c>
      <c r="C170" s="1">
        <f>IFERROR(__xludf.DUMMYFUNCTION("""COMPUTED_VALUE"""),63.45)</f>
        <v>63.45</v>
      </c>
      <c r="D170" s="1">
        <f>IFERROR(__xludf.DUMMYFUNCTION("""COMPUTED_VALUE"""),62.6)</f>
        <v>62.6</v>
      </c>
      <c r="E170" s="1">
        <f>IFERROR(__xludf.DUMMYFUNCTION("""COMPUTED_VALUE"""),63.25)</f>
        <v>63.25</v>
      </c>
      <c r="F170" s="1">
        <f>IFERROR(__xludf.DUMMYFUNCTION("""COMPUTED_VALUE"""),61847.0)</f>
        <v>61847</v>
      </c>
      <c r="G170" s="2" t="s">
        <v>8</v>
      </c>
    </row>
    <row r="171">
      <c r="A171" s="3">
        <f>IFERROR(__xludf.DUMMYFUNCTION("""COMPUTED_VALUE"""),44803.72916666667)</f>
        <v>44803.72917</v>
      </c>
      <c r="B171" s="1">
        <f>IFERROR(__xludf.DUMMYFUNCTION("""COMPUTED_VALUE"""),63.8)</f>
        <v>63.8</v>
      </c>
      <c r="C171" s="1">
        <f>IFERROR(__xludf.DUMMYFUNCTION("""COMPUTED_VALUE"""),64.95)</f>
        <v>64.95</v>
      </c>
      <c r="D171" s="1">
        <f>IFERROR(__xludf.DUMMYFUNCTION("""COMPUTED_VALUE"""),63.8)</f>
        <v>63.8</v>
      </c>
      <c r="E171" s="1">
        <f>IFERROR(__xludf.DUMMYFUNCTION("""COMPUTED_VALUE"""),64.25)</f>
        <v>64.25</v>
      </c>
      <c r="F171" s="1">
        <f>IFERROR(__xludf.DUMMYFUNCTION("""COMPUTED_VALUE"""),72598.0)</f>
        <v>72598</v>
      </c>
      <c r="G171" s="2" t="s">
        <v>8</v>
      </c>
    </row>
    <row r="172">
      <c r="A172" s="3">
        <f>IFERROR(__xludf.DUMMYFUNCTION("""COMPUTED_VALUE"""),44804.72916666667)</f>
        <v>44804.72917</v>
      </c>
      <c r="B172" s="1">
        <f>IFERROR(__xludf.DUMMYFUNCTION("""COMPUTED_VALUE"""),64.45)</f>
        <v>64.45</v>
      </c>
      <c r="C172" s="1">
        <f>IFERROR(__xludf.DUMMYFUNCTION("""COMPUTED_VALUE"""),64.9)</f>
        <v>64.9</v>
      </c>
      <c r="D172" s="1">
        <f>IFERROR(__xludf.DUMMYFUNCTION("""COMPUTED_VALUE"""),62.3)</f>
        <v>62.3</v>
      </c>
      <c r="E172" s="1">
        <f>IFERROR(__xludf.DUMMYFUNCTION("""COMPUTED_VALUE"""),62.3)</f>
        <v>62.3</v>
      </c>
      <c r="F172" s="1">
        <f>IFERROR(__xludf.DUMMYFUNCTION("""COMPUTED_VALUE"""),285723.0)</f>
        <v>285723</v>
      </c>
      <c r="G172" s="2" t="s">
        <v>8</v>
      </c>
    </row>
    <row r="173">
      <c r="A173" s="3">
        <f>IFERROR(__xludf.DUMMYFUNCTION("""COMPUTED_VALUE"""),44805.72916666667)</f>
        <v>44805.72917</v>
      </c>
      <c r="B173" s="1">
        <f>IFERROR(__xludf.DUMMYFUNCTION("""COMPUTED_VALUE"""),61.95)</f>
        <v>61.95</v>
      </c>
      <c r="C173" s="1">
        <f>IFERROR(__xludf.DUMMYFUNCTION("""COMPUTED_VALUE"""),62.0)</f>
        <v>62</v>
      </c>
      <c r="D173" s="1">
        <f>IFERROR(__xludf.DUMMYFUNCTION("""COMPUTED_VALUE"""),61.0)</f>
        <v>61</v>
      </c>
      <c r="E173" s="1">
        <f>IFERROR(__xludf.DUMMYFUNCTION("""COMPUTED_VALUE"""),61.65)</f>
        <v>61.65</v>
      </c>
      <c r="F173" s="1">
        <f>IFERROR(__xludf.DUMMYFUNCTION("""COMPUTED_VALUE"""),110615.0)</f>
        <v>110615</v>
      </c>
      <c r="G173" s="2" t="s">
        <v>8</v>
      </c>
    </row>
    <row r="174">
      <c r="A174" s="3">
        <f>IFERROR(__xludf.DUMMYFUNCTION("""COMPUTED_VALUE"""),44806.72916666667)</f>
        <v>44806.72917</v>
      </c>
      <c r="B174" s="1">
        <f>IFERROR(__xludf.DUMMYFUNCTION("""COMPUTED_VALUE"""),61.05)</f>
        <v>61.05</v>
      </c>
      <c r="C174" s="1">
        <f>IFERROR(__xludf.DUMMYFUNCTION("""COMPUTED_VALUE"""),61.7)</f>
        <v>61.7</v>
      </c>
      <c r="D174" s="1">
        <f>IFERROR(__xludf.DUMMYFUNCTION("""COMPUTED_VALUE"""),60.55)</f>
        <v>60.55</v>
      </c>
      <c r="E174" s="1">
        <f>IFERROR(__xludf.DUMMYFUNCTION("""COMPUTED_VALUE"""),61.05)</f>
        <v>61.05</v>
      </c>
      <c r="F174" s="1">
        <f>IFERROR(__xludf.DUMMYFUNCTION("""COMPUTED_VALUE"""),85996.0)</f>
        <v>85996</v>
      </c>
      <c r="G174" s="2" t="s">
        <v>8</v>
      </c>
    </row>
    <row r="175">
      <c r="A175" s="3">
        <f>IFERROR(__xludf.DUMMYFUNCTION("""COMPUTED_VALUE"""),44809.72916666667)</f>
        <v>44809.72917</v>
      </c>
      <c r="B175" s="1">
        <f>IFERROR(__xludf.DUMMYFUNCTION("""COMPUTED_VALUE"""),59.85)</f>
        <v>59.85</v>
      </c>
      <c r="C175" s="1">
        <f>IFERROR(__xludf.DUMMYFUNCTION("""COMPUTED_VALUE"""),60.2)</f>
        <v>60.2</v>
      </c>
      <c r="D175" s="1">
        <f>IFERROR(__xludf.DUMMYFUNCTION("""COMPUTED_VALUE"""),58.85)</f>
        <v>58.85</v>
      </c>
      <c r="E175" s="1">
        <f>IFERROR(__xludf.DUMMYFUNCTION("""COMPUTED_VALUE"""),60.15)</f>
        <v>60.15</v>
      </c>
      <c r="F175" s="1">
        <f>IFERROR(__xludf.DUMMYFUNCTION("""COMPUTED_VALUE"""),101403.0)</f>
        <v>101403</v>
      </c>
      <c r="G175" s="2" t="s">
        <v>8</v>
      </c>
    </row>
    <row r="176">
      <c r="A176" s="3">
        <f>IFERROR(__xludf.DUMMYFUNCTION("""COMPUTED_VALUE"""),44810.72916666667)</f>
        <v>44810.72917</v>
      </c>
      <c r="B176" s="1">
        <f>IFERROR(__xludf.DUMMYFUNCTION("""COMPUTED_VALUE"""),59.75)</f>
        <v>59.75</v>
      </c>
      <c r="C176" s="1">
        <f>IFERROR(__xludf.DUMMYFUNCTION("""COMPUTED_VALUE"""),61.25)</f>
        <v>61.25</v>
      </c>
      <c r="D176" s="1">
        <f>IFERROR(__xludf.DUMMYFUNCTION("""COMPUTED_VALUE"""),59.75)</f>
        <v>59.75</v>
      </c>
      <c r="E176" s="1">
        <f>IFERROR(__xludf.DUMMYFUNCTION("""COMPUTED_VALUE"""),60.55)</f>
        <v>60.55</v>
      </c>
      <c r="F176" s="1">
        <f>IFERROR(__xludf.DUMMYFUNCTION("""COMPUTED_VALUE"""),84727.0)</f>
        <v>84727</v>
      </c>
      <c r="G176" s="2" t="s">
        <v>8</v>
      </c>
    </row>
    <row r="177">
      <c r="A177" s="3">
        <f>IFERROR(__xludf.DUMMYFUNCTION("""COMPUTED_VALUE"""),44811.72916666667)</f>
        <v>44811.72917</v>
      </c>
      <c r="B177" s="1">
        <f>IFERROR(__xludf.DUMMYFUNCTION("""COMPUTED_VALUE"""),59.4)</f>
        <v>59.4</v>
      </c>
      <c r="C177" s="1">
        <f>IFERROR(__xludf.DUMMYFUNCTION("""COMPUTED_VALUE"""),60.6)</f>
        <v>60.6</v>
      </c>
      <c r="D177" s="1">
        <f>IFERROR(__xludf.DUMMYFUNCTION("""COMPUTED_VALUE"""),59.4)</f>
        <v>59.4</v>
      </c>
      <c r="E177" s="1">
        <f>IFERROR(__xludf.DUMMYFUNCTION("""COMPUTED_VALUE"""),60.4)</f>
        <v>60.4</v>
      </c>
      <c r="F177" s="1">
        <f>IFERROR(__xludf.DUMMYFUNCTION("""COMPUTED_VALUE"""),73188.0)</f>
        <v>73188</v>
      </c>
      <c r="G177" s="2" t="s">
        <v>8</v>
      </c>
    </row>
    <row r="178">
      <c r="A178" s="3">
        <f>IFERROR(__xludf.DUMMYFUNCTION("""COMPUTED_VALUE"""),44812.72916666667)</f>
        <v>44812.72917</v>
      </c>
      <c r="B178" s="1">
        <f>IFERROR(__xludf.DUMMYFUNCTION("""COMPUTED_VALUE"""),61.05)</f>
        <v>61.05</v>
      </c>
      <c r="C178" s="1">
        <f>IFERROR(__xludf.DUMMYFUNCTION("""COMPUTED_VALUE"""),61.15)</f>
        <v>61.15</v>
      </c>
      <c r="D178" s="1">
        <f>IFERROR(__xludf.DUMMYFUNCTION("""COMPUTED_VALUE"""),59.65)</f>
        <v>59.65</v>
      </c>
      <c r="E178" s="1">
        <f>IFERROR(__xludf.DUMMYFUNCTION("""COMPUTED_VALUE"""),60.25)</f>
        <v>60.25</v>
      </c>
      <c r="F178" s="1">
        <f>IFERROR(__xludf.DUMMYFUNCTION("""COMPUTED_VALUE"""),122472.0)</f>
        <v>122472</v>
      </c>
      <c r="G178" s="2" t="s">
        <v>8</v>
      </c>
    </row>
    <row r="179">
      <c r="A179" s="3">
        <f>IFERROR(__xludf.DUMMYFUNCTION("""COMPUTED_VALUE"""),44813.72916666667)</f>
        <v>44813.72917</v>
      </c>
      <c r="B179" s="1">
        <f>IFERROR(__xludf.DUMMYFUNCTION("""COMPUTED_VALUE"""),59.85)</f>
        <v>59.85</v>
      </c>
      <c r="C179" s="1">
        <f>IFERROR(__xludf.DUMMYFUNCTION("""COMPUTED_VALUE"""),61.05)</f>
        <v>61.05</v>
      </c>
      <c r="D179" s="1">
        <f>IFERROR(__xludf.DUMMYFUNCTION("""COMPUTED_VALUE"""),59.85)</f>
        <v>59.85</v>
      </c>
      <c r="E179" s="1">
        <f>IFERROR(__xludf.DUMMYFUNCTION("""COMPUTED_VALUE"""),60.75)</f>
        <v>60.75</v>
      </c>
      <c r="F179" s="1">
        <f>IFERROR(__xludf.DUMMYFUNCTION("""COMPUTED_VALUE"""),95041.0)</f>
        <v>95041</v>
      </c>
      <c r="G179" s="2" t="s">
        <v>8</v>
      </c>
    </row>
    <row r="180">
      <c r="A180" s="3">
        <f>IFERROR(__xludf.DUMMYFUNCTION("""COMPUTED_VALUE"""),44816.72916666667)</f>
        <v>44816.72917</v>
      </c>
      <c r="B180" s="1">
        <f>IFERROR(__xludf.DUMMYFUNCTION("""COMPUTED_VALUE"""),61.3)</f>
        <v>61.3</v>
      </c>
      <c r="C180" s="1">
        <f>IFERROR(__xludf.DUMMYFUNCTION("""COMPUTED_VALUE"""),61.35)</f>
        <v>61.35</v>
      </c>
      <c r="D180" s="1">
        <f>IFERROR(__xludf.DUMMYFUNCTION("""COMPUTED_VALUE"""),60.8)</f>
        <v>60.8</v>
      </c>
      <c r="E180" s="1">
        <f>IFERROR(__xludf.DUMMYFUNCTION("""COMPUTED_VALUE"""),61.2)</f>
        <v>61.2</v>
      </c>
      <c r="F180" s="1">
        <f>IFERROR(__xludf.DUMMYFUNCTION("""COMPUTED_VALUE"""),53348.0)</f>
        <v>53348</v>
      </c>
      <c r="G180" s="2" t="s">
        <v>8</v>
      </c>
    </row>
    <row r="181">
      <c r="A181" s="3">
        <f>IFERROR(__xludf.DUMMYFUNCTION("""COMPUTED_VALUE"""),44817.72916666667)</f>
        <v>44817.72917</v>
      </c>
      <c r="B181" s="1">
        <f>IFERROR(__xludf.DUMMYFUNCTION("""COMPUTED_VALUE"""),61.3)</f>
        <v>61.3</v>
      </c>
      <c r="C181" s="1">
        <f>IFERROR(__xludf.DUMMYFUNCTION("""COMPUTED_VALUE"""),61.8)</f>
        <v>61.8</v>
      </c>
      <c r="D181" s="1">
        <f>IFERROR(__xludf.DUMMYFUNCTION("""COMPUTED_VALUE"""),61.15)</f>
        <v>61.15</v>
      </c>
      <c r="E181" s="1">
        <f>IFERROR(__xludf.DUMMYFUNCTION("""COMPUTED_VALUE"""),61.25)</f>
        <v>61.25</v>
      </c>
      <c r="F181" s="1">
        <f>IFERROR(__xludf.DUMMYFUNCTION("""COMPUTED_VALUE"""),94558.0)</f>
        <v>94558</v>
      </c>
      <c r="G181" s="2" t="s">
        <v>8</v>
      </c>
    </row>
    <row r="182">
      <c r="A182" s="3">
        <f>IFERROR(__xludf.DUMMYFUNCTION("""COMPUTED_VALUE"""),44818.72916666667)</f>
        <v>44818.72917</v>
      </c>
      <c r="B182" s="1">
        <f>IFERROR(__xludf.DUMMYFUNCTION("""COMPUTED_VALUE"""),60.6)</f>
        <v>60.6</v>
      </c>
      <c r="C182" s="1">
        <f>IFERROR(__xludf.DUMMYFUNCTION("""COMPUTED_VALUE"""),61.1)</f>
        <v>61.1</v>
      </c>
      <c r="D182" s="1">
        <f>IFERROR(__xludf.DUMMYFUNCTION("""COMPUTED_VALUE"""),60.05)</f>
        <v>60.05</v>
      </c>
      <c r="E182" s="1">
        <f>IFERROR(__xludf.DUMMYFUNCTION("""COMPUTED_VALUE"""),60.8)</f>
        <v>60.8</v>
      </c>
      <c r="F182" s="1">
        <f>IFERROR(__xludf.DUMMYFUNCTION("""COMPUTED_VALUE"""),78373.0)</f>
        <v>78373</v>
      </c>
      <c r="G182" s="2" t="s">
        <v>8</v>
      </c>
    </row>
    <row r="183">
      <c r="A183" s="3">
        <f>IFERROR(__xludf.DUMMYFUNCTION("""COMPUTED_VALUE"""),44819.72916666667)</f>
        <v>44819.72917</v>
      </c>
      <c r="B183" s="1">
        <f>IFERROR(__xludf.DUMMYFUNCTION("""COMPUTED_VALUE"""),60.75)</f>
        <v>60.75</v>
      </c>
      <c r="C183" s="1">
        <f>IFERROR(__xludf.DUMMYFUNCTION("""COMPUTED_VALUE"""),60.9)</f>
        <v>60.9</v>
      </c>
      <c r="D183" s="1">
        <f>IFERROR(__xludf.DUMMYFUNCTION("""COMPUTED_VALUE"""),59.95)</f>
        <v>59.95</v>
      </c>
      <c r="E183" s="1">
        <f>IFERROR(__xludf.DUMMYFUNCTION("""COMPUTED_VALUE"""),60.3)</f>
        <v>60.3</v>
      </c>
      <c r="F183" s="1">
        <f>IFERROR(__xludf.DUMMYFUNCTION("""COMPUTED_VALUE"""),54582.0)</f>
        <v>54582</v>
      </c>
      <c r="G183" s="2" t="s">
        <v>8</v>
      </c>
    </row>
    <row r="184">
      <c r="A184" s="3">
        <f>IFERROR(__xludf.DUMMYFUNCTION("""COMPUTED_VALUE"""),44820.72916666667)</f>
        <v>44820.72917</v>
      </c>
      <c r="B184" s="1">
        <f>IFERROR(__xludf.DUMMYFUNCTION("""COMPUTED_VALUE"""),60.0)</f>
        <v>60</v>
      </c>
      <c r="C184" s="1">
        <f>IFERROR(__xludf.DUMMYFUNCTION("""COMPUTED_VALUE"""),60.35)</f>
        <v>60.35</v>
      </c>
      <c r="D184" s="1">
        <f>IFERROR(__xludf.DUMMYFUNCTION("""COMPUTED_VALUE"""),59.55)</f>
        <v>59.55</v>
      </c>
      <c r="E184" s="1">
        <f>IFERROR(__xludf.DUMMYFUNCTION("""COMPUTED_VALUE"""),59.55)</f>
        <v>59.55</v>
      </c>
      <c r="F184" s="1">
        <f>IFERROR(__xludf.DUMMYFUNCTION("""COMPUTED_VALUE"""),333850.0)</f>
        <v>333850</v>
      </c>
      <c r="G184" s="2" t="s">
        <v>8</v>
      </c>
    </row>
    <row r="185">
      <c r="A185" s="3">
        <f>IFERROR(__xludf.DUMMYFUNCTION("""COMPUTED_VALUE"""),44823.72916666667)</f>
        <v>44823.72917</v>
      </c>
      <c r="B185" s="1">
        <f>IFERROR(__xludf.DUMMYFUNCTION("""COMPUTED_VALUE"""),59.85)</f>
        <v>59.85</v>
      </c>
      <c r="C185" s="1">
        <f>IFERROR(__xludf.DUMMYFUNCTION("""COMPUTED_VALUE"""),60.1)</f>
        <v>60.1</v>
      </c>
      <c r="D185" s="1">
        <f>IFERROR(__xludf.DUMMYFUNCTION("""COMPUTED_VALUE"""),59.25)</f>
        <v>59.25</v>
      </c>
      <c r="E185" s="1">
        <f>IFERROR(__xludf.DUMMYFUNCTION("""COMPUTED_VALUE"""),59.85)</f>
        <v>59.85</v>
      </c>
      <c r="F185" s="1">
        <f>IFERROR(__xludf.DUMMYFUNCTION("""COMPUTED_VALUE"""),94749.0)</f>
        <v>94749</v>
      </c>
      <c r="G185" s="2" t="s">
        <v>8</v>
      </c>
    </row>
    <row r="186">
      <c r="A186" s="3">
        <f>IFERROR(__xludf.DUMMYFUNCTION("""COMPUTED_VALUE"""),44824.72916666667)</f>
        <v>44824.72917</v>
      </c>
      <c r="B186" s="1">
        <f>IFERROR(__xludf.DUMMYFUNCTION("""COMPUTED_VALUE"""),60.4)</f>
        <v>60.4</v>
      </c>
      <c r="C186" s="1">
        <f>IFERROR(__xludf.DUMMYFUNCTION("""COMPUTED_VALUE"""),61.35)</f>
        <v>61.35</v>
      </c>
      <c r="D186" s="1">
        <f>IFERROR(__xludf.DUMMYFUNCTION("""COMPUTED_VALUE"""),59.25)</f>
        <v>59.25</v>
      </c>
      <c r="E186" s="1">
        <f>IFERROR(__xludf.DUMMYFUNCTION("""COMPUTED_VALUE"""),59.6)</f>
        <v>59.6</v>
      </c>
      <c r="F186" s="1">
        <f>IFERROR(__xludf.DUMMYFUNCTION("""COMPUTED_VALUE"""),100641.0)</f>
        <v>100641</v>
      </c>
      <c r="G186" s="2" t="s">
        <v>8</v>
      </c>
    </row>
    <row r="187">
      <c r="A187" s="3">
        <f>IFERROR(__xludf.DUMMYFUNCTION("""COMPUTED_VALUE"""),44825.72916666667)</f>
        <v>44825.72917</v>
      </c>
      <c r="B187" s="1">
        <f>IFERROR(__xludf.DUMMYFUNCTION("""COMPUTED_VALUE"""),59.15)</f>
        <v>59.15</v>
      </c>
      <c r="C187" s="1">
        <f>IFERROR(__xludf.DUMMYFUNCTION("""COMPUTED_VALUE"""),60.25)</f>
        <v>60.25</v>
      </c>
      <c r="D187" s="1">
        <f>IFERROR(__xludf.DUMMYFUNCTION("""COMPUTED_VALUE"""),59.15)</f>
        <v>59.15</v>
      </c>
      <c r="E187" s="1">
        <f>IFERROR(__xludf.DUMMYFUNCTION("""COMPUTED_VALUE"""),59.7)</f>
        <v>59.7</v>
      </c>
      <c r="F187" s="1">
        <f>IFERROR(__xludf.DUMMYFUNCTION("""COMPUTED_VALUE"""),74918.0)</f>
        <v>74918</v>
      </c>
      <c r="G187" s="2" t="s">
        <v>8</v>
      </c>
    </row>
    <row r="188">
      <c r="A188" s="3">
        <f>IFERROR(__xludf.DUMMYFUNCTION("""COMPUTED_VALUE"""),44826.72916666667)</f>
        <v>44826.72917</v>
      </c>
      <c r="B188" s="1">
        <f>IFERROR(__xludf.DUMMYFUNCTION("""COMPUTED_VALUE"""),59.0)</f>
        <v>59</v>
      </c>
      <c r="C188" s="1">
        <f>IFERROR(__xludf.DUMMYFUNCTION("""COMPUTED_VALUE"""),59.7)</f>
        <v>59.7</v>
      </c>
      <c r="D188" s="1">
        <f>IFERROR(__xludf.DUMMYFUNCTION("""COMPUTED_VALUE"""),59.0)</f>
        <v>59</v>
      </c>
      <c r="E188" s="1">
        <f>IFERROR(__xludf.DUMMYFUNCTION("""COMPUTED_VALUE"""),59.35)</f>
        <v>59.35</v>
      </c>
      <c r="F188" s="1">
        <f>IFERROR(__xludf.DUMMYFUNCTION("""COMPUTED_VALUE"""),74055.0)</f>
        <v>74055</v>
      </c>
      <c r="G188" s="2" t="s">
        <v>8</v>
      </c>
    </row>
    <row r="189">
      <c r="A189" s="3">
        <f>IFERROR(__xludf.DUMMYFUNCTION("""COMPUTED_VALUE"""),44827.72916666667)</f>
        <v>44827.72917</v>
      </c>
      <c r="B189" s="1">
        <f>IFERROR(__xludf.DUMMYFUNCTION("""COMPUTED_VALUE"""),59.2)</f>
        <v>59.2</v>
      </c>
      <c r="C189" s="1">
        <f>IFERROR(__xludf.DUMMYFUNCTION("""COMPUTED_VALUE"""),59.55)</f>
        <v>59.55</v>
      </c>
      <c r="D189" s="1">
        <f>IFERROR(__xludf.DUMMYFUNCTION("""COMPUTED_VALUE"""),58.1)</f>
        <v>58.1</v>
      </c>
      <c r="E189" s="1">
        <f>IFERROR(__xludf.DUMMYFUNCTION("""COMPUTED_VALUE"""),58.4)</f>
        <v>58.4</v>
      </c>
      <c r="F189" s="1">
        <f>IFERROR(__xludf.DUMMYFUNCTION("""COMPUTED_VALUE"""),88866.0)</f>
        <v>88866</v>
      </c>
      <c r="G189" s="2" t="s">
        <v>8</v>
      </c>
    </row>
    <row r="190">
      <c r="A190" s="3">
        <f>IFERROR(__xludf.DUMMYFUNCTION("""COMPUTED_VALUE"""),44830.72916666667)</f>
        <v>44830.72917</v>
      </c>
      <c r="B190" s="1">
        <f>IFERROR(__xludf.DUMMYFUNCTION("""COMPUTED_VALUE"""),58.0)</f>
        <v>58</v>
      </c>
      <c r="C190" s="1">
        <f>IFERROR(__xludf.DUMMYFUNCTION("""COMPUTED_VALUE"""),58.9)</f>
        <v>58.9</v>
      </c>
      <c r="D190" s="1">
        <f>IFERROR(__xludf.DUMMYFUNCTION("""COMPUTED_VALUE"""),57.8)</f>
        <v>57.8</v>
      </c>
      <c r="E190" s="1">
        <f>IFERROR(__xludf.DUMMYFUNCTION("""COMPUTED_VALUE"""),58.05)</f>
        <v>58.05</v>
      </c>
      <c r="F190" s="1">
        <f>IFERROR(__xludf.DUMMYFUNCTION("""COMPUTED_VALUE"""),164084.0)</f>
        <v>164084</v>
      </c>
      <c r="G190" s="2" t="s">
        <v>8</v>
      </c>
    </row>
    <row r="191">
      <c r="A191" s="3">
        <f>IFERROR(__xludf.DUMMYFUNCTION("""COMPUTED_VALUE"""),44831.72916666667)</f>
        <v>44831.72917</v>
      </c>
      <c r="B191" s="1">
        <f>IFERROR(__xludf.DUMMYFUNCTION("""COMPUTED_VALUE"""),58.4)</f>
        <v>58.4</v>
      </c>
      <c r="C191" s="1">
        <f>IFERROR(__xludf.DUMMYFUNCTION("""COMPUTED_VALUE"""),59.05)</f>
        <v>59.05</v>
      </c>
      <c r="D191" s="1">
        <f>IFERROR(__xludf.DUMMYFUNCTION("""COMPUTED_VALUE"""),58.0)</f>
        <v>58</v>
      </c>
      <c r="E191" s="1">
        <f>IFERROR(__xludf.DUMMYFUNCTION("""COMPUTED_VALUE"""),58.0)</f>
        <v>58</v>
      </c>
      <c r="F191" s="1">
        <f>IFERROR(__xludf.DUMMYFUNCTION("""COMPUTED_VALUE"""),117131.0)</f>
        <v>117131</v>
      </c>
      <c r="G191" s="2" t="s">
        <v>8</v>
      </c>
    </row>
    <row r="192">
      <c r="A192" s="3">
        <f>IFERROR(__xludf.DUMMYFUNCTION("""COMPUTED_VALUE"""),44832.72916666667)</f>
        <v>44832.72917</v>
      </c>
      <c r="B192" s="1">
        <f>IFERROR(__xludf.DUMMYFUNCTION("""COMPUTED_VALUE"""),57.4)</f>
        <v>57.4</v>
      </c>
      <c r="C192" s="1">
        <f>IFERROR(__xludf.DUMMYFUNCTION("""COMPUTED_VALUE"""),58.0)</f>
        <v>58</v>
      </c>
      <c r="D192" s="1">
        <f>IFERROR(__xludf.DUMMYFUNCTION("""COMPUTED_VALUE"""),56.9)</f>
        <v>56.9</v>
      </c>
      <c r="E192" s="1">
        <f>IFERROR(__xludf.DUMMYFUNCTION("""COMPUTED_VALUE"""),57.95)</f>
        <v>57.95</v>
      </c>
      <c r="F192" s="1">
        <f>IFERROR(__xludf.DUMMYFUNCTION("""COMPUTED_VALUE"""),128541.0)</f>
        <v>128541</v>
      </c>
      <c r="G192" s="2" t="s">
        <v>8</v>
      </c>
    </row>
    <row r="193">
      <c r="A193" s="3">
        <f>IFERROR(__xludf.DUMMYFUNCTION("""COMPUTED_VALUE"""),44833.72916666667)</f>
        <v>44833.72917</v>
      </c>
      <c r="B193" s="1">
        <f>IFERROR(__xludf.DUMMYFUNCTION("""COMPUTED_VALUE"""),57.9)</f>
        <v>57.9</v>
      </c>
      <c r="C193" s="1">
        <f>IFERROR(__xludf.DUMMYFUNCTION("""COMPUTED_VALUE"""),57.9)</f>
        <v>57.9</v>
      </c>
      <c r="D193" s="1">
        <f>IFERROR(__xludf.DUMMYFUNCTION("""COMPUTED_VALUE"""),57.0)</f>
        <v>57</v>
      </c>
      <c r="E193" s="1">
        <f>IFERROR(__xludf.DUMMYFUNCTION("""COMPUTED_VALUE"""),57.45)</f>
        <v>57.45</v>
      </c>
      <c r="F193" s="1">
        <f>IFERROR(__xludf.DUMMYFUNCTION("""COMPUTED_VALUE"""),148396.0)</f>
        <v>148396</v>
      </c>
      <c r="G193" s="2" t="s">
        <v>8</v>
      </c>
    </row>
    <row r="194">
      <c r="A194" s="3">
        <f>IFERROR(__xludf.DUMMYFUNCTION("""COMPUTED_VALUE"""),44834.72916666667)</f>
        <v>44834.72917</v>
      </c>
      <c r="B194" s="1">
        <f>IFERROR(__xludf.DUMMYFUNCTION("""COMPUTED_VALUE"""),57.4)</f>
        <v>57.4</v>
      </c>
      <c r="C194" s="1">
        <f>IFERROR(__xludf.DUMMYFUNCTION("""COMPUTED_VALUE"""),58.55)</f>
        <v>58.55</v>
      </c>
      <c r="D194" s="1">
        <f>IFERROR(__xludf.DUMMYFUNCTION("""COMPUTED_VALUE"""),57.0)</f>
        <v>57</v>
      </c>
      <c r="E194" s="1">
        <f>IFERROR(__xludf.DUMMYFUNCTION("""COMPUTED_VALUE"""),58.3)</f>
        <v>58.3</v>
      </c>
      <c r="F194" s="1">
        <f>IFERROR(__xludf.DUMMYFUNCTION("""COMPUTED_VALUE"""),143016.0)</f>
        <v>143016</v>
      </c>
      <c r="G194" s="2" t="s">
        <v>8</v>
      </c>
    </row>
    <row r="195">
      <c r="A195" s="3">
        <f>IFERROR(__xludf.DUMMYFUNCTION("""COMPUTED_VALUE"""),44837.72916666667)</f>
        <v>44837.72917</v>
      </c>
      <c r="B195" s="1">
        <f>IFERROR(__xludf.DUMMYFUNCTION("""COMPUTED_VALUE"""),58.25)</f>
        <v>58.25</v>
      </c>
      <c r="C195" s="1">
        <f>IFERROR(__xludf.DUMMYFUNCTION("""COMPUTED_VALUE"""),58.6)</f>
        <v>58.6</v>
      </c>
      <c r="D195" s="1">
        <f>IFERROR(__xludf.DUMMYFUNCTION("""COMPUTED_VALUE"""),57.5)</f>
        <v>57.5</v>
      </c>
      <c r="E195" s="1">
        <f>IFERROR(__xludf.DUMMYFUNCTION("""COMPUTED_VALUE"""),58.4)</f>
        <v>58.4</v>
      </c>
      <c r="F195" s="1">
        <f>IFERROR(__xludf.DUMMYFUNCTION("""COMPUTED_VALUE"""),105383.0)</f>
        <v>105383</v>
      </c>
      <c r="G195" s="2" t="s">
        <v>8</v>
      </c>
    </row>
    <row r="196">
      <c r="A196" s="3">
        <f>IFERROR(__xludf.DUMMYFUNCTION("""COMPUTED_VALUE"""),44838.72916666667)</f>
        <v>44838.72917</v>
      </c>
      <c r="B196" s="1">
        <f>IFERROR(__xludf.DUMMYFUNCTION("""COMPUTED_VALUE"""),58.95)</f>
        <v>58.95</v>
      </c>
      <c r="C196" s="1">
        <f>IFERROR(__xludf.DUMMYFUNCTION("""COMPUTED_VALUE"""),59.85)</f>
        <v>59.85</v>
      </c>
      <c r="D196" s="1">
        <f>IFERROR(__xludf.DUMMYFUNCTION("""COMPUTED_VALUE"""),58.6)</f>
        <v>58.6</v>
      </c>
      <c r="E196" s="1">
        <f>IFERROR(__xludf.DUMMYFUNCTION("""COMPUTED_VALUE"""),59.35)</f>
        <v>59.35</v>
      </c>
      <c r="F196" s="1">
        <f>IFERROR(__xludf.DUMMYFUNCTION("""COMPUTED_VALUE"""),111430.0)</f>
        <v>111430</v>
      </c>
      <c r="G196" s="2" t="s">
        <v>8</v>
      </c>
    </row>
    <row r="197">
      <c r="A197" s="3">
        <f>IFERROR(__xludf.DUMMYFUNCTION("""COMPUTED_VALUE"""),44839.72916666667)</f>
        <v>44839.72917</v>
      </c>
      <c r="B197" s="1">
        <f>IFERROR(__xludf.DUMMYFUNCTION("""COMPUTED_VALUE"""),59.15)</f>
        <v>59.15</v>
      </c>
      <c r="C197" s="1">
        <f>IFERROR(__xludf.DUMMYFUNCTION("""COMPUTED_VALUE"""),59.4)</f>
        <v>59.4</v>
      </c>
      <c r="D197" s="1">
        <f>IFERROR(__xludf.DUMMYFUNCTION("""COMPUTED_VALUE"""),58.8)</f>
        <v>58.8</v>
      </c>
      <c r="E197" s="1">
        <f>IFERROR(__xludf.DUMMYFUNCTION("""COMPUTED_VALUE"""),58.95)</f>
        <v>58.95</v>
      </c>
      <c r="F197" s="1">
        <f>IFERROR(__xludf.DUMMYFUNCTION("""COMPUTED_VALUE"""),94426.0)</f>
        <v>94426</v>
      </c>
      <c r="G197" s="2" t="s">
        <v>8</v>
      </c>
    </row>
    <row r="198">
      <c r="A198" s="3">
        <f>IFERROR(__xludf.DUMMYFUNCTION("""COMPUTED_VALUE"""),44840.72916666667)</f>
        <v>44840.72917</v>
      </c>
      <c r="B198" s="1">
        <f>IFERROR(__xludf.DUMMYFUNCTION("""COMPUTED_VALUE"""),59.2)</f>
        <v>59.2</v>
      </c>
      <c r="C198" s="1">
        <f>IFERROR(__xludf.DUMMYFUNCTION("""COMPUTED_VALUE"""),59.25)</f>
        <v>59.25</v>
      </c>
      <c r="D198" s="1">
        <f>IFERROR(__xludf.DUMMYFUNCTION("""COMPUTED_VALUE"""),57.95)</f>
        <v>57.95</v>
      </c>
      <c r="E198" s="1">
        <f>IFERROR(__xludf.DUMMYFUNCTION("""COMPUTED_VALUE"""),58.4)</f>
        <v>58.4</v>
      </c>
      <c r="F198" s="1">
        <f>IFERROR(__xludf.DUMMYFUNCTION("""COMPUTED_VALUE"""),78260.0)</f>
        <v>78260</v>
      </c>
      <c r="G198" s="2" t="s">
        <v>8</v>
      </c>
    </row>
    <row r="199">
      <c r="A199" s="3">
        <f>IFERROR(__xludf.DUMMYFUNCTION("""COMPUTED_VALUE"""),44841.72916666667)</f>
        <v>44841.72917</v>
      </c>
      <c r="B199" s="1">
        <f>IFERROR(__xludf.DUMMYFUNCTION("""COMPUTED_VALUE"""),58.25)</f>
        <v>58.25</v>
      </c>
      <c r="C199" s="1">
        <f>IFERROR(__xludf.DUMMYFUNCTION("""COMPUTED_VALUE"""),58.7)</f>
        <v>58.7</v>
      </c>
      <c r="D199" s="1">
        <f>IFERROR(__xludf.DUMMYFUNCTION("""COMPUTED_VALUE"""),57.75)</f>
        <v>57.75</v>
      </c>
      <c r="E199" s="1">
        <f>IFERROR(__xludf.DUMMYFUNCTION("""COMPUTED_VALUE"""),58.05)</f>
        <v>58.05</v>
      </c>
      <c r="F199" s="1">
        <f>IFERROR(__xludf.DUMMYFUNCTION("""COMPUTED_VALUE"""),82055.0)</f>
        <v>82055</v>
      </c>
      <c r="G199" s="2" t="s">
        <v>8</v>
      </c>
    </row>
    <row r="200">
      <c r="A200" s="3">
        <f>IFERROR(__xludf.DUMMYFUNCTION("""COMPUTED_VALUE"""),44844.72916666667)</f>
        <v>44844.72917</v>
      </c>
      <c r="B200" s="1">
        <f>IFERROR(__xludf.DUMMYFUNCTION("""COMPUTED_VALUE"""),57.7)</f>
        <v>57.7</v>
      </c>
      <c r="C200" s="1">
        <f>IFERROR(__xludf.DUMMYFUNCTION("""COMPUTED_VALUE"""),58.95)</f>
        <v>58.95</v>
      </c>
      <c r="D200" s="1">
        <f>IFERROR(__xludf.DUMMYFUNCTION("""COMPUTED_VALUE"""),57.55)</f>
        <v>57.55</v>
      </c>
      <c r="E200" s="1">
        <f>IFERROR(__xludf.DUMMYFUNCTION("""COMPUTED_VALUE"""),58.1)</f>
        <v>58.1</v>
      </c>
      <c r="F200" s="1">
        <f>IFERROR(__xludf.DUMMYFUNCTION("""COMPUTED_VALUE"""),131017.0)</f>
        <v>131017</v>
      </c>
      <c r="G200" s="2" t="s">
        <v>8</v>
      </c>
    </row>
    <row r="201">
      <c r="A201" s="3">
        <f>IFERROR(__xludf.DUMMYFUNCTION("""COMPUTED_VALUE"""),44845.72916666667)</f>
        <v>44845.72917</v>
      </c>
      <c r="B201" s="1">
        <f>IFERROR(__xludf.DUMMYFUNCTION("""COMPUTED_VALUE"""),58.15)</f>
        <v>58.15</v>
      </c>
      <c r="C201" s="1">
        <f>IFERROR(__xludf.DUMMYFUNCTION("""COMPUTED_VALUE"""),58.65)</f>
        <v>58.65</v>
      </c>
      <c r="D201" s="1">
        <f>IFERROR(__xludf.DUMMYFUNCTION("""COMPUTED_VALUE"""),58.0)</f>
        <v>58</v>
      </c>
      <c r="E201" s="1">
        <f>IFERROR(__xludf.DUMMYFUNCTION("""COMPUTED_VALUE"""),58.3)</f>
        <v>58.3</v>
      </c>
      <c r="F201" s="1">
        <f>IFERROR(__xludf.DUMMYFUNCTION("""COMPUTED_VALUE"""),160284.0)</f>
        <v>160284</v>
      </c>
      <c r="G201" s="2" t="s">
        <v>8</v>
      </c>
    </row>
    <row r="202">
      <c r="A202" s="3">
        <f>IFERROR(__xludf.DUMMYFUNCTION("""COMPUTED_VALUE"""),44846.72916666667)</f>
        <v>44846.72917</v>
      </c>
      <c r="B202" s="1">
        <f>IFERROR(__xludf.DUMMYFUNCTION("""COMPUTED_VALUE"""),58.55)</f>
        <v>58.55</v>
      </c>
      <c r="C202" s="1">
        <f>IFERROR(__xludf.DUMMYFUNCTION("""COMPUTED_VALUE"""),58.65)</f>
        <v>58.65</v>
      </c>
      <c r="D202" s="1">
        <f>IFERROR(__xludf.DUMMYFUNCTION("""COMPUTED_VALUE"""),57.85)</f>
        <v>57.85</v>
      </c>
      <c r="E202" s="1">
        <f>IFERROR(__xludf.DUMMYFUNCTION("""COMPUTED_VALUE"""),57.95)</f>
        <v>57.95</v>
      </c>
      <c r="F202" s="1">
        <f>IFERROR(__xludf.DUMMYFUNCTION("""COMPUTED_VALUE"""),113234.0)</f>
        <v>113234</v>
      </c>
      <c r="G202" s="2" t="s">
        <v>8</v>
      </c>
    </row>
    <row r="203">
      <c r="A203" s="3">
        <f>IFERROR(__xludf.DUMMYFUNCTION("""COMPUTED_VALUE"""),44847.72916666667)</f>
        <v>44847.72917</v>
      </c>
      <c r="B203" s="1">
        <f>IFERROR(__xludf.DUMMYFUNCTION("""COMPUTED_VALUE"""),57.45)</f>
        <v>57.45</v>
      </c>
      <c r="C203" s="1">
        <f>IFERROR(__xludf.DUMMYFUNCTION("""COMPUTED_VALUE"""),58.15)</f>
        <v>58.15</v>
      </c>
      <c r="D203" s="1">
        <f>IFERROR(__xludf.DUMMYFUNCTION("""COMPUTED_VALUE"""),56.55)</f>
        <v>56.55</v>
      </c>
      <c r="E203" s="1">
        <f>IFERROR(__xludf.DUMMYFUNCTION("""COMPUTED_VALUE"""),57.9)</f>
        <v>57.9</v>
      </c>
      <c r="F203" s="1">
        <f>IFERROR(__xludf.DUMMYFUNCTION("""COMPUTED_VALUE"""),114134.0)</f>
        <v>114134</v>
      </c>
      <c r="G203" s="2" t="s">
        <v>8</v>
      </c>
    </row>
    <row r="204">
      <c r="A204" s="3">
        <f>IFERROR(__xludf.DUMMYFUNCTION("""COMPUTED_VALUE"""),44848.72916666667)</f>
        <v>44848.72917</v>
      </c>
      <c r="B204" s="1">
        <f>IFERROR(__xludf.DUMMYFUNCTION("""COMPUTED_VALUE"""),58.45)</f>
        <v>58.45</v>
      </c>
      <c r="C204" s="1">
        <f>IFERROR(__xludf.DUMMYFUNCTION("""COMPUTED_VALUE"""),59.1)</f>
        <v>59.1</v>
      </c>
      <c r="D204" s="1">
        <f>IFERROR(__xludf.DUMMYFUNCTION("""COMPUTED_VALUE"""),58.15)</f>
        <v>58.15</v>
      </c>
      <c r="E204" s="1">
        <f>IFERROR(__xludf.DUMMYFUNCTION("""COMPUTED_VALUE"""),58.3)</f>
        <v>58.3</v>
      </c>
      <c r="F204" s="1">
        <f>IFERROR(__xludf.DUMMYFUNCTION("""COMPUTED_VALUE"""),168786.0)</f>
        <v>168786</v>
      </c>
      <c r="G204" s="2" t="s">
        <v>8</v>
      </c>
    </row>
    <row r="205">
      <c r="A205" s="3">
        <f>IFERROR(__xludf.DUMMYFUNCTION("""COMPUTED_VALUE"""),44851.72916666667)</f>
        <v>44851.72917</v>
      </c>
      <c r="B205" s="1">
        <f>IFERROR(__xludf.DUMMYFUNCTION("""COMPUTED_VALUE"""),58.3)</f>
        <v>58.3</v>
      </c>
      <c r="C205" s="1">
        <f>IFERROR(__xludf.DUMMYFUNCTION("""COMPUTED_VALUE"""),59.15)</f>
        <v>59.15</v>
      </c>
      <c r="D205" s="1">
        <f>IFERROR(__xludf.DUMMYFUNCTION("""COMPUTED_VALUE"""),58.1)</f>
        <v>58.1</v>
      </c>
      <c r="E205" s="1">
        <f>IFERROR(__xludf.DUMMYFUNCTION("""COMPUTED_VALUE"""),58.65)</f>
        <v>58.65</v>
      </c>
      <c r="F205" s="1">
        <f>IFERROR(__xludf.DUMMYFUNCTION("""COMPUTED_VALUE"""),142152.0)</f>
        <v>142152</v>
      </c>
      <c r="G205" s="2" t="s">
        <v>8</v>
      </c>
    </row>
    <row r="206">
      <c r="A206" s="3">
        <f>IFERROR(__xludf.DUMMYFUNCTION("""COMPUTED_VALUE"""),44852.72916666667)</f>
        <v>44852.72917</v>
      </c>
      <c r="B206" s="1">
        <f>IFERROR(__xludf.DUMMYFUNCTION("""COMPUTED_VALUE"""),59.15)</f>
        <v>59.15</v>
      </c>
      <c r="C206" s="1">
        <f>IFERROR(__xludf.DUMMYFUNCTION("""COMPUTED_VALUE"""),60.0)</f>
        <v>60</v>
      </c>
      <c r="D206" s="1">
        <f>IFERROR(__xludf.DUMMYFUNCTION("""COMPUTED_VALUE"""),59.0)</f>
        <v>59</v>
      </c>
      <c r="E206" s="1">
        <f>IFERROR(__xludf.DUMMYFUNCTION("""COMPUTED_VALUE"""),59.7)</f>
        <v>59.7</v>
      </c>
      <c r="F206" s="1">
        <f>IFERROR(__xludf.DUMMYFUNCTION("""COMPUTED_VALUE"""),100091.0)</f>
        <v>100091</v>
      </c>
      <c r="G206" s="2" t="s">
        <v>8</v>
      </c>
    </row>
    <row r="207">
      <c r="A207" s="3">
        <f>IFERROR(__xludf.DUMMYFUNCTION("""COMPUTED_VALUE"""),44853.72916666667)</f>
        <v>44853.72917</v>
      </c>
      <c r="B207" s="1">
        <f>IFERROR(__xludf.DUMMYFUNCTION("""COMPUTED_VALUE"""),59.2)</f>
        <v>59.2</v>
      </c>
      <c r="C207" s="1">
        <f>IFERROR(__xludf.DUMMYFUNCTION("""COMPUTED_VALUE"""),59.9)</f>
        <v>59.9</v>
      </c>
      <c r="D207" s="1">
        <f>IFERROR(__xludf.DUMMYFUNCTION("""COMPUTED_VALUE"""),59.05)</f>
        <v>59.05</v>
      </c>
      <c r="E207" s="1">
        <f>IFERROR(__xludf.DUMMYFUNCTION("""COMPUTED_VALUE"""),59.45)</f>
        <v>59.45</v>
      </c>
      <c r="F207" s="1">
        <f>IFERROR(__xludf.DUMMYFUNCTION("""COMPUTED_VALUE"""),64578.0)</f>
        <v>64578</v>
      </c>
      <c r="G207" s="2" t="s">
        <v>8</v>
      </c>
    </row>
    <row r="208">
      <c r="A208" s="3">
        <f>IFERROR(__xludf.DUMMYFUNCTION("""COMPUTED_VALUE"""),44854.72916666667)</f>
        <v>44854.72917</v>
      </c>
      <c r="B208" s="1">
        <f>IFERROR(__xludf.DUMMYFUNCTION("""COMPUTED_VALUE"""),59.75)</f>
        <v>59.75</v>
      </c>
      <c r="C208" s="1">
        <f>IFERROR(__xludf.DUMMYFUNCTION("""COMPUTED_VALUE"""),60.1)</f>
        <v>60.1</v>
      </c>
      <c r="D208" s="1">
        <f>IFERROR(__xludf.DUMMYFUNCTION("""COMPUTED_VALUE"""),59.2)</f>
        <v>59.2</v>
      </c>
      <c r="E208" s="1">
        <f>IFERROR(__xludf.DUMMYFUNCTION("""COMPUTED_VALUE"""),59.85)</f>
        <v>59.85</v>
      </c>
      <c r="F208" s="1">
        <f>IFERROR(__xludf.DUMMYFUNCTION("""COMPUTED_VALUE"""),69252.0)</f>
        <v>69252</v>
      </c>
      <c r="G208" s="2" t="s">
        <v>8</v>
      </c>
    </row>
    <row r="209">
      <c r="A209" s="3">
        <f>IFERROR(__xludf.DUMMYFUNCTION("""COMPUTED_VALUE"""),44855.72916666667)</f>
        <v>44855.72917</v>
      </c>
      <c r="B209" s="1">
        <f>IFERROR(__xludf.DUMMYFUNCTION("""COMPUTED_VALUE"""),59.8)</f>
        <v>59.8</v>
      </c>
      <c r="C209" s="1">
        <f>IFERROR(__xludf.DUMMYFUNCTION("""COMPUTED_VALUE"""),59.8)</f>
        <v>59.8</v>
      </c>
      <c r="D209" s="1">
        <f>IFERROR(__xludf.DUMMYFUNCTION("""COMPUTED_VALUE"""),58.25)</f>
        <v>58.25</v>
      </c>
      <c r="E209" s="1">
        <f>IFERROR(__xludf.DUMMYFUNCTION("""COMPUTED_VALUE"""),58.65)</f>
        <v>58.65</v>
      </c>
      <c r="F209" s="1">
        <f>IFERROR(__xludf.DUMMYFUNCTION("""COMPUTED_VALUE"""),109914.0)</f>
        <v>109914</v>
      </c>
      <c r="G209" s="2" t="s">
        <v>8</v>
      </c>
    </row>
    <row r="210">
      <c r="A210" s="3">
        <f>IFERROR(__xludf.DUMMYFUNCTION("""COMPUTED_VALUE"""),44858.72916666667)</f>
        <v>44858.72917</v>
      </c>
      <c r="B210" s="1">
        <f>IFERROR(__xludf.DUMMYFUNCTION("""COMPUTED_VALUE"""),59.0)</f>
        <v>59</v>
      </c>
      <c r="C210" s="1">
        <f>IFERROR(__xludf.DUMMYFUNCTION("""COMPUTED_VALUE"""),59.2)</f>
        <v>59.2</v>
      </c>
      <c r="D210" s="1">
        <f>IFERROR(__xludf.DUMMYFUNCTION("""COMPUTED_VALUE"""),57.4)</f>
        <v>57.4</v>
      </c>
      <c r="E210" s="1">
        <f>IFERROR(__xludf.DUMMYFUNCTION("""COMPUTED_VALUE"""),58.45)</f>
        <v>58.45</v>
      </c>
      <c r="F210" s="1">
        <f>IFERROR(__xludf.DUMMYFUNCTION("""COMPUTED_VALUE"""),176892.0)</f>
        <v>176892</v>
      </c>
      <c r="G210" s="2" t="s">
        <v>8</v>
      </c>
    </row>
    <row r="211">
      <c r="A211" s="3">
        <f>IFERROR(__xludf.DUMMYFUNCTION("""COMPUTED_VALUE"""),44859.72916666667)</f>
        <v>44859.72917</v>
      </c>
      <c r="B211" s="1">
        <f>IFERROR(__xludf.DUMMYFUNCTION("""COMPUTED_VALUE"""),58.65)</f>
        <v>58.65</v>
      </c>
      <c r="C211" s="1">
        <f>IFERROR(__xludf.DUMMYFUNCTION("""COMPUTED_VALUE"""),59.3)</f>
        <v>59.3</v>
      </c>
      <c r="D211" s="1">
        <f>IFERROR(__xludf.DUMMYFUNCTION("""COMPUTED_VALUE"""),58.25)</f>
        <v>58.25</v>
      </c>
      <c r="E211" s="1">
        <f>IFERROR(__xludf.DUMMYFUNCTION("""COMPUTED_VALUE"""),59.05)</f>
        <v>59.05</v>
      </c>
      <c r="F211" s="1">
        <f>IFERROR(__xludf.DUMMYFUNCTION("""COMPUTED_VALUE"""),105133.0)</f>
        <v>105133</v>
      </c>
      <c r="G211" s="2" t="s">
        <v>8</v>
      </c>
    </row>
    <row r="212">
      <c r="A212" s="3">
        <f>IFERROR(__xludf.DUMMYFUNCTION("""COMPUTED_VALUE"""),44860.72916666667)</f>
        <v>44860.72917</v>
      </c>
      <c r="B212" s="1">
        <f>IFERROR(__xludf.DUMMYFUNCTION("""COMPUTED_VALUE"""),58.95)</f>
        <v>58.95</v>
      </c>
      <c r="C212" s="1">
        <f>IFERROR(__xludf.DUMMYFUNCTION("""COMPUTED_VALUE"""),59.05)</f>
        <v>59.05</v>
      </c>
      <c r="D212" s="1">
        <f>IFERROR(__xludf.DUMMYFUNCTION("""COMPUTED_VALUE"""),58.1)</f>
        <v>58.1</v>
      </c>
      <c r="E212" s="1">
        <f>IFERROR(__xludf.DUMMYFUNCTION("""COMPUTED_VALUE"""),58.5)</f>
        <v>58.5</v>
      </c>
      <c r="F212" s="1">
        <f>IFERROR(__xludf.DUMMYFUNCTION("""COMPUTED_VALUE"""),99372.0)</f>
        <v>99372</v>
      </c>
      <c r="G212" s="2" t="s">
        <v>8</v>
      </c>
    </row>
    <row r="213">
      <c r="A213" s="3">
        <f>IFERROR(__xludf.DUMMYFUNCTION("""COMPUTED_VALUE"""),44861.72916666667)</f>
        <v>44861.72917</v>
      </c>
      <c r="B213" s="1">
        <f>IFERROR(__xludf.DUMMYFUNCTION("""COMPUTED_VALUE"""),58.35)</f>
        <v>58.35</v>
      </c>
      <c r="C213" s="1">
        <f>IFERROR(__xludf.DUMMYFUNCTION("""COMPUTED_VALUE"""),59.15)</f>
        <v>59.15</v>
      </c>
      <c r="D213" s="1">
        <f>IFERROR(__xludf.DUMMYFUNCTION("""COMPUTED_VALUE"""),58.35)</f>
        <v>58.35</v>
      </c>
      <c r="E213" s="1">
        <f>IFERROR(__xludf.DUMMYFUNCTION("""COMPUTED_VALUE"""),58.5)</f>
        <v>58.5</v>
      </c>
      <c r="F213" s="1">
        <f>IFERROR(__xludf.DUMMYFUNCTION("""COMPUTED_VALUE"""),89022.0)</f>
        <v>89022</v>
      </c>
      <c r="G213" s="2" t="s">
        <v>8</v>
      </c>
    </row>
    <row r="214">
      <c r="A214" s="3">
        <f>IFERROR(__xludf.DUMMYFUNCTION("""COMPUTED_VALUE"""),44862.72916666667)</f>
        <v>44862.72917</v>
      </c>
      <c r="B214" s="1">
        <f>IFERROR(__xludf.DUMMYFUNCTION("""COMPUTED_VALUE"""),58.35)</f>
        <v>58.35</v>
      </c>
      <c r="C214" s="1">
        <f>IFERROR(__xludf.DUMMYFUNCTION("""COMPUTED_VALUE"""),59.85)</f>
        <v>59.85</v>
      </c>
      <c r="D214" s="1">
        <f>IFERROR(__xludf.DUMMYFUNCTION("""COMPUTED_VALUE"""),58.35)</f>
        <v>58.35</v>
      </c>
      <c r="E214" s="1">
        <f>IFERROR(__xludf.DUMMYFUNCTION("""COMPUTED_VALUE"""),59.5)</f>
        <v>59.5</v>
      </c>
      <c r="F214" s="1">
        <f>IFERROR(__xludf.DUMMYFUNCTION("""COMPUTED_VALUE"""),68544.0)</f>
        <v>68544</v>
      </c>
      <c r="G214" s="2" t="s">
        <v>8</v>
      </c>
    </row>
    <row r="215">
      <c r="A215" s="3">
        <f>IFERROR(__xludf.DUMMYFUNCTION("""COMPUTED_VALUE"""),44865.72916666667)</f>
        <v>44865.72917</v>
      </c>
      <c r="B215" s="1">
        <f>IFERROR(__xludf.DUMMYFUNCTION("""COMPUTED_VALUE"""),59.65)</f>
        <v>59.65</v>
      </c>
      <c r="C215" s="1">
        <f>IFERROR(__xludf.DUMMYFUNCTION("""COMPUTED_VALUE"""),59.75)</f>
        <v>59.75</v>
      </c>
      <c r="D215" s="1">
        <f>IFERROR(__xludf.DUMMYFUNCTION("""COMPUTED_VALUE"""),59.2)</f>
        <v>59.2</v>
      </c>
      <c r="E215" s="1">
        <f>IFERROR(__xludf.DUMMYFUNCTION("""COMPUTED_VALUE"""),59.45)</f>
        <v>59.45</v>
      </c>
      <c r="F215" s="1">
        <f>IFERROR(__xludf.DUMMYFUNCTION("""COMPUTED_VALUE"""),90868.0)</f>
        <v>90868</v>
      </c>
      <c r="G215" s="2" t="s">
        <v>8</v>
      </c>
    </row>
    <row r="216">
      <c r="A216" s="3">
        <f>IFERROR(__xludf.DUMMYFUNCTION("""COMPUTED_VALUE"""),44866.72916666667)</f>
        <v>44866.72917</v>
      </c>
      <c r="B216" s="1">
        <f>IFERROR(__xludf.DUMMYFUNCTION("""COMPUTED_VALUE"""),59.75)</f>
        <v>59.75</v>
      </c>
      <c r="C216" s="1">
        <f>IFERROR(__xludf.DUMMYFUNCTION("""COMPUTED_VALUE"""),59.85)</f>
        <v>59.85</v>
      </c>
      <c r="D216" s="1">
        <f>IFERROR(__xludf.DUMMYFUNCTION("""COMPUTED_VALUE"""),58.95)</f>
        <v>58.95</v>
      </c>
      <c r="E216" s="1">
        <f>IFERROR(__xludf.DUMMYFUNCTION("""COMPUTED_VALUE"""),59.2)</f>
        <v>59.2</v>
      </c>
      <c r="F216" s="1">
        <f>IFERROR(__xludf.DUMMYFUNCTION("""COMPUTED_VALUE"""),66335.0)</f>
        <v>66335</v>
      </c>
      <c r="G216" s="2" t="s">
        <v>8</v>
      </c>
    </row>
    <row r="217">
      <c r="A217" s="3">
        <f>IFERROR(__xludf.DUMMYFUNCTION("""COMPUTED_VALUE"""),44867.72916666667)</f>
        <v>44867.72917</v>
      </c>
      <c r="B217" s="1">
        <f>IFERROR(__xludf.DUMMYFUNCTION("""COMPUTED_VALUE"""),59.25)</f>
        <v>59.25</v>
      </c>
      <c r="C217" s="1">
        <f>IFERROR(__xludf.DUMMYFUNCTION("""COMPUTED_VALUE"""),59.5)</f>
        <v>59.5</v>
      </c>
      <c r="D217" s="1">
        <f>IFERROR(__xludf.DUMMYFUNCTION("""COMPUTED_VALUE"""),58.7)</f>
        <v>58.7</v>
      </c>
      <c r="E217" s="1">
        <f>IFERROR(__xludf.DUMMYFUNCTION("""COMPUTED_VALUE"""),59.25)</f>
        <v>59.25</v>
      </c>
      <c r="F217" s="1">
        <f>IFERROR(__xludf.DUMMYFUNCTION("""COMPUTED_VALUE"""),113302.0)</f>
        <v>113302</v>
      </c>
      <c r="G217" s="2" t="s">
        <v>8</v>
      </c>
    </row>
    <row r="218">
      <c r="A218" s="3">
        <f>IFERROR(__xludf.DUMMYFUNCTION("""COMPUTED_VALUE"""),44868.72916666667)</f>
        <v>44868.72917</v>
      </c>
      <c r="B218" s="1">
        <f>IFERROR(__xludf.DUMMYFUNCTION("""COMPUTED_VALUE"""),59.35)</f>
        <v>59.35</v>
      </c>
      <c r="C218" s="1">
        <f>IFERROR(__xludf.DUMMYFUNCTION("""COMPUTED_VALUE"""),59.35)</f>
        <v>59.35</v>
      </c>
      <c r="D218" s="1">
        <f>IFERROR(__xludf.DUMMYFUNCTION("""COMPUTED_VALUE"""),57.35)</f>
        <v>57.35</v>
      </c>
      <c r="E218" s="1">
        <f>IFERROR(__xludf.DUMMYFUNCTION("""COMPUTED_VALUE"""),57.85)</f>
        <v>57.85</v>
      </c>
      <c r="F218" s="1">
        <f>IFERROR(__xludf.DUMMYFUNCTION("""COMPUTED_VALUE"""),103822.0)</f>
        <v>103822</v>
      </c>
      <c r="G218" s="2" t="s">
        <v>8</v>
      </c>
    </row>
    <row r="219">
      <c r="A219" s="3">
        <f>IFERROR(__xludf.DUMMYFUNCTION("""COMPUTED_VALUE"""),44869.72916666667)</f>
        <v>44869.72917</v>
      </c>
      <c r="B219" s="1">
        <f>IFERROR(__xludf.DUMMYFUNCTION("""COMPUTED_VALUE"""),58.05)</f>
        <v>58.05</v>
      </c>
      <c r="C219" s="1">
        <f>IFERROR(__xludf.DUMMYFUNCTION("""COMPUTED_VALUE"""),59.35)</f>
        <v>59.35</v>
      </c>
      <c r="D219" s="1">
        <f>IFERROR(__xludf.DUMMYFUNCTION("""COMPUTED_VALUE"""),57.6)</f>
        <v>57.6</v>
      </c>
      <c r="E219" s="1">
        <f>IFERROR(__xludf.DUMMYFUNCTION("""COMPUTED_VALUE"""),59.1)</f>
        <v>59.1</v>
      </c>
      <c r="F219" s="1">
        <f>IFERROR(__xludf.DUMMYFUNCTION("""COMPUTED_VALUE"""),106154.0)</f>
        <v>106154</v>
      </c>
      <c r="G219" s="2" t="s">
        <v>8</v>
      </c>
    </row>
    <row r="220">
      <c r="A220" s="3">
        <f>IFERROR(__xludf.DUMMYFUNCTION("""COMPUTED_VALUE"""),44872.72916666667)</f>
        <v>44872.72917</v>
      </c>
      <c r="B220" s="1">
        <f>IFERROR(__xludf.DUMMYFUNCTION("""COMPUTED_VALUE"""),59.1)</f>
        <v>59.1</v>
      </c>
      <c r="C220" s="1">
        <f>IFERROR(__xludf.DUMMYFUNCTION("""COMPUTED_VALUE"""),60.15)</f>
        <v>60.15</v>
      </c>
      <c r="D220" s="1">
        <f>IFERROR(__xludf.DUMMYFUNCTION("""COMPUTED_VALUE"""),58.95)</f>
        <v>58.95</v>
      </c>
      <c r="E220" s="1">
        <f>IFERROR(__xludf.DUMMYFUNCTION("""COMPUTED_VALUE"""),59.75)</f>
        <v>59.75</v>
      </c>
      <c r="F220" s="1">
        <f>IFERROR(__xludf.DUMMYFUNCTION("""COMPUTED_VALUE"""),121583.0)</f>
        <v>121583</v>
      </c>
      <c r="G220" s="2" t="s">
        <v>8</v>
      </c>
    </row>
    <row r="221">
      <c r="A221" s="3">
        <f>IFERROR(__xludf.DUMMYFUNCTION("""COMPUTED_VALUE"""),44873.72916666667)</f>
        <v>44873.72917</v>
      </c>
      <c r="B221" s="1">
        <f>IFERROR(__xludf.DUMMYFUNCTION("""COMPUTED_VALUE"""),59.9)</f>
        <v>59.9</v>
      </c>
      <c r="C221" s="1">
        <f>IFERROR(__xludf.DUMMYFUNCTION("""COMPUTED_VALUE"""),60.6)</f>
        <v>60.6</v>
      </c>
      <c r="D221" s="1">
        <f>IFERROR(__xludf.DUMMYFUNCTION("""COMPUTED_VALUE"""),58.15)</f>
        <v>58.15</v>
      </c>
      <c r="E221" s="1">
        <f>IFERROR(__xludf.DUMMYFUNCTION("""COMPUTED_VALUE"""),60.45)</f>
        <v>60.45</v>
      </c>
      <c r="F221" s="1">
        <f>IFERROR(__xludf.DUMMYFUNCTION("""COMPUTED_VALUE"""),118945.0)</f>
        <v>118945</v>
      </c>
      <c r="G221" s="2" t="s">
        <v>8</v>
      </c>
    </row>
    <row r="222">
      <c r="A222" s="3">
        <f>IFERROR(__xludf.DUMMYFUNCTION("""COMPUTED_VALUE"""),44874.72916666667)</f>
        <v>44874.72917</v>
      </c>
      <c r="B222" s="1">
        <f>IFERROR(__xludf.DUMMYFUNCTION("""COMPUTED_VALUE"""),60.0)</f>
        <v>60</v>
      </c>
      <c r="C222" s="1">
        <f>IFERROR(__xludf.DUMMYFUNCTION("""COMPUTED_VALUE"""),61.2)</f>
        <v>61.2</v>
      </c>
      <c r="D222" s="1">
        <f>IFERROR(__xludf.DUMMYFUNCTION("""COMPUTED_VALUE"""),59.35)</f>
        <v>59.35</v>
      </c>
      <c r="E222" s="1">
        <f>IFERROR(__xludf.DUMMYFUNCTION("""COMPUTED_VALUE"""),61.0)</f>
        <v>61</v>
      </c>
      <c r="F222" s="1">
        <f>IFERROR(__xludf.DUMMYFUNCTION("""COMPUTED_VALUE"""),53583.0)</f>
        <v>53583</v>
      </c>
      <c r="G222" s="2" t="s">
        <v>8</v>
      </c>
    </row>
    <row r="223">
      <c r="A223" s="3">
        <f>IFERROR(__xludf.DUMMYFUNCTION("""COMPUTED_VALUE"""),44875.72916666667)</f>
        <v>44875.72917</v>
      </c>
      <c r="B223" s="1">
        <f>IFERROR(__xludf.DUMMYFUNCTION("""COMPUTED_VALUE"""),60.95)</f>
        <v>60.95</v>
      </c>
      <c r="C223" s="1">
        <f>IFERROR(__xludf.DUMMYFUNCTION("""COMPUTED_VALUE"""),62.4)</f>
        <v>62.4</v>
      </c>
      <c r="D223" s="1">
        <f>IFERROR(__xludf.DUMMYFUNCTION("""COMPUTED_VALUE"""),60.95)</f>
        <v>60.95</v>
      </c>
      <c r="E223" s="1">
        <f>IFERROR(__xludf.DUMMYFUNCTION("""COMPUTED_VALUE"""),61.6)</f>
        <v>61.6</v>
      </c>
      <c r="F223" s="1">
        <f>IFERROR(__xludf.DUMMYFUNCTION("""COMPUTED_VALUE"""),111811.0)</f>
        <v>111811</v>
      </c>
      <c r="G223" s="2" t="s">
        <v>8</v>
      </c>
    </row>
    <row r="224">
      <c r="A224" s="3">
        <f>IFERROR(__xludf.DUMMYFUNCTION("""COMPUTED_VALUE"""),44876.72916666667)</f>
        <v>44876.72917</v>
      </c>
      <c r="B224" s="1">
        <f>IFERROR(__xludf.DUMMYFUNCTION("""COMPUTED_VALUE"""),62.3)</f>
        <v>62.3</v>
      </c>
      <c r="C224" s="1">
        <f>IFERROR(__xludf.DUMMYFUNCTION("""COMPUTED_VALUE"""),62.65)</f>
        <v>62.65</v>
      </c>
      <c r="D224" s="1">
        <f>IFERROR(__xludf.DUMMYFUNCTION("""COMPUTED_VALUE"""),61.9)</f>
        <v>61.9</v>
      </c>
      <c r="E224" s="1">
        <f>IFERROR(__xludf.DUMMYFUNCTION("""COMPUTED_VALUE"""),62.15)</f>
        <v>62.15</v>
      </c>
      <c r="F224" s="1">
        <f>IFERROR(__xludf.DUMMYFUNCTION("""COMPUTED_VALUE"""),58055.0)</f>
        <v>58055</v>
      </c>
      <c r="G224" s="2" t="s">
        <v>8</v>
      </c>
    </row>
    <row r="225">
      <c r="A225" s="3">
        <f>IFERROR(__xludf.DUMMYFUNCTION("""COMPUTED_VALUE"""),44879.72916666667)</f>
        <v>44879.72917</v>
      </c>
      <c r="B225" s="1">
        <f>IFERROR(__xludf.DUMMYFUNCTION("""COMPUTED_VALUE"""),62.45)</f>
        <v>62.45</v>
      </c>
      <c r="C225" s="1">
        <f>IFERROR(__xludf.DUMMYFUNCTION("""COMPUTED_VALUE"""),63.4)</f>
        <v>63.4</v>
      </c>
      <c r="D225" s="1">
        <f>IFERROR(__xludf.DUMMYFUNCTION("""COMPUTED_VALUE"""),62.25)</f>
        <v>62.25</v>
      </c>
      <c r="E225" s="1">
        <f>IFERROR(__xludf.DUMMYFUNCTION("""COMPUTED_VALUE"""),63.0)</f>
        <v>63</v>
      </c>
      <c r="F225" s="1">
        <f>IFERROR(__xludf.DUMMYFUNCTION("""COMPUTED_VALUE"""),73292.0)</f>
        <v>73292</v>
      </c>
      <c r="G225" s="2" t="s">
        <v>8</v>
      </c>
    </row>
    <row r="226">
      <c r="A226" s="3">
        <f>IFERROR(__xludf.DUMMYFUNCTION("""COMPUTED_VALUE"""),44880.72916666667)</f>
        <v>44880.72917</v>
      </c>
      <c r="B226" s="1">
        <f>IFERROR(__xludf.DUMMYFUNCTION("""COMPUTED_VALUE"""),62.95)</f>
        <v>62.95</v>
      </c>
      <c r="C226" s="1">
        <f>IFERROR(__xludf.DUMMYFUNCTION("""COMPUTED_VALUE"""),63.65)</f>
        <v>63.65</v>
      </c>
      <c r="D226" s="1">
        <f>IFERROR(__xludf.DUMMYFUNCTION("""COMPUTED_VALUE"""),62.65)</f>
        <v>62.65</v>
      </c>
      <c r="E226" s="1">
        <f>IFERROR(__xludf.DUMMYFUNCTION("""COMPUTED_VALUE"""),62.85)</f>
        <v>62.85</v>
      </c>
      <c r="F226" s="1">
        <f>IFERROR(__xludf.DUMMYFUNCTION("""COMPUTED_VALUE"""),87295.0)</f>
        <v>87295</v>
      </c>
      <c r="G226" s="2" t="s">
        <v>8</v>
      </c>
    </row>
    <row r="227">
      <c r="A227" s="3">
        <f>IFERROR(__xludf.DUMMYFUNCTION("""COMPUTED_VALUE"""),44881.72916666667)</f>
        <v>44881.72917</v>
      </c>
      <c r="B227" s="1">
        <f>IFERROR(__xludf.DUMMYFUNCTION("""COMPUTED_VALUE"""),62.8)</f>
        <v>62.8</v>
      </c>
      <c r="C227" s="1">
        <f>IFERROR(__xludf.DUMMYFUNCTION("""COMPUTED_VALUE"""),62.85)</f>
        <v>62.85</v>
      </c>
      <c r="D227" s="1">
        <f>IFERROR(__xludf.DUMMYFUNCTION("""COMPUTED_VALUE"""),61.95)</f>
        <v>61.95</v>
      </c>
      <c r="E227" s="1">
        <f>IFERROR(__xludf.DUMMYFUNCTION("""COMPUTED_VALUE"""),62.3)</f>
        <v>62.3</v>
      </c>
      <c r="F227" s="1">
        <f>IFERROR(__xludf.DUMMYFUNCTION("""COMPUTED_VALUE"""),82270.0)</f>
        <v>82270</v>
      </c>
      <c r="G227" s="2" t="s">
        <v>8</v>
      </c>
    </row>
    <row r="228">
      <c r="A228" s="3">
        <f>IFERROR(__xludf.DUMMYFUNCTION("""COMPUTED_VALUE"""),44882.72916666667)</f>
        <v>44882.72917</v>
      </c>
      <c r="B228" s="1">
        <f>IFERROR(__xludf.DUMMYFUNCTION("""COMPUTED_VALUE"""),62.6)</f>
        <v>62.6</v>
      </c>
      <c r="C228" s="1">
        <f>IFERROR(__xludf.DUMMYFUNCTION("""COMPUTED_VALUE"""),62.8)</f>
        <v>62.8</v>
      </c>
      <c r="D228" s="1">
        <f>IFERROR(__xludf.DUMMYFUNCTION("""COMPUTED_VALUE"""),61.7)</f>
        <v>61.7</v>
      </c>
      <c r="E228" s="1">
        <f>IFERROR(__xludf.DUMMYFUNCTION("""COMPUTED_VALUE"""),62.35)</f>
        <v>62.35</v>
      </c>
      <c r="F228" s="1">
        <f>IFERROR(__xludf.DUMMYFUNCTION("""COMPUTED_VALUE"""),82035.0)</f>
        <v>82035</v>
      </c>
      <c r="G228" s="2" t="s">
        <v>8</v>
      </c>
    </row>
    <row r="229">
      <c r="A229" s="3">
        <f>IFERROR(__xludf.DUMMYFUNCTION("""COMPUTED_VALUE"""),44883.72916666667)</f>
        <v>44883.72917</v>
      </c>
      <c r="B229" s="1">
        <f>IFERROR(__xludf.DUMMYFUNCTION("""COMPUTED_VALUE"""),62.35)</f>
        <v>62.35</v>
      </c>
      <c r="C229" s="1">
        <f>IFERROR(__xludf.DUMMYFUNCTION("""COMPUTED_VALUE"""),62.9)</f>
        <v>62.9</v>
      </c>
      <c r="D229" s="1">
        <f>IFERROR(__xludf.DUMMYFUNCTION("""COMPUTED_VALUE"""),62.3)</f>
        <v>62.3</v>
      </c>
      <c r="E229" s="1">
        <f>IFERROR(__xludf.DUMMYFUNCTION("""COMPUTED_VALUE"""),62.85)</f>
        <v>62.85</v>
      </c>
      <c r="F229" s="1">
        <f>IFERROR(__xludf.DUMMYFUNCTION("""COMPUTED_VALUE"""),56714.0)</f>
        <v>56714</v>
      </c>
      <c r="G229" s="2" t="s">
        <v>8</v>
      </c>
    </row>
    <row r="230">
      <c r="A230" s="3">
        <f>IFERROR(__xludf.DUMMYFUNCTION("""COMPUTED_VALUE"""),44886.72916666667)</f>
        <v>44886.72917</v>
      </c>
      <c r="B230" s="1">
        <f>IFERROR(__xludf.DUMMYFUNCTION("""COMPUTED_VALUE"""),62.65)</f>
        <v>62.65</v>
      </c>
      <c r="C230" s="1">
        <f>IFERROR(__xludf.DUMMYFUNCTION("""COMPUTED_VALUE"""),63.5)</f>
        <v>63.5</v>
      </c>
      <c r="D230" s="1">
        <f>IFERROR(__xludf.DUMMYFUNCTION("""COMPUTED_VALUE"""),62.6)</f>
        <v>62.6</v>
      </c>
      <c r="E230" s="1">
        <f>IFERROR(__xludf.DUMMYFUNCTION("""COMPUTED_VALUE"""),63.5)</f>
        <v>63.5</v>
      </c>
      <c r="F230" s="1">
        <f>IFERROR(__xludf.DUMMYFUNCTION("""COMPUTED_VALUE"""),117674.0)</f>
        <v>117674</v>
      </c>
      <c r="G230" s="2" t="s">
        <v>8</v>
      </c>
    </row>
    <row r="231">
      <c r="A231" s="3">
        <f>IFERROR(__xludf.DUMMYFUNCTION("""COMPUTED_VALUE"""),44887.72916666667)</f>
        <v>44887.72917</v>
      </c>
      <c r="B231" s="1">
        <f>IFERROR(__xludf.DUMMYFUNCTION("""COMPUTED_VALUE"""),63.4)</f>
        <v>63.4</v>
      </c>
      <c r="C231" s="1">
        <f>IFERROR(__xludf.DUMMYFUNCTION("""COMPUTED_VALUE"""),64.5)</f>
        <v>64.5</v>
      </c>
      <c r="D231" s="1">
        <f>IFERROR(__xludf.DUMMYFUNCTION("""COMPUTED_VALUE"""),63.4)</f>
        <v>63.4</v>
      </c>
      <c r="E231" s="1">
        <f>IFERROR(__xludf.DUMMYFUNCTION("""COMPUTED_VALUE"""),63.85)</f>
        <v>63.85</v>
      </c>
      <c r="F231" s="1">
        <f>IFERROR(__xludf.DUMMYFUNCTION("""COMPUTED_VALUE"""),129579.0)</f>
        <v>129579</v>
      </c>
      <c r="G231" s="2" t="s">
        <v>8</v>
      </c>
    </row>
    <row r="232">
      <c r="A232" s="3">
        <f>IFERROR(__xludf.DUMMYFUNCTION("""COMPUTED_VALUE"""),44888.72916666667)</f>
        <v>44888.72917</v>
      </c>
      <c r="B232" s="1">
        <f>IFERROR(__xludf.DUMMYFUNCTION("""COMPUTED_VALUE"""),63.95)</f>
        <v>63.95</v>
      </c>
      <c r="C232" s="1">
        <f>IFERROR(__xludf.DUMMYFUNCTION("""COMPUTED_VALUE"""),64.0)</f>
        <v>64</v>
      </c>
      <c r="D232" s="1">
        <f>IFERROR(__xludf.DUMMYFUNCTION("""COMPUTED_VALUE"""),63.2)</f>
        <v>63.2</v>
      </c>
      <c r="E232" s="1">
        <f>IFERROR(__xludf.DUMMYFUNCTION("""COMPUTED_VALUE"""),63.75)</f>
        <v>63.75</v>
      </c>
      <c r="F232" s="1">
        <f>IFERROR(__xludf.DUMMYFUNCTION("""COMPUTED_VALUE"""),98258.0)</f>
        <v>98258</v>
      </c>
      <c r="G232" s="2" t="s">
        <v>8</v>
      </c>
    </row>
    <row r="233">
      <c r="A233" s="3">
        <f>IFERROR(__xludf.DUMMYFUNCTION("""COMPUTED_VALUE"""),44889.72916666667)</f>
        <v>44889.72917</v>
      </c>
      <c r="B233" s="1">
        <f>IFERROR(__xludf.DUMMYFUNCTION("""COMPUTED_VALUE"""),63.7)</f>
        <v>63.7</v>
      </c>
      <c r="C233" s="1">
        <f>IFERROR(__xludf.DUMMYFUNCTION("""COMPUTED_VALUE"""),64.75)</f>
        <v>64.75</v>
      </c>
      <c r="D233" s="1">
        <f>IFERROR(__xludf.DUMMYFUNCTION("""COMPUTED_VALUE"""),63.7)</f>
        <v>63.7</v>
      </c>
      <c r="E233" s="1">
        <f>IFERROR(__xludf.DUMMYFUNCTION("""COMPUTED_VALUE"""),64.6)</f>
        <v>64.6</v>
      </c>
      <c r="F233" s="1">
        <f>IFERROR(__xludf.DUMMYFUNCTION("""COMPUTED_VALUE"""),50810.0)</f>
        <v>50810</v>
      </c>
      <c r="G233" s="2" t="s">
        <v>8</v>
      </c>
    </row>
    <row r="234">
      <c r="A234" s="3">
        <f>IFERROR(__xludf.DUMMYFUNCTION("""COMPUTED_VALUE"""),44890.72916666667)</f>
        <v>44890.72917</v>
      </c>
      <c r="B234" s="1">
        <f>IFERROR(__xludf.DUMMYFUNCTION("""COMPUTED_VALUE"""),64.9)</f>
        <v>64.9</v>
      </c>
      <c r="C234" s="1">
        <f>IFERROR(__xludf.DUMMYFUNCTION("""COMPUTED_VALUE"""),64.95)</f>
        <v>64.95</v>
      </c>
      <c r="D234" s="1">
        <f>IFERROR(__xludf.DUMMYFUNCTION("""COMPUTED_VALUE"""),64.05)</f>
        <v>64.05</v>
      </c>
      <c r="E234" s="1">
        <f>IFERROR(__xludf.DUMMYFUNCTION("""COMPUTED_VALUE"""),64.35)</f>
        <v>64.35</v>
      </c>
      <c r="F234" s="1">
        <f>IFERROR(__xludf.DUMMYFUNCTION("""COMPUTED_VALUE"""),70840.0)</f>
        <v>70840</v>
      </c>
      <c r="G234" s="2" t="s">
        <v>8</v>
      </c>
    </row>
    <row r="235">
      <c r="A235" s="3">
        <f>IFERROR(__xludf.DUMMYFUNCTION("""COMPUTED_VALUE"""),44893.72916666667)</f>
        <v>44893.72917</v>
      </c>
      <c r="B235" s="1">
        <f>IFERROR(__xludf.DUMMYFUNCTION("""COMPUTED_VALUE"""),64.2)</f>
        <v>64.2</v>
      </c>
      <c r="C235" s="1">
        <f>IFERROR(__xludf.DUMMYFUNCTION("""COMPUTED_VALUE"""),64.85)</f>
        <v>64.85</v>
      </c>
      <c r="D235" s="1">
        <f>IFERROR(__xludf.DUMMYFUNCTION("""COMPUTED_VALUE"""),64.1)</f>
        <v>64.1</v>
      </c>
      <c r="E235" s="1">
        <f>IFERROR(__xludf.DUMMYFUNCTION("""COMPUTED_VALUE"""),64.5)</f>
        <v>64.5</v>
      </c>
      <c r="F235" s="1">
        <f>IFERROR(__xludf.DUMMYFUNCTION("""COMPUTED_VALUE"""),85761.0)</f>
        <v>85761</v>
      </c>
      <c r="G235" s="2" t="s">
        <v>8</v>
      </c>
    </row>
    <row r="236">
      <c r="A236" s="3">
        <f>IFERROR(__xludf.DUMMYFUNCTION("""COMPUTED_VALUE"""),44894.72916666667)</f>
        <v>44894.72917</v>
      </c>
      <c r="B236" s="1">
        <f>IFERROR(__xludf.DUMMYFUNCTION("""COMPUTED_VALUE"""),64.7)</f>
        <v>64.7</v>
      </c>
      <c r="C236" s="1">
        <f>IFERROR(__xludf.DUMMYFUNCTION("""COMPUTED_VALUE"""),64.8)</f>
        <v>64.8</v>
      </c>
      <c r="D236" s="1">
        <f>IFERROR(__xludf.DUMMYFUNCTION("""COMPUTED_VALUE"""),64.25)</f>
        <v>64.25</v>
      </c>
      <c r="E236" s="1">
        <f>IFERROR(__xludf.DUMMYFUNCTION("""COMPUTED_VALUE"""),64.5)</f>
        <v>64.5</v>
      </c>
      <c r="F236" s="1">
        <f>IFERROR(__xludf.DUMMYFUNCTION("""COMPUTED_VALUE"""),76537.0)</f>
        <v>76537</v>
      </c>
      <c r="G236" s="2" t="s">
        <v>8</v>
      </c>
    </row>
    <row r="237">
      <c r="A237" s="3">
        <f>IFERROR(__xludf.DUMMYFUNCTION("""COMPUTED_VALUE"""),44895.72916666667)</f>
        <v>44895.72917</v>
      </c>
      <c r="B237" s="1">
        <f>IFERROR(__xludf.DUMMYFUNCTION("""COMPUTED_VALUE"""),64.35)</f>
        <v>64.35</v>
      </c>
      <c r="C237" s="1">
        <f>IFERROR(__xludf.DUMMYFUNCTION("""COMPUTED_VALUE"""),64.65)</f>
        <v>64.65</v>
      </c>
      <c r="D237" s="1">
        <f>IFERROR(__xludf.DUMMYFUNCTION("""COMPUTED_VALUE"""),63.7)</f>
        <v>63.7</v>
      </c>
      <c r="E237" s="1">
        <f>IFERROR(__xludf.DUMMYFUNCTION("""COMPUTED_VALUE"""),63.7)</f>
        <v>63.7</v>
      </c>
      <c r="F237" s="1">
        <f>IFERROR(__xludf.DUMMYFUNCTION("""COMPUTED_VALUE"""),499387.0)</f>
        <v>499387</v>
      </c>
      <c r="G237" s="2" t="s">
        <v>8</v>
      </c>
    </row>
    <row r="238">
      <c r="A238" s="3">
        <f>IFERROR(__xludf.DUMMYFUNCTION("""COMPUTED_VALUE"""),44896.72916666667)</f>
        <v>44896.72917</v>
      </c>
      <c r="B238" s="1">
        <f>IFERROR(__xludf.DUMMYFUNCTION("""COMPUTED_VALUE"""),64.5)</f>
        <v>64.5</v>
      </c>
      <c r="C238" s="1">
        <f>IFERROR(__xludf.DUMMYFUNCTION("""COMPUTED_VALUE"""),64.6)</f>
        <v>64.6</v>
      </c>
      <c r="D238" s="1">
        <f>IFERROR(__xludf.DUMMYFUNCTION("""COMPUTED_VALUE"""),63.75)</f>
        <v>63.75</v>
      </c>
      <c r="E238" s="1">
        <f>IFERROR(__xludf.DUMMYFUNCTION("""COMPUTED_VALUE"""),64.45)</f>
        <v>64.45</v>
      </c>
      <c r="F238" s="1">
        <f>IFERROR(__xludf.DUMMYFUNCTION("""COMPUTED_VALUE"""),101966.0)</f>
        <v>101966</v>
      </c>
      <c r="G238" s="2" t="s">
        <v>8</v>
      </c>
    </row>
    <row r="239">
      <c r="A239" s="3">
        <f>IFERROR(__xludf.DUMMYFUNCTION("""COMPUTED_VALUE"""),44897.72916666667)</f>
        <v>44897.72917</v>
      </c>
      <c r="B239" s="1">
        <f>IFERROR(__xludf.DUMMYFUNCTION("""COMPUTED_VALUE"""),64.35)</f>
        <v>64.35</v>
      </c>
      <c r="C239" s="1">
        <f>IFERROR(__xludf.DUMMYFUNCTION("""COMPUTED_VALUE"""),64.7)</f>
        <v>64.7</v>
      </c>
      <c r="D239" s="1">
        <f>IFERROR(__xludf.DUMMYFUNCTION("""COMPUTED_VALUE"""),64.05)</f>
        <v>64.05</v>
      </c>
      <c r="E239" s="1">
        <f>IFERROR(__xludf.DUMMYFUNCTION("""COMPUTED_VALUE"""),64.6)</f>
        <v>64.6</v>
      </c>
      <c r="F239" s="1">
        <f>IFERROR(__xludf.DUMMYFUNCTION("""COMPUTED_VALUE"""),113704.0)</f>
        <v>113704</v>
      </c>
      <c r="G239" s="2" t="s">
        <v>8</v>
      </c>
    </row>
    <row r="240">
      <c r="A240" s="3">
        <f>IFERROR(__xludf.DUMMYFUNCTION("""COMPUTED_VALUE"""),44900.72916666667)</f>
        <v>44900.72917</v>
      </c>
      <c r="B240" s="1">
        <f>IFERROR(__xludf.DUMMYFUNCTION("""COMPUTED_VALUE"""),64.5)</f>
        <v>64.5</v>
      </c>
      <c r="C240" s="1">
        <f>IFERROR(__xludf.DUMMYFUNCTION("""COMPUTED_VALUE"""),64.65)</f>
        <v>64.65</v>
      </c>
      <c r="D240" s="1">
        <f>IFERROR(__xludf.DUMMYFUNCTION("""COMPUTED_VALUE"""),63.55)</f>
        <v>63.55</v>
      </c>
      <c r="E240" s="1">
        <f>IFERROR(__xludf.DUMMYFUNCTION("""COMPUTED_VALUE"""),63.8)</f>
        <v>63.8</v>
      </c>
      <c r="F240" s="1">
        <f>IFERROR(__xludf.DUMMYFUNCTION("""COMPUTED_VALUE"""),94012.0)</f>
        <v>94012</v>
      </c>
      <c r="G240" s="2" t="s">
        <v>8</v>
      </c>
    </row>
    <row r="241">
      <c r="A241" s="3">
        <f>IFERROR(__xludf.DUMMYFUNCTION("""COMPUTED_VALUE"""),44901.72916666667)</f>
        <v>44901.72917</v>
      </c>
      <c r="B241" s="1">
        <f>IFERROR(__xludf.DUMMYFUNCTION("""COMPUTED_VALUE"""),63.55)</f>
        <v>63.55</v>
      </c>
      <c r="C241" s="1">
        <f>IFERROR(__xludf.DUMMYFUNCTION("""COMPUTED_VALUE"""),64.0)</f>
        <v>64</v>
      </c>
      <c r="D241" s="1">
        <f>IFERROR(__xludf.DUMMYFUNCTION("""COMPUTED_VALUE"""),63.15)</f>
        <v>63.15</v>
      </c>
      <c r="E241" s="1">
        <f>IFERROR(__xludf.DUMMYFUNCTION("""COMPUTED_VALUE"""),63.15)</f>
        <v>63.15</v>
      </c>
      <c r="F241" s="1">
        <f>IFERROR(__xludf.DUMMYFUNCTION("""COMPUTED_VALUE"""),75513.0)</f>
        <v>75513</v>
      </c>
      <c r="G241" s="2" t="s">
        <v>8</v>
      </c>
    </row>
    <row r="242">
      <c r="A242" s="3">
        <f>IFERROR(__xludf.DUMMYFUNCTION("""COMPUTED_VALUE"""),44902.72916666667)</f>
        <v>44902.72917</v>
      </c>
      <c r="B242" s="1">
        <f>IFERROR(__xludf.DUMMYFUNCTION("""COMPUTED_VALUE"""),62.95)</f>
        <v>62.95</v>
      </c>
      <c r="C242" s="1">
        <f>IFERROR(__xludf.DUMMYFUNCTION("""COMPUTED_VALUE"""),63.4)</f>
        <v>63.4</v>
      </c>
      <c r="D242" s="1">
        <f>IFERROR(__xludf.DUMMYFUNCTION("""COMPUTED_VALUE"""),62.8)</f>
        <v>62.8</v>
      </c>
      <c r="E242" s="1">
        <f>IFERROR(__xludf.DUMMYFUNCTION("""COMPUTED_VALUE"""),62.85)</f>
        <v>62.85</v>
      </c>
      <c r="F242" s="1">
        <f>IFERROR(__xludf.DUMMYFUNCTION("""COMPUTED_VALUE"""),78269.0)</f>
        <v>78269</v>
      </c>
      <c r="G242" s="2" t="s">
        <v>8</v>
      </c>
    </row>
    <row r="243">
      <c r="A243" s="3">
        <f>IFERROR(__xludf.DUMMYFUNCTION("""COMPUTED_VALUE"""),44903.72916666667)</f>
        <v>44903.72917</v>
      </c>
      <c r="B243" s="1">
        <f>IFERROR(__xludf.DUMMYFUNCTION("""COMPUTED_VALUE"""),62.55)</f>
        <v>62.55</v>
      </c>
      <c r="C243" s="1">
        <f>IFERROR(__xludf.DUMMYFUNCTION("""COMPUTED_VALUE"""),63.3)</f>
        <v>63.3</v>
      </c>
      <c r="D243" s="1">
        <f>IFERROR(__xludf.DUMMYFUNCTION("""COMPUTED_VALUE"""),62.25)</f>
        <v>62.25</v>
      </c>
      <c r="E243" s="1">
        <f>IFERROR(__xludf.DUMMYFUNCTION("""COMPUTED_VALUE"""),63.0)</f>
        <v>63</v>
      </c>
      <c r="F243" s="1">
        <f>IFERROR(__xludf.DUMMYFUNCTION("""COMPUTED_VALUE"""),63651.0)</f>
        <v>63651</v>
      </c>
      <c r="G243" s="2" t="s">
        <v>8</v>
      </c>
    </row>
    <row r="244">
      <c r="A244" s="3">
        <f>IFERROR(__xludf.DUMMYFUNCTION("""COMPUTED_VALUE"""),44904.72916666667)</f>
        <v>44904.72917</v>
      </c>
      <c r="B244" s="1">
        <f>IFERROR(__xludf.DUMMYFUNCTION("""COMPUTED_VALUE"""),63.1)</f>
        <v>63.1</v>
      </c>
      <c r="C244" s="1">
        <f>IFERROR(__xludf.DUMMYFUNCTION("""COMPUTED_VALUE"""),63.35)</f>
        <v>63.35</v>
      </c>
      <c r="D244" s="1">
        <f>IFERROR(__xludf.DUMMYFUNCTION("""COMPUTED_VALUE"""),62.9)</f>
        <v>62.9</v>
      </c>
      <c r="E244" s="1">
        <f>IFERROR(__xludf.DUMMYFUNCTION("""COMPUTED_VALUE"""),63.2)</f>
        <v>63.2</v>
      </c>
      <c r="F244" s="1">
        <f>IFERROR(__xludf.DUMMYFUNCTION("""COMPUTED_VALUE"""),54198.0)</f>
        <v>54198</v>
      </c>
      <c r="G244" s="2" t="s">
        <v>8</v>
      </c>
    </row>
    <row r="245">
      <c r="A245" s="3">
        <f>IFERROR(__xludf.DUMMYFUNCTION("""COMPUTED_VALUE"""),44907.72916666667)</f>
        <v>44907.72917</v>
      </c>
      <c r="B245" s="1">
        <f>IFERROR(__xludf.DUMMYFUNCTION("""COMPUTED_VALUE"""),62.9)</f>
        <v>62.9</v>
      </c>
      <c r="C245" s="1">
        <f>IFERROR(__xludf.DUMMYFUNCTION("""COMPUTED_VALUE"""),62.95)</f>
        <v>62.95</v>
      </c>
      <c r="D245" s="1">
        <f>IFERROR(__xludf.DUMMYFUNCTION("""COMPUTED_VALUE"""),61.55)</f>
        <v>61.55</v>
      </c>
      <c r="E245" s="1">
        <f>IFERROR(__xludf.DUMMYFUNCTION("""COMPUTED_VALUE"""),61.65)</f>
        <v>61.65</v>
      </c>
      <c r="F245" s="1">
        <f>IFERROR(__xludf.DUMMYFUNCTION("""COMPUTED_VALUE"""),118747.0)</f>
        <v>118747</v>
      </c>
      <c r="G245" s="2" t="s">
        <v>8</v>
      </c>
    </row>
    <row r="246">
      <c r="A246" s="3">
        <f>IFERROR(__xludf.DUMMYFUNCTION("""COMPUTED_VALUE"""),44908.72916666667)</f>
        <v>44908.72917</v>
      </c>
      <c r="B246" s="1">
        <f>IFERROR(__xludf.DUMMYFUNCTION("""COMPUTED_VALUE"""),61.6)</f>
        <v>61.6</v>
      </c>
      <c r="C246" s="1">
        <f>IFERROR(__xludf.DUMMYFUNCTION("""COMPUTED_VALUE"""),62.25)</f>
        <v>62.25</v>
      </c>
      <c r="D246" s="1">
        <f>IFERROR(__xludf.DUMMYFUNCTION("""COMPUTED_VALUE"""),61.4)</f>
        <v>61.4</v>
      </c>
      <c r="E246" s="1">
        <f>IFERROR(__xludf.DUMMYFUNCTION("""COMPUTED_VALUE"""),61.7)</f>
        <v>61.7</v>
      </c>
      <c r="F246" s="1">
        <f>IFERROR(__xludf.DUMMYFUNCTION("""COMPUTED_VALUE"""),76554.0)</f>
        <v>76554</v>
      </c>
      <c r="G246" s="2" t="s">
        <v>8</v>
      </c>
    </row>
    <row r="247">
      <c r="A247" s="3">
        <f>IFERROR(__xludf.DUMMYFUNCTION("""COMPUTED_VALUE"""),44909.72916666667)</f>
        <v>44909.72917</v>
      </c>
      <c r="B247" s="1">
        <f>IFERROR(__xludf.DUMMYFUNCTION("""COMPUTED_VALUE"""),61.5)</f>
        <v>61.5</v>
      </c>
      <c r="C247" s="1">
        <f>IFERROR(__xludf.DUMMYFUNCTION("""COMPUTED_VALUE"""),62.1)</f>
        <v>62.1</v>
      </c>
      <c r="D247" s="1">
        <f>IFERROR(__xludf.DUMMYFUNCTION("""COMPUTED_VALUE"""),61.45)</f>
        <v>61.45</v>
      </c>
      <c r="E247" s="1">
        <f>IFERROR(__xludf.DUMMYFUNCTION("""COMPUTED_VALUE"""),61.95)</f>
        <v>61.95</v>
      </c>
      <c r="F247" s="1">
        <f>IFERROR(__xludf.DUMMYFUNCTION("""COMPUTED_VALUE"""),90838.0)</f>
        <v>90838</v>
      </c>
      <c r="G247" s="2" t="s">
        <v>8</v>
      </c>
    </row>
    <row r="248">
      <c r="A248" s="3">
        <f>IFERROR(__xludf.DUMMYFUNCTION("""COMPUTED_VALUE"""),44910.72916666667)</f>
        <v>44910.72917</v>
      </c>
      <c r="B248" s="1">
        <f>IFERROR(__xludf.DUMMYFUNCTION("""COMPUTED_VALUE"""),61.6)</f>
        <v>61.6</v>
      </c>
      <c r="C248" s="1">
        <f>IFERROR(__xludf.DUMMYFUNCTION("""COMPUTED_VALUE"""),62.1)</f>
        <v>62.1</v>
      </c>
      <c r="D248" s="1">
        <f>IFERROR(__xludf.DUMMYFUNCTION("""COMPUTED_VALUE"""),61.05)</f>
        <v>61.05</v>
      </c>
      <c r="E248" s="1">
        <f>IFERROR(__xludf.DUMMYFUNCTION("""COMPUTED_VALUE"""),61.25)</f>
        <v>61.25</v>
      </c>
      <c r="F248" s="1">
        <f>IFERROR(__xludf.DUMMYFUNCTION("""COMPUTED_VALUE"""),100578.0)</f>
        <v>100578</v>
      </c>
      <c r="G248" s="2" t="s">
        <v>8</v>
      </c>
    </row>
    <row r="249">
      <c r="A249" s="3">
        <f>IFERROR(__xludf.DUMMYFUNCTION("""COMPUTED_VALUE"""),44911.72916666667)</f>
        <v>44911.72917</v>
      </c>
      <c r="B249" s="1">
        <f>IFERROR(__xludf.DUMMYFUNCTION("""COMPUTED_VALUE"""),60.95)</f>
        <v>60.95</v>
      </c>
      <c r="C249" s="1">
        <f>IFERROR(__xludf.DUMMYFUNCTION("""COMPUTED_VALUE"""),61.45)</f>
        <v>61.45</v>
      </c>
      <c r="D249" s="1">
        <f>IFERROR(__xludf.DUMMYFUNCTION("""COMPUTED_VALUE"""),60.7)</f>
        <v>60.7</v>
      </c>
      <c r="E249" s="1">
        <f>IFERROR(__xludf.DUMMYFUNCTION("""COMPUTED_VALUE"""),61.1)</f>
        <v>61.1</v>
      </c>
      <c r="F249" s="1">
        <f>IFERROR(__xludf.DUMMYFUNCTION("""COMPUTED_VALUE"""),177945.0)</f>
        <v>177945</v>
      </c>
      <c r="G249" s="2" t="s">
        <v>8</v>
      </c>
    </row>
    <row r="250">
      <c r="A250" s="3">
        <f>IFERROR(__xludf.DUMMYFUNCTION("""COMPUTED_VALUE"""),44914.72916666667)</f>
        <v>44914.72917</v>
      </c>
      <c r="B250" s="1">
        <f>IFERROR(__xludf.DUMMYFUNCTION("""COMPUTED_VALUE"""),61.25)</f>
        <v>61.25</v>
      </c>
      <c r="C250" s="1">
        <f>IFERROR(__xludf.DUMMYFUNCTION("""COMPUTED_VALUE"""),61.7)</f>
        <v>61.7</v>
      </c>
      <c r="D250" s="1">
        <f>IFERROR(__xludf.DUMMYFUNCTION("""COMPUTED_VALUE"""),61.0)</f>
        <v>61</v>
      </c>
      <c r="E250" s="1">
        <f>IFERROR(__xludf.DUMMYFUNCTION("""COMPUTED_VALUE"""),61.45)</f>
        <v>61.45</v>
      </c>
      <c r="F250" s="1">
        <f>IFERROR(__xludf.DUMMYFUNCTION("""COMPUTED_VALUE"""),149532.0)</f>
        <v>149532</v>
      </c>
      <c r="G250" s="2" t="s">
        <v>8</v>
      </c>
    </row>
    <row r="251">
      <c r="A251" s="3">
        <f>IFERROR(__xludf.DUMMYFUNCTION("""COMPUTED_VALUE"""),44915.72916666667)</f>
        <v>44915.72917</v>
      </c>
      <c r="B251" s="1">
        <f>IFERROR(__xludf.DUMMYFUNCTION("""COMPUTED_VALUE"""),61.15)</f>
        <v>61.15</v>
      </c>
      <c r="C251" s="1">
        <f>IFERROR(__xludf.DUMMYFUNCTION("""COMPUTED_VALUE"""),61.65)</f>
        <v>61.65</v>
      </c>
      <c r="D251" s="1">
        <f>IFERROR(__xludf.DUMMYFUNCTION("""COMPUTED_VALUE"""),61.0)</f>
        <v>61</v>
      </c>
      <c r="E251" s="1">
        <f>IFERROR(__xludf.DUMMYFUNCTION("""COMPUTED_VALUE"""),61.05)</f>
        <v>61.05</v>
      </c>
      <c r="F251" s="1">
        <f>IFERROR(__xludf.DUMMYFUNCTION("""COMPUTED_VALUE"""),152666.0)</f>
        <v>152666</v>
      </c>
      <c r="G251" s="2" t="s">
        <v>8</v>
      </c>
    </row>
    <row r="252">
      <c r="A252" s="3">
        <f>IFERROR(__xludf.DUMMYFUNCTION("""COMPUTED_VALUE"""),44916.72916666667)</f>
        <v>44916.72917</v>
      </c>
      <c r="B252" s="1">
        <f>IFERROR(__xludf.DUMMYFUNCTION("""COMPUTED_VALUE"""),61.2)</f>
        <v>61.2</v>
      </c>
      <c r="C252" s="1">
        <f>IFERROR(__xludf.DUMMYFUNCTION("""COMPUTED_VALUE"""),61.65)</f>
        <v>61.65</v>
      </c>
      <c r="D252" s="1">
        <f>IFERROR(__xludf.DUMMYFUNCTION("""COMPUTED_VALUE"""),60.8)</f>
        <v>60.8</v>
      </c>
      <c r="E252" s="1">
        <f>IFERROR(__xludf.DUMMYFUNCTION("""COMPUTED_VALUE"""),61.45)</f>
        <v>61.45</v>
      </c>
      <c r="F252" s="1">
        <f>IFERROR(__xludf.DUMMYFUNCTION("""COMPUTED_VALUE"""),91263.0)</f>
        <v>91263</v>
      </c>
      <c r="G252" s="2" t="s">
        <v>8</v>
      </c>
    </row>
    <row r="253">
      <c r="A253" s="3">
        <f>IFERROR(__xludf.DUMMYFUNCTION("""COMPUTED_VALUE"""),44917.72916666667)</f>
        <v>44917.72917</v>
      </c>
      <c r="B253" s="1">
        <f>IFERROR(__xludf.DUMMYFUNCTION("""COMPUTED_VALUE"""),61.2)</f>
        <v>61.2</v>
      </c>
      <c r="C253" s="1">
        <f>IFERROR(__xludf.DUMMYFUNCTION("""COMPUTED_VALUE"""),61.65)</f>
        <v>61.65</v>
      </c>
      <c r="D253" s="1">
        <f>IFERROR(__xludf.DUMMYFUNCTION("""COMPUTED_VALUE"""),60.5)</f>
        <v>60.5</v>
      </c>
      <c r="E253" s="1">
        <f>IFERROR(__xludf.DUMMYFUNCTION("""COMPUTED_VALUE"""),60.55)</f>
        <v>60.55</v>
      </c>
      <c r="F253" s="1">
        <f>IFERROR(__xludf.DUMMYFUNCTION("""COMPUTED_VALUE"""),76244.0)</f>
        <v>76244</v>
      </c>
      <c r="G253" s="2" t="s">
        <v>8</v>
      </c>
    </row>
    <row r="254">
      <c r="A254" s="3">
        <f>IFERROR(__xludf.DUMMYFUNCTION("""COMPUTED_VALUE"""),44918.72916666667)</f>
        <v>44918.72917</v>
      </c>
      <c r="B254" s="1">
        <f>IFERROR(__xludf.DUMMYFUNCTION("""COMPUTED_VALUE"""),60.95)</f>
        <v>60.95</v>
      </c>
      <c r="C254" s="1">
        <f>IFERROR(__xludf.DUMMYFUNCTION("""COMPUTED_VALUE"""),61.25)</f>
        <v>61.25</v>
      </c>
      <c r="D254" s="1">
        <f>IFERROR(__xludf.DUMMYFUNCTION("""COMPUTED_VALUE"""),60.65)</f>
        <v>60.65</v>
      </c>
      <c r="E254" s="1">
        <f>IFERROR(__xludf.DUMMYFUNCTION("""COMPUTED_VALUE"""),61.0)</f>
        <v>61</v>
      </c>
      <c r="F254" s="1">
        <f>IFERROR(__xludf.DUMMYFUNCTION("""COMPUTED_VALUE"""),40991.0)</f>
        <v>40991</v>
      </c>
      <c r="G254" s="2" t="s">
        <v>8</v>
      </c>
    </row>
    <row r="255">
      <c r="A255" s="3">
        <f>IFERROR(__xludf.DUMMYFUNCTION("""COMPUTED_VALUE"""),44922.72916666667)</f>
        <v>44922.72917</v>
      </c>
      <c r="B255" s="1">
        <f>IFERROR(__xludf.DUMMYFUNCTION("""COMPUTED_VALUE"""),61.45)</f>
        <v>61.45</v>
      </c>
      <c r="C255" s="1">
        <f>IFERROR(__xludf.DUMMYFUNCTION("""COMPUTED_VALUE"""),61.45)</f>
        <v>61.45</v>
      </c>
      <c r="D255" s="1">
        <f>IFERROR(__xludf.DUMMYFUNCTION("""COMPUTED_VALUE"""),60.8)</f>
        <v>60.8</v>
      </c>
      <c r="E255" s="1">
        <f>IFERROR(__xludf.DUMMYFUNCTION("""COMPUTED_VALUE"""),60.8)</f>
        <v>60.8</v>
      </c>
      <c r="F255" s="1">
        <f>IFERROR(__xludf.DUMMYFUNCTION("""COMPUTED_VALUE"""),31057.0)</f>
        <v>31057</v>
      </c>
      <c r="G255" s="2" t="s">
        <v>8</v>
      </c>
    </row>
    <row r="256">
      <c r="A256" s="3">
        <f>IFERROR(__xludf.DUMMYFUNCTION("""COMPUTED_VALUE"""),44923.72916666667)</f>
        <v>44923.72917</v>
      </c>
      <c r="B256" s="1">
        <f>IFERROR(__xludf.DUMMYFUNCTION("""COMPUTED_VALUE"""),60.95)</f>
        <v>60.95</v>
      </c>
      <c r="C256" s="1">
        <f>IFERROR(__xludf.DUMMYFUNCTION("""COMPUTED_VALUE"""),60.95)</f>
        <v>60.95</v>
      </c>
      <c r="D256" s="1">
        <f>IFERROR(__xludf.DUMMYFUNCTION("""COMPUTED_VALUE"""),60.3)</f>
        <v>60.3</v>
      </c>
      <c r="E256" s="1">
        <f>IFERROR(__xludf.DUMMYFUNCTION("""COMPUTED_VALUE"""),60.4)</f>
        <v>60.4</v>
      </c>
      <c r="F256" s="1">
        <f>IFERROR(__xludf.DUMMYFUNCTION("""COMPUTED_VALUE"""),69333.0)</f>
        <v>69333</v>
      </c>
      <c r="G256" s="2" t="s">
        <v>8</v>
      </c>
    </row>
    <row r="257">
      <c r="A257" s="3">
        <f>IFERROR(__xludf.DUMMYFUNCTION("""COMPUTED_VALUE"""),44924.72916666667)</f>
        <v>44924.72917</v>
      </c>
      <c r="B257" s="1">
        <f>IFERROR(__xludf.DUMMYFUNCTION("""COMPUTED_VALUE"""),60.15)</f>
        <v>60.15</v>
      </c>
      <c r="C257" s="1">
        <f>IFERROR(__xludf.DUMMYFUNCTION("""COMPUTED_VALUE"""),60.75)</f>
        <v>60.75</v>
      </c>
      <c r="D257" s="1">
        <f>IFERROR(__xludf.DUMMYFUNCTION("""COMPUTED_VALUE"""),59.85)</f>
        <v>59.85</v>
      </c>
      <c r="E257" s="1">
        <f>IFERROR(__xludf.DUMMYFUNCTION("""COMPUTED_VALUE"""),60.65)</f>
        <v>60.65</v>
      </c>
      <c r="F257" s="1">
        <f>IFERROR(__xludf.DUMMYFUNCTION("""COMPUTED_VALUE"""),44476.0)</f>
        <v>44476</v>
      </c>
      <c r="G257" s="2" t="s">
        <v>8</v>
      </c>
    </row>
    <row r="258">
      <c r="A258" s="3">
        <f>IFERROR(__xludf.DUMMYFUNCTION("""COMPUTED_VALUE"""),44925.586111111115)</f>
        <v>44925.58611</v>
      </c>
      <c r="B258" s="1">
        <f>IFERROR(__xludf.DUMMYFUNCTION("""COMPUTED_VALUE"""),60.4)</f>
        <v>60.4</v>
      </c>
      <c r="C258" s="1">
        <f>IFERROR(__xludf.DUMMYFUNCTION("""COMPUTED_VALUE"""),60.5)</f>
        <v>60.5</v>
      </c>
      <c r="D258" s="1">
        <f>IFERROR(__xludf.DUMMYFUNCTION("""COMPUTED_VALUE"""),59.7)</f>
        <v>59.7</v>
      </c>
      <c r="E258" s="1">
        <f>IFERROR(__xludf.DUMMYFUNCTION("""COMPUTED_VALUE"""),60.25)</f>
        <v>60.25</v>
      </c>
      <c r="F258" s="1">
        <f>IFERROR(__xludf.DUMMYFUNCTION("""COMPUTED_VALUE"""),53077.0)</f>
        <v>53077</v>
      </c>
      <c r="G258" s="2" t="s">
        <v>8</v>
      </c>
    </row>
    <row r="259">
      <c r="A259" s="3">
        <f>IFERROR(__xludf.DUMMYFUNCTION("""COMPUTED_VALUE"""),44928.72916666667)</f>
        <v>44928.72917</v>
      </c>
      <c r="B259" s="1">
        <f>IFERROR(__xludf.DUMMYFUNCTION("""COMPUTED_VALUE"""),60.2)</f>
        <v>60.2</v>
      </c>
      <c r="C259" s="1">
        <f>IFERROR(__xludf.DUMMYFUNCTION("""COMPUTED_VALUE"""),60.45)</f>
        <v>60.45</v>
      </c>
      <c r="D259" s="1">
        <f>IFERROR(__xludf.DUMMYFUNCTION("""COMPUTED_VALUE"""),60.0)</f>
        <v>60</v>
      </c>
      <c r="E259" s="1">
        <f>IFERROR(__xludf.DUMMYFUNCTION("""COMPUTED_VALUE"""),60.3)</f>
        <v>60.3</v>
      </c>
      <c r="F259" s="1">
        <f>IFERROR(__xludf.DUMMYFUNCTION("""COMPUTED_VALUE"""),30972.0)</f>
        <v>30972</v>
      </c>
      <c r="G259" s="2" t="s">
        <v>8</v>
      </c>
    </row>
    <row r="260">
      <c r="A260" s="3">
        <f>IFERROR(__xludf.DUMMYFUNCTION("""COMPUTED_VALUE"""),44929.72916666667)</f>
        <v>44929.72917</v>
      </c>
      <c r="B260" s="1">
        <f>IFERROR(__xludf.DUMMYFUNCTION("""COMPUTED_VALUE"""),60.1)</f>
        <v>60.1</v>
      </c>
      <c r="C260" s="1">
        <f>IFERROR(__xludf.DUMMYFUNCTION("""COMPUTED_VALUE"""),61.3)</f>
        <v>61.3</v>
      </c>
      <c r="D260" s="1">
        <f>IFERROR(__xludf.DUMMYFUNCTION("""COMPUTED_VALUE"""),60.05)</f>
        <v>60.05</v>
      </c>
      <c r="E260" s="1">
        <f>IFERROR(__xludf.DUMMYFUNCTION("""COMPUTED_VALUE"""),61.05)</f>
        <v>61.05</v>
      </c>
      <c r="F260" s="1">
        <f>IFERROR(__xludf.DUMMYFUNCTION("""COMPUTED_VALUE"""),60267.0)</f>
        <v>60267</v>
      </c>
      <c r="G260" s="2" t="s">
        <v>8</v>
      </c>
    </row>
    <row r="261">
      <c r="A261" s="3">
        <f>IFERROR(__xludf.DUMMYFUNCTION("""COMPUTED_VALUE"""),44930.72916666667)</f>
        <v>44930.72917</v>
      </c>
      <c r="B261" s="1">
        <f>IFERROR(__xludf.DUMMYFUNCTION("""COMPUTED_VALUE"""),61.3)</f>
        <v>61.3</v>
      </c>
      <c r="C261" s="1">
        <f>IFERROR(__xludf.DUMMYFUNCTION("""COMPUTED_VALUE"""),61.75)</f>
        <v>61.75</v>
      </c>
      <c r="D261" s="1">
        <f>IFERROR(__xludf.DUMMYFUNCTION("""COMPUTED_VALUE"""),61.05)</f>
        <v>61.05</v>
      </c>
      <c r="E261" s="1">
        <f>IFERROR(__xludf.DUMMYFUNCTION("""COMPUTED_VALUE"""),61.4)</f>
        <v>61.4</v>
      </c>
      <c r="F261" s="1">
        <f>IFERROR(__xludf.DUMMYFUNCTION("""COMPUTED_VALUE"""),82241.0)</f>
        <v>82241</v>
      </c>
      <c r="G261" s="2" t="s">
        <v>8</v>
      </c>
    </row>
    <row r="262">
      <c r="A262" s="3">
        <f>IFERROR(__xludf.DUMMYFUNCTION("""COMPUTED_VALUE"""),44931.72916666667)</f>
        <v>44931.72917</v>
      </c>
      <c r="B262" s="1">
        <f>IFERROR(__xludf.DUMMYFUNCTION("""COMPUTED_VALUE"""),61.3)</f>
        <v>61.3</v>
      </c>
      <c r="C262" s="1">
        <f>IFERROR(__xludf.DUMMYFUNCTION("""COMPUTED_VALUE"""),62.6)</f>
        <v>62.6</v>
      </c>
      <c r="D262" s="1">
        <f>IFERROR(__xludf.DUMMYFUNCTION("""COMPUTED_VALUE"""),61.3)</f>
        <v>61.3</v>
      </c>
      <c r="E262" s="1">
        <f>IFERROR(__xludf.DUMMYFUNCTION("""COMPUTED_VALUE"""),62.25)</f>
        <v>62.25</v>
      </c>
      <c r="F262" s="1">
        <f>IFERROR(__xludf.DUMMYFUNCTION("""COMPUTED_VALUE"""),69402.0)</f>
        <v>69402</v>
      </c>
      <c r="G262" s="2" t="s">
        <v>8</v>
      </c>
    </row>
    <row r="263">
      <c r="A263" s="3">
        <f>IFERROR(__xludf.DUMMYFUNCTION("""COMPUTED_VALUE"""),44932.72916666667)</f>
        <v>44932.72917</v>
      </c>
      <c r="B263" s="1">
        <f>IFERROR(__xludf.DUMMYFUNCTION("""COMPUTED_VALUE"""),62.3)</f>
        <v>62.3</v>
      </c>
      <c r="C263" s="1">
        <f>IFERROR(__xludf.DUMMYFUNCTION("""COMPUTED_VALUE"""),62.55)</f>
        <v>62.55</v>
      </c>
      <c r="D263" s="1">
        <f>IFERROR(__xludf.DUMMYFUNCTION("""COMPUTED_VALUE"""),61.0)</f>
        <v>61</v>
      </c>
      <c r="E263" s="1">
        <f>IFERROR(__xludf.DUMMYFUNCTION("""COMPUTED_VALUE"""),61.4)</f>
        <v>61.4</v>
      </c>
      <c r="F263" s="1">
        <f>IFERROR(__xludf.DUMMYFUNCTION("""COMPUTED_VALUE"""),85297.0)</f>
        <v>85297</v>
      </c>
      <c r="G263" s="2" t="s">
        <v>8</v>
      </c>
    </row>
    <row r="264">
      <c r="A264" s="3">
        <f>IFERROR(__xludf.DUMMYFUNCTION("""COMPUTED_VALUE"""),44935.72916666667)</f>
        <v>44935.72917</v>
      </c>
      <c r="B264" s="1">
        <f>IFERROR(__xludf.DUMMYFUNCTION("""COMPUTED_VALUE"""),61.3)</f>
        <v>61.3</v>
      </c>
      <c r="C264" s="1">
        <f>IFERROR(__xludf.DUMMYFUNCTION("""COMPUTED_VALUE"""),61.7)</f>
        <v>61.7</v>
      </c>
      <c r="D264" s="1">
        <f>IFERROR(__xludf.DUMMYFUNCTION("""COMPUTED_VALUE"""),59.55)</f>
        <v>59.55</v>
      </c>
      <c r="E264" s="1">
        <f>IFERROR(__xludf.DUMMYFUNCTION("""COMPUTED_VALUE"""),61.5)</f>
        <v>61.5</v>
      </c>
      <c r="F264" s="1">
        <f>IFERROR(__xludf.DUMMYFUNCTION("""COMPUTED_VALUE"""),112858.0)</f>
        <v>112858</v>
      </c>
      <c r="G264" s="2" t="s">
        <v>8</v>
      </c>
    </row>
    <row r="265">
      <c r="A265" s="3">
        <f>IFERROR(__xludf.DUMMYFUNCTION("""COMPUTED_VALUE"""),44936.72916666667)</f>
        <v>44936.72917</v>
      </c>
      <c r="B265" s="1">
        <f>IFERROR(__xludf.DUMMYFUNCTION("""COMPUTED_VALUE"""),61.45)</f>
        <v>61.45</v>
      </c>
      <c r="C265" s="1">
        <f>IFERROR(__xludf.DUMMYFUNCTION("""COMPUTED_VALUE"""),61.6)</f>
        <v>61.6</v>
      </c>
      <c r="D265" s="1">
        <f>IFERROR(__xludf.DUMMYFUNCTION("""COMPUTED_VALUE"""),60.65)</f>
        <v>60.65</v>
      </c>
      <c r="E265" s="1">
        <f>IFERROR(__xludf.DUMMYFUNCTION("""COMPUTED_VALUE"""),61.05)</f>
        <v>61.05</v>
      </c>
      <c r="F265" s="1">
        <f>IFERROR(__xludf.DUMMYFUNCTION("""COMPUTED_VALUE"""),91138.0)</f>
        <v>91138</v>
      </c>
      <c r="G265" s="2" t="s">
        <v>8</v>
      </c>
    </row>
    <row r="266">
      <c r="A266" s="3">
        <f>IFERROR(__xludf.DUMMYFUNCTION("""COMPUTED_VALUE"""),44937.72916666667)</f>
        <v>44937.72917</v>
      </c>
      <c r="B266" s="1">
        <f>IFERROR(__xludf.DUMMYFUNCTION("""COMPUTED_VALUE"""),61.0)</f>
        <v>61</v>
      </c>
      <c r="C266" s="1">
        <f>IFERROR(__xludf.DUMMYFUNCTION("""COMPUTED_VALUE"""),61.55)</f>
        <v>61.55</v>
      </c>
      <c r="D266" s="1">
        <f>IFERROR(__xludf.DUMMYFUNCTION("""COMPUTED_VALUE"""),60.65)</f>
        <v>60.65</v>
      </c>
      <c r="E266" s="1">
        <f>IFERROR(__xludf.DUMMYFUNCTION("""COMPUTED_VALUE"""),61.5)</f>
        <v>61.5</v>
      </c>
      <c r="F266" s="1">
        <f>IFERROR(__xludf.DUMMYFUNCTION("""COMPUTED_VALUE"""),111232.0)</f>
        <v>111232</v>
      </c>
      <c r="G266" s="2" t="s">
        <v>8</v>
      </c>
    </row>
    <row r="267">
      <c r="A267" s="3">
        <f>IFERROR(__xludf.DUMMYFUNCTION("""COMPUTED_VALUE"""),44938.72916666667)</f>
        <v>44938.72917</v>
      </c>
      <c r="B267" s="1">
        <f>IFERROR(__xludf.DUMMYFUNCTION("""COMPUTED_VALUE"""),61.0)</f>
        <v>61</v>
      </c>
      <c r="C267" s="1">
        <f>IFERROR(__xludf.DUMMYFUNCTION("""COMPUTED_VALUE"""),61.55)</f>
        <v>61.55</v>
      </c>
      <c r="D267" s="1">
        <f>IFERROR(__xludf.DUMMYFUNCTION("""COMPUTED_VALUE"""),60.65)</f>
        <v>60.65</v>
      </c>
      <c r="E267" s="1">
        <f>IFERROR(__xludf.DUMMYFUNCTION("""COMPUTED_VALUE"""),61.0)</f>
        <v>61</v>
      </c>
      <c r="F267" s="1">
        <f>IFERROR(__xludf.DUMMYFUNCTION("""COMPUTED_VALUE"""),117270.0)</f>
        <v>117270</v>
      </c>
      <c r="G267" s="2" t="s">
        <v>8</v>
      </c>
    </row>
    <row r="268">
      <c r="A268" s="3">
        <f>IFERROR(__xludf.DUMMYFUNCTION("""COMPUTED_VALUE"""),44939.72916666667)</f>
        <v>44939.72917</v>
      </c>
      <c r="B268" s="1">
        <f>IFERROR(__xludf.DUMMYFUNCTION("""COMPUTED_VALUE"""),61.0)</f>
        <v>61</v>
      </c>
      <c r="C268" s="1">
        <f>IFERROR(__xludf.DUMMYFUNCTION("""COMPUTED_VALUE"""),61.55)</f>
        <v>61.55</v>
      </c>
      <c r="D268" s="1">
        <f>IFERROR(__xludf.DUMMYFUNCTION("""COMPUTED_VALUE"""),60.8)</f>
        <v>60.8</v>
      </c>
      <c r="E268" s="1">
        <f>IFERROR(__xludf.DUMMYFUNCTION("""COMPUTED_VALUE"""),61.1)</f>
        <v>61.1</v>
      </c>
      <c r="F268" s="1">
        <f>IFERROR(__xludf.DUMMYFUNCTION("""COMPUTED_VALUE"""),96863.0)</f>
        <v>96863</v>
      </c>
      <c r="G268" s="2" t="s">
        <v>8</v>
      </c>
    </row>
    <row r="269">
      <c r="A269" s="3">
        <f>IFERROR(__xludf.DUMMYFUNCTION("""COMPUTED_VALUE"""),44942.72916666667)</f>
        <v>44942.72917</v>
      </c>
      <c r="B269" s="1">
        <f>IFERROR(__xludf.DUMMYFUNCTION("""COMPUTED_VALUE"""),61.2)</f>
        <v>61.2</v>
      </c>
      <c r="C269" s="1">
        <f>IFERROR(__xludf.DUMMYFUNCTION("""COMPUTED_VALUE"""),62.15)</f>
        <v>62.15</v>
      </c>
      <c r="D269" s="1">
        <f>IFERROR(__xludf.DUMMYFUNCTION("""COMPUTED_VALUE"""),61.15)</f>
        <v>61.15</v>
      </c>
      <c r="E269" s="1">
        <f>IFERROR(__xludf.DUMMYFUNCTION("""COMPUTED_VALUE"""),61.65)</f>
        <v>61.65</v>
      </c>
      <c r="F269" s="1">
        <f>IFERROR(__xludf.DUMMYFUNCTION("""COMPUTED_VALUE"""),52485.0)</f>
        <v>52485</v>
      </c>
      <c r="G269" s="2" t="s">
        <v>8</v>
      </c>
    </row>
    <row r="270">
      <c r="A270" s="3">
        <f>IFERROR(__xludf.DUMMYFUNCTION("""COMPUTED_VALUE"""),44943.72916666667)</f>
        <v>44943.72917</v>
      </c>
      <c r="B270" s="1">
        <f>IFERROR(__xludf.DUMMYFUNCTION("""COMPUTED_VALUE"""),61.6)</f>
        <v>61.6</v>
      </c>
      <c r="C270" s="1">
        <f>IFERROR(__xludf.DUMMYFUNCTION("""COMPUTED_VALUE"""),62.65)</f>
        <v>62.65</v>
      </c>
      <c r="D270" s="1">
        <f>IFERROR(__xludf.DUMMYFUNCTION("""COMPUTED_VALUE"""),61.4)</f>
        <v>61.4</v>
      </c>
      <c r="E270" s="1">
        <f>IFERROR(__xludf.DUMMYFUNCTION("""COMPUTED_VALUE"""),62.0)</f>
        <v>62</v>
      </c>
      <c r="F270" s="1">
        <f>IFERROR(__xludf.DUMMYFUNCTION("""COMPUTED_VALUE"""),129827.0)</f>
        <v>129827</v>
      </c>
      <c r="G270" s="2" t="s">
        <v>8</v>
      </c>
    </row>
    <row r="271">
      <c r="A271" s="3">
        <f>IFERROR(__xludf.DUMMYFUNCTION("""COMPUTED_VALUE"""),44944.72916666667)</f>
        <v>44944.72917</v>
      </c>
      <c r="B271" s="1">
        <f>IFERROR(__xludf.DUMMYFUNCTION("""COMPUTED_VALUE"""),62.05)</f>
        <v>62.05</v>
      </c>
      <c r="C271" s="1">
        <f>IFERROR(__xludf.DUMMYFUNCTION("""COMPUTED_VALUE"""),63.1)</f>
        <v>63.1</v>
      </c>
      <c r="D271" s="1">
        <f>IFERROR(__xludf.DUMMYFUNCTION("""COMPUTED_VALUE"""),62.05)</f>
        <v>62.05</v>
      </c>
      <c r="E271" s="1">
        <f>IFERROR(__xludf.DUMMYFUNCTION("""COMPUTED_VALUE"""),62.3)</f>
        <v>62.3</v>
      </c>
      <c r="F271" s="1">
        <f>IFERROR(__xludf.DUMMYFUNCTION("""COMPUTED_VALUE"""),133934.0)</f>
        <v>133934</v>
      </c>
      <c r="G271" s="2" t="s">
        <v>8</v>
      </c>
    </row>
    <row r="272">
      <c r="A272" s="3">
        <f>IFERROR(__xludf.DUMMYFUNCTION("""COMPUTED_VALUE"""),44945.72916666667)</f>
        <v>44945.72917</v>
      </c>
      <c r="B272" s="1">
        <f>IFERROR(__xludf.DUMMYFUNCTION("""COMPUTED_VALUE"""),62.1)</f>
        <v>62.1</v>
      </c>
      <c r="C272" s="1">
        <f>IFERROR(__xludf.DUMMYFUNCTION("""COMPUTED_VALUE"""),62.2)</f>
        <v>62.2</v>
      </c>
      <c r="D272" s="1">
        <f>IFERROR(__xludf.DUMMYFUNCTION("""COMPUTED_VALUE"""),60.95)</f>
        <v>60.95</v>
      </c>
      <c r="E272" s="1">
        <f>IFERROR(__xludf.DUMMYFUNCTION("""COMPUTED_VALUE"""),61.25)</f>
        <v>61.25</v>
      </c>
      <c r="F272" s="1">
        <f>IFERROR(__xludf.DUMMYFUNCTION("""COMPUTED_VALUE"""),114767.0)</f>
        <v>114767</v>
      </c>
      <c r="G272" s="2" t="s">
        <v>8</v>
      </c>
    </row>
    <row r="273">
      <c r="A273" s="3">
        <f>IFERROR(__xludf.DUMMYFUNCTION("""COMPUTED_VALUE"""),44946.72916666667)</f>
        <v>44946.72917</v>
      </c>
      <c r="B273" s="1">
        <f>IFERROR(__xludf.DUMMYFUNCTION("""COMPUTED_VALUE"""),61.25)</f>
        <v>61.25</v>
      </c>
      <c r="C273" s="1">
        <f>IFERROR(__xludf.DUMMYFUNCTION("""COMPUTED_VALUE"""),61.65)</f>
        <v>61.65</v>
      </c>
      <c r="D273" s="1">
        <f>IFERROR(__xludf.DUMMYFUNCTION("""COMPUTED_VALUE"""),61.0)</f>
        <v>61</v>
      </c>
      <c r="E273" s="1">
        <f>IFERROR(__xludf.DUMMYFUNCTION("""COMPUTED_VALUE"""),61.3)</f>
        <v>61.3</v>
      </c>
      <c r="F273" s="1">
        <f>IFERROR(__xludf.DUMMYFUNCTION("""COMPUTED_VALUE"""),83938.0)</f>
        <v>83938</v>
      </c>
      <c r="G273" s="2" t="s">
        <v>8</v>
      </c>
    </row>
    <row r="274">
      <c r="A274" s="3">
        <f>IFERROR(__xludf.DUMMYFUNCTION("""COMPUTED_VALUE"""),44949.72916666667)</f>
        <v>44949.72917</v>
      </c>
      <c r="B274" s="1">
        <f>IFERROR(__xludf.DUMMYFUNCTION("""COMPUTED_VALUE"""),61.5)</f>
        <v>61.5</v>
      </c>
      <c r="C274" s="1">
        <f>IFERROR(__xludf.DUMMYFUNCTION("""COMPUTED_VALUE"""),61.6)</f>
        <v>61.6</v>
      </c>
      <c r="D274" s="1">
        <f>IFERROR(__xludf.DUMMYFUNCTION("""COMPUTED_VALUE"""),60.8)</f>
        <v>60.8</v>
      </c>
      <c r="E274" s="1">
        <f>IFERROR(__xludf.DUMMYFUNCTION("""COMPUTED_VALUE"""),60.9)</f>
        <v>60.9</v>
      </c>
      <c r="F274" s="1">
        <f>IFERROR(__xludf.DUMMYFUNCTION("""COMPUTED_VALUE"""),41188.0)</f>
        <v>41188</v>
      </c>
      <c r="G274" s="2" t="s">
        <v>8</v>
      </c>
    </row>
    <row r="275">
      <c r="A275" s="3">
        <f>IFERROR(__xludf.DUMMYFUNCTION("""COMPUTED_VALUE"""),44950.72916666667)</f>
        <v>44950.72917</v>
      </c>
      <c r="B275" s="1">
        <f>IFERROR(__xludf.DUMMYFUNCTION("""COMPUTED_VALUE"""),60.85)</f>
        <v>60.85</v>
      </c>
      <c r="C275" s="1">
        <f>IFERROR(__xludf.DUMMYFUNCTION("""COMPUTED_VALUE"""),61.0)</f>
        <v>61</v>
      </c>
      <c r="D275" s="1">
        <f>IFERROR(__xludf.DUMMYFUNCTION("""COMPUTED_VALUE"""),60.25)</f>
        <v>60.25</v>
      </c>
      <c r="E275" s="1">
        <f>IFERROR(__xludf.DUMMYFUNCTION("""COMPUTED_VALUE"""),60.85)</f>
        <v>60.85</v>
      </c>
      <c r="F275" s="1">
        <f>IFERROR(__xludf.DUMMYFUNCTION("""COMPUTED_VALUE"""),48843.0)</f>
        <v>48843</v>
      </c>
      <c r="G275" s="2" t="s">
        <v>8</v>
      </c>
    </row>
    <row r="276">
      <c r="A276" s="3">
        <f>IFERROR(__xludf.DUMMYFUNCTION("""COMPUTED_VALUE"""),44951.72916666667)</f>
        <v>44951.72917</v>
      </c>
      <c r="B276" s="1">
        <f>IFERROR(__xludf.DUMMYFUNCTION("""COMPUTED_VALUE"""),60.65)</f>
        <v>60.65</v>
      </c>
      <c r="C276" s="1">
        <f>IFERROR(__xludf.DUMMYFUNCTION("""COMPUTED_VALUE"""),61.2)</f>
        <v>61.2</v>
      </c>
      <c r="D276" s="1">
        <f>IFERROR(__xludf.DUMMYFUNCTION("""COMPUTED_VALUE"""),60.65)</f>
        <v>60.65</v>
      </c>
      <c r="E276" s="1">
        <f>IFERROR(__xludf.DUMMYFUNCTION("""COMPUTED_VALUE"""),61.15)</f>
        <v>61.15</v>
      </c>
      <c r="F276" s="1">
        <f>IFERROR(__xludf.DUMMYFUNCTION("""COMPUTED_VALUE"""),49851.0)</f>
        <v>49851</v>
      </c>
      <c r="G276" s="2" t="s">
        <v>8</v>
      </c>
    </row>
    <row r="277">
      <c r="A277" s="3">
        <f>IFERROR(__xludf.DUMMYFUNCTION("""COMPUTED_VALUE"""),44952.72916666667)</f>
        <v>44952.72917</v>
      </c>
      <c r="B277" s="1">
        <f>IFERROR(__xludf.DUMMYFUNCTION("""COMPUTED_VALUE"""),61.4)</f>
        <v>61.4</v>
      </c>
      <c r="C277" s="1">
        <f>IFERROR(__xludf.DUMMYFUNCTION("""COMPUTED_VALUE"""),61.5)</f>
        <v>61.5</v>
      </c>
      <c r="D277" s="1">
        <f>IFERROR(__xludf.DUMMYFUNCTION("""COMPUTED_VALUE"""),60.6)</f>
        <v>60.6</v>
      </c>
      <c r="E277" s="1">
        <f>IFERROR(__xludf.DUMMYFUNCTION("""COMPUTED_VALUE"""),60.9)</f>
        <v>60.9</v>
      </c>
      <c r="F277" s="1">
        <f>IFERROR(__xludf.DUMMYFUNCTION("""COMPUTED_VALUE"""),92691.0)</f>
        <v>92691</v>
      </c>
      <c r="G277" s="2" t="s">
        <v>8</v>
      </c>
    </row>
    <row r="278">
      <c r="A278" s="3">
        <f>IFERROR(__xludf.DUMMYFUNCTION("""COMPUTED_VALUE"""),44953.72916666667)</f>
        <v>44953.72917</v>
      </c>
      <c r="B278" s="1">
        <f>IFERROR(__xludf.DUMMYFUNCTION("""COMPUTED_VALUE"""),60.85)</f>
        <v>60.85</v>
      </c>
      <c r="C278" s="1">
        <f>IFERROR(__xludf.DUMMYFUNCTION("""COMPUTED_VALUE"""),61.05)</f>
        <v>61.05</v>
      </c>
      <c r="D278" s="1">
        <f>IFERROR(__xludf.DUMMYFUNCTION("""COMPUTED_VALUE"""),60.45)</f>
        <v>60.45</v>
      </c>
      <c r="E278" s="1">
        <f>IFERROR(__xludf.DUMMYFUNCTION("""COMPUTED_VALUE"""),60.8)</f>
        <v>60.8</v>
      </c>
      <c r="F278" s="1">
        <f>IFERROR(__xludf.DUMMYFUNCTION("""COMPUTED_VALUE"""),93721.0)</f>
        <v>93721</v>
      </c>
      <c r="G278" s="2" t="s">
        <v>8</v>
      </c>
    </row>
    <row r="279">
      <c r="A279" s="3">
        <f>IFERROR(__xludf.DUMMYFUNCTION("""COMPUTED_VALUE"""),44956.72916666667)</f>
        <v>44956.72917</v>
      </c>
      <c r="B279" s="1">
        <f>IFERROR(__xludf.DUMMYFUNCTION("""COMPUTED_VALUE"""),60.65)</f>
        <v>60.65</v>
      </c>
      <c r="C279" s="1">
        <f>IFERROR(__xludf.DUMMYFUNCTION("""COMPUTED_VALUE"""),61.4)</f>
        <v>61.4</v>
      </c>
      <c r="D279" s="1">
        <f>IFERROR(__xludf.DUMMYFUNCTION("""COMPUTED_VALUE"""),60.4)</f>
        <v>60.4</v>
      </c>
      <c r="E279" s="1">
        <f>IFERROR(__xludf.DUMMYFUNCTION("""COMPUTED_VALUE"""),61.25)</f>
        <v>61.25</v>
      </c>
      <c r="F279" s="1">
        <f>IFERROR(__xludf.DUMMYFUNCTION("""COMPUTED_VALUE"""),86427.0)</f>
        <v>86427</v>
      </c>
      <c r="G279" s="2" t="s">
        <v>8</v>
      </c>
    </row>
    <row r="280">
      <c r="A280" s="3">
        <f>IFERROR(__xludf.DUMMYFUNCTION("""COMPUTED_VALUE"""),44957.72916666667)</f>
        <v>44957.72917</v>
      </c>
      <c r="B280" s="1">
        <f>IFERROR(__xludf.DUMMYFUNCTION("""COMPUTED_VALUE"""),61.15)</f>
        <v>61.15</v>
      </c>
      <c r="C280" s="1">
        <f>IFERROR(__xludf.DUMMYFUNCTION("""COMPUTED_VALUE"""),61.4)</f>
        <v>61.4</v>
      </c>
      <c r="D280" s="1">
        <f>IFERROR(__xludf.DUMMYFUNCTION("""COMPUTED_VALUE"""),61.0)</f>
        <v>61</v>
      </c>
      <c r="E280" s="1">
        <f>IFERROR(__xludf.DUMMYFUNCTION("""COMPUTED_VALUE"""),61.3)</f>
        <v>61.3</v>
      </c>
      <c r="F280" s="1">
        <f>IFERROR(__xludf.DUMMYFUNCTION("""COMPUTED_VALUE"""),91280.0)</f>
        <v>91280</v>
      </c>
      <c r="G280" s="2" t="s">
        <v>8</v>
      </c>
    </row>
    <row r="281">
      <c r="A281" s="3">
        <f>IFERROR(__xludf.DUMMYFUNCTION("""COMPUTED_VALUE"""),44958.72916666667)</f>
        <v>44958.72917</v>
      </c>
      <c r="B281" s="1">
        <f>IFERROR(__xludf.DUMMYFUNCTION("""COMPUTED_VALUE"""),61.5)</f>
        <v>61.5</v>
      </c>
      <c r="C281" s="1">
        <f>IFERROR(__xludf.DUMMYFUNCTION("""COMPUTED_VALUE"""),61.5)</f>
        <v>61.5</v>
      </c>
      <c r="D281" s="1">
        <f>IFERROR(__xludf.DUMMYFUNCTION("""COMPUTED_VALUE"""),60.95)</f>
        <v>60.95</v>
      </c>
      <c r="E281" s="1">
        <f>IFERROR(__xludf.DUMMYFUNCTION("""COMPUTED_VALUE"""),61.5)</f>
        <v>61.5</v>
      </c>
      <c r="F281" s="1">
        <f>IFERROR(__xludf.DUMMYFUNCTION("""COMPUTED_VALUE"""),64350.0)</f>
        <v>64350</v>
      </c>
      <c r="G281" s="2" t="s">
        <v>8</v>
      </c>
    </row>
    <row r="282">
      <c r="A282" s="3">
        <f>IFERROR(__xludf.DUMMYFUNCTION("""COMPUTED_VALUE"""),44959.72916666667)</f>
        <v>44959.72917</v>
      </c>
      <c r="B282" s="1">
        <f>IFERROR(__xludf.DUMMYFUNCTION("""COMPUTED_VALUE"""),61.9)</f>
        <v>61.9</v>
      </c>
      <c r="C282" s="1">
        <f>IFERROR(__xludf.DUMMYFUNCTION("""COMPUTED_VALUE"""),61.9)</f>
        <v>61.9</v>
      </c>
      <c r="D282" s="1">
        <f>IFERROR(__xludf.DUMMYFUNCTION("""COMPUTED_VALUE"""),61.1)</f>
        <v>61.1</v>
      </c>
      <c r="E282" s="1">
        <f>IFERROR(__xludf.DUMMYFUNCTION("""COMPUTED_VALUE"""),61.45)</f>
        <v>61.45</v>
      </c>
      <c r="F282" s="1">
        <f>IFERROR(__xludf.DUMMYFUNCTION("""COMPUTED_VALUE"""),62261.0)</f>
        <v>62261</v>
      </c>
      <c r="G282" s="2" t="s">
        <v>8</v>
      </c>
    </row>
    <row r="283">
      <c r="A283" s="3">
        <f>IFERROR(__xludf.DUMMYFUNCTION("""COMPUTED_VALUE"""),44960.72916666667)</f>
        <v>44960.72917</v>
      </c>
      <c r="B283" s="1">
        <f>IFERROR(__xludf.DUMMYFUNCTION("""COMPUTED_VALUE"""),61.45)</f>
        <v>61.45</v>
      </c>
      <c r="C283" s="1">
        <f>IFERROR(__xludf.DUMMYFUNCTION("""COMPUTED_VALUE"""),61.5)</f>
        <v>61.5</v>
      </c>
      <c r="D283" s="1">
        <f>IFERROR(__xludf.DUMMYFUNCTION("""COMPUTED_VALUE"""),61.15)</f>
        <v>61.15</v>
      </c>
      <c r="E283" s="1">
        <f>IFERROR(__xludf.DUMMYFUNCTION("""COMPUTED_VALUE"""),61.5)</f>
        <v>61.5</v>
      </c>
      <c r="F283" s="1">
        <f>IFERROR(__xludf.DUMMYFUNCTION("""COMPUTED_VALUE"""),88970.0)</f>
        <v>88970</v>
      </c>
      <c r="G283" s="2" t="s">
        <v>8</v>
      </c>
    </row>
    <row r="284">
      <c r="A284" s="3">
        <f>IFERROR(__xludf.DUMMYFUNCTION("""COMPUTED_VALUE"""),44963.72916666667)</f>
        <v>44963.72917</v>
      </c>
      <c r="B284" s="1">
        <f>IFERROR(__xludf.DUMMYFUNCTION("""COMPUTED_VALUE"""),61.25)</f>
        <v>61.25</v>
      </c>
      <c r="C284" s="1">
        <f>IFERROR(__xludf.DUMMYFUNCTION("""COMPUTED_VALUE"""),61.45)</f>
        <v>61.45</v>
      </c>
      <c r="D284" s="1">
        <f>IFERROR(__xludf.DUMMYFUNCTION("""COMPUTED_VALUE"""),60.8)</f>
        <v>60.8</v>
      </c>
      <c r="E284" s="1">
        <f>IFERROR(__xludf.DUMMYFUNCTION("""COMPUTED_VALUE"""),61.25)</f>
        <v>61.25</v>
      </c>
      <c r="F284" s="1">
        <f>IFERROR(__xludf.DUMMYFUNCTION("""COMPUTED_VALUE"""),49247.0)</f>
        <v>49247</v>
      </c>
      <c r="G284" s="2" t="s">
        <v>8</v>
      </c>
    </row>
    <row r="285">
      <c r="A285" s="3">
        <f>IFERROR(__xludf.DUMMYFUNCTION("""COMPUTED_VALUE"""),44964.72916666667)</f>
        <v>44964.72917</v>
      </c>
      <c r="B285" s="1">
        <f>IFERROR(__xludf.DUMMYFUNCTION("""COMPUTED_VALUE"""),61.0)</f>
        <v>61</v>
      </c>
      <c r="C285" s="1">
        <f>IFERROR(__xludf.DUMMYFUNCTION("""COMPUTED_VALUE"""),61.35)</f>
        <v>61.35</v>
      </c>
      <c r="D285" s="1">
        <f>IFERROR(__xludf.DUMMYFUNCTION("""COMPUTED_VALUE"""),60.85)</f>
        <v>60.85</v>
      </c>
      <c r="E285" s="1">
        <f>IFERROR(__xludf.DUMMYFUNCTION("""COMPUTED_VALUE"""),61.35)</f>
        <v>61.35</v>
      </c>
      <c r="F285" s="1">
        <f>IFERROR(__xludf.DUMMYFUNCTION("""COMPUTED_VALUE"""),90417.0)</f>
        <v>90417</v>
      </c>
      <c r="G285" s="2" t="s">
        <v>8</v>
      </c>
    </row>
    <row r="286">
      <c r="A286" s="3">
        <f>IFERROR(__xludf.DUMMYFUNCTION("""COMPUTED_VALUE"""),44965.72916666667)</f>
        <v>44965.72917</v>
      </c>
      <c r="B286" s="1">
        <f>IFERROR(__xludf.DUMMYFUNCTION("""COMPUTED_VALUE"""),61.45)</f>
        <v>61.45</v>
      </c>
      <c r="C286" s="1">
        <f>IFERROR(__xludf.DUMMYFUNCTION("""COMPUTED_VALUE"""),62.15)</f>
        <v>62.15</v>
      </c>
      <c r="D286" s="1">
        <f>IFERROR(__xludf.DUMMYFUNCTION("""COMPUTED_VALUE"""),61.25)</f>
        <v>61.25</v>
      </c>
      <c r="E286" s="1">
        <f>IFERROR(__xludf.DUMMYFUNCTION("""COMPUTED_VALUE"""),62.0)</f>
        <v>62</v>
      </c>
      <c r="F286" s="1">
        <f>IFERROR(__xludf.DUMMYFUNCTION("""COMPUTED_VALUE"""),105735.0)</f>
        <v>105735</v>
      </c>
      <c r="G286" s="2" t="s">
        <v>8</v>
      </c>
    </row>
    <row r="287">
      <c r="A287" s="3">
        <f>IFERROR(__xludf.DUMMYFUNCTION("""COMPUTED_VALUE"""),44966.72916666667)</f>
        <v>44966.72917</v>
      </c>
      <c r="B287" s="1">
        <f>IFERROR(__xludf.DUMMYFUNCTION("""COMPUTED_VALUE"""),61.75)</f>
        <v>61.75</v>
      </c>
      <c r="C287" s="1">
        <f>IFERROR(__xludf.DUMMYFUNCTION("""COMPUTED_VALUE"""),62.25)</f>
        <v>62.25</v>
      </c>
      <c r="D287" s="1">
        <f>IFERROR(__xludf.DUMMYFUNCTION("""COMPUTED_VALUE"""),61.75)</f>
        <v>61.75</v>
      </c>
      <c r="E287" s="1">
        <f>IFERROR(__xludf.DUMMYFUNCTION("""COMPUTED_VALUE"""),61.95)</f>
        <v>61.95</v>
      </c>
      <c r="F287" s="1">
        <f>IFERROR(__xludf.DUMMYFUNCTION("""COMPUTED_VALUE"""),97738.0)</f>
        <v>97738</v>
      </c>
      <c r="G287" s="2" t="s">
        <v>8</v>
      </c>
    </row>
    <row r="288">
      <c r="A288" s="3">
        <f>IFERROR(__xludf.DUMMYFUNCTION("""COMPUTED_VALUE"""),44967.72916666667)</f>
        <v>44967.72917</v>
      </c>
      <c r="B288" s="1">
        <f>IFERROR(__xludf.DUMMYFUNCTION("""COMPUTED_VALUE"""),61.8)</f>
        <v>61.8</v>
      </c>
      <c r="C288" s="1">
        <f>IFERROR(__xludf.DUMMYFUNCTION("""COMPUTED_VALUE"""),62.4)</f>
        <v>62.4</v>
      </c>
      <c r="D288" s="1">
        <f>IFERROR(__xludf.DUMMYFUNCTION("""COMPUTED_VALUE"""),61.65)</f>
        <v>61.65</v>
      </c>
      <c r="E288" s="1">
        <f>IFERROR(__xludf.DUMMYFUNCTION("""COMPUTED_VALUE"""),62.3)</f>
        <v>62.3</v>
      </c>
      <c r="F288" s="1">
        <f>IFERROR(__xludf.DUMMYFUNCTION("""COMPUTED_VALUE"""),94904.0)</f>
        <v>94904</v>
      </c>
      <c r="G288" s="2" t="s">
        <v>8</v>
      </c>
    </row>
    <row r="289">
      <c r="A289" s="3">
        <f>IFERROR(__xludf.DUMMYFUNCTION("""COMPUTED_VALUE"""),44970.72916666667)</f>
        <v>44970.72917</v>
      </c>
      <c r="B289" s="1">
        <f>IFERROR(__xludf.DUMMYFUNCTION("""COMPUTED_VALUE"""),62.35)</f>
        <v>62.35</v>
      </c>
      <c r="C289" s="1">
        <f>IFERROR(__xludf.DUMMYFUNCTION("""COMPUTED_VALUE"""),63.45)</f>
        <v>63.45</v>
      </c>
      <c r="D289" s="1">
        <f>IFERROR(__xludf.DUMMYFUNCTION("""COMPUTED_VALUE"""),62.35)</f>
        <v>62.35</v>
      </c>
      <c r="E289" s="1">
        <f>IFERROR(__xludf.DUMMYFUNCTION("""COMPUTED_VALUE"""),63.45)</f>
        <v>63.45</v>
      </c>
      <c r="F289" s="1">
        <f>IFERROR(__xludf.DUMMYFUNCTION("""COMPUTED_VALUE"""),71149.0)</f>
        <v>71149</v>
      </c>
      <c r="G289" s="2" t="s">
        <v>8</v>
      </c>
    </row>
    <row r="290">
      <c r="A290" s="3">
        <f>IFERROR(__xludf.DUMMYFUNCTION("""COMPUTED_VALUE"""),44971.72916666667)</f>
        <v>44971.72917</v>
      </c>
      <c r="B290" s="1">
        <f>IFERROR(__xludf.DUMMYFUNCTION("""COMPUTED_VALUE"""),63.05)</f>
        <v>63.05</v>
      </c>
      <c r="C290" s="1">
        <f>IFERROR(__xludf.DUMMYFUNCTION("""COMPUTED_VALUE"""),63.95)</f>
        <v>63.95</v>
      </c>
      <c r="D290" s="1">
        <f>IFERROR(__xludf.DUMMYFUNCTION("""COMPUTED_VALUE"""),63.05)</f>
        <v>63.05</v>
      </c>
      <c r="E290" s="1">
        <f>IFERROR(__xludf.DUMMYFUNCTION("""COMPUTED_VALUE"""),63.65)</f>
        <v>63.65</v>
      </c>
      <c r="F290" s="1">
        <f>IFERROR(__xludf.DUMMYFUNCTION("""COMPUTED_VALUE"""),89482.0)</f>
        <v>89482</v>
      </c>
      <c r="G290" s="2" t="s">
        <v>8</v>
      </c>
    </row>
    <row r="291">
      <c r="A291" s="3">
        <f>IFERROR(__xludf.DUMMYFUNCTION("""COMPUTED_VALUE"""),44972.72916666667)</f>
        <v>44972.72917</v>
      </c>
      <c r="B291" s="1">
        <f>IFERROR(__xludf.DUMMYFUNCTION("""COMPUTED_VALUE"""),63.75)</f>
        <v>63.75</v>
      </c>
      <c r="C291" s="1">
        <f>IFERROR(__xludf.DUMMYFUNCTION("""COMPUTED_VALUE"""),64.05)</f>
        <v>64.05</v>
      </c>
      <c r="D291" s="1">
        <f>IFERROR(__xludf.DUMMYFUNCTION("""COMPUTED_VALUE"""),63.6)</f>
        <v>63.6</v>
      </c>
      <c r="E291" s="1">
        <f>IFERROR(__xludf.DUMMYFUNCTION("""COMPUTED_VALUE"""),63.9)</f>
        <v>63.9</v>
      </c>
      <c r="F291" s="1">
        <f>IFERROR(__xludf.DUMMYFUNCTION("""COMPUTED_VALUE"""),55629.0)</f>
        <v>55629</v>
      </c>
      <c r="G291" s="2" t="s">
        <v>8</v>
      </c>
    </row>
    <row r="292">
      <c r="A292" s="3">
        <f>IFERROR(__xludf.DUMMYFUNCTION("""COMPUTED_VALUE"""),44973.72916666667)</f>
        <v>44973.72917</v>
      </c>
      <c r="B292" s="1">
        <f>IFERROR(__xludf.DUMMYFUNCTION("""COMPUTED_VALUE"""),63.75)</f>
        <v>63.75</v>
      </c>
      <c r="C292" s="1">
        <f>IFERROR(__xludf.DUMMYFUNCTION("""COMPUTED_VALUE"""),63.95)</f>
        <v>63.95</v>
      </c>
      <c r="D292" s="1">
        <f>IFERROR(__xludf.DUMMYFUNCTION("""COMPUTED_VALUE"""),62.85)</f>
        <v>62.85</v>
      </c>
      <c r="E292" s="1">
        <f>IFERROR(__xludf.DUMMYFUNCTION("""COMPUTED_VALUE"""),63.55)</f>
        <v>63.55</v>
      </c>
      <c r="F292" s="1">
        <f>IFERROR(__xludf.DUMMYFUNCTION("""COMPUTED_VALUE"""),51017.0)</f>
        <v>51017</v>
      </c>
      <c r="G292" s="2" t="s">
        <v>8</v>
      </c>
    </row>
    <row r="293">
      <c r="A293" s="3">
        <f>IFERROR(__xludf.DUMMYFUNCTION("""COMPUTED_VALUE"""),44974.72916666667)</f>
        <v>44974.72917</v>
      </c>
      <c r="B293" s="1">
        <f>IFERROR(__xludf.DUMMYFUNCTION("""COMPUTED_VALUE"""),63.2)</f>
        <v>63.2</v>
      </c>
      <c r="C293" s="1">
        <f>IFERROR(__xludf.DUMMYFUNCTION("""COMPUTED_VALUE"""),64.15)</f>
        <v>64.15</v>
      </c>
      <c r="D293" s="1">
        <f>IFERROR(__xludf.DUMMYFUNCTION("""COMPUTED_VALUE"""),63.05)</f>
        <v>63.05</v>
      </c>
      <c r="E293" s="1">
        <f>IFERROR(__xludf.DUMMYFUNCTION("""COMPUTED_VALUE"""),64.1)</f>
        <v>64.1</v>
      </c>
      <c r="F293" s="1">
        <f>IFERROR(__xludf.DUMMYFUNCTION("""COMPUTED_VALUE"""),54001.0)</f>
        <v>54001</v>
      </c>
      <c r="G293" s="2" t="s">
        <v>8</v>
      </c>
    </row>
    <row r="294">
      <c r="A294" s="3">
        <f>IFERROR(__xludf.DUMMYFUNCTION("""COMPUTED_VALUE"""),44977.72916666667)</f>
        <v>44977.72917</v>
      </c>
      <c r="B294" s="1">
        <f>IFERROR(__xludf.DUMMYFUNCTION("""COMPUTED_VALUE"""),64.25)</f>
        <v>64.25</v>
      </c>
      <c r="C294" s="1">
        <f>IFERROR(__xludf.DUMMYFUNCTION("""COMPUTED_VALUE"""),64.5)</f>
        <v>64.5</v>
      </c>
      <c r="D294" s="1">
        <f>IFERROR(__xludf.DUMMYFUNCTION("""COMPUTED_VALUE"""),63.85)</f>
        <v>63.85</v>
      </c>
      <c r="E294" s="1">
        <f>IFERROR(__xludf.DUMMYFUNCTION("""COMPUTED_VALUE"""),64.5)</f>
        <v>64.5</v>
      </c>
      <c r="F294" s="1">
        <f>IFERROR(__xludf.DUMMYFUNCTION("""COMPUTED_VALUE"""),27246.0)</f>
        <v>27246</v>
      </c>
      <c r="G294" s="2" t="s">
        <v>8</v>
      </c>
    </row>
    <row r="295">
      <c r="A295" s="3">
        <f>IFERROR(__xludf.DUMMYFUNCTION("""COMPUTED_VALUE"""),44978.72916666667)</f>
        <v>44978.72917</v>
      </c>
      <c r="B295" s="1">
        <f>IFERROR(__xludf.DUMMYFUNCTION("""COMPUTED_VALUE"""),64.45)</f>
        <v>64.45</v>
      </c>
      <c r="C295" s="1">
        <f>IFERROR(__xludf.DUMMYFUNCTION("""COMPUTED_VALUE"""),65.0)</f>
        <v>65</v>
      </c>
      <c r="D295" s="1">
        <f>IFERROR(__xludf.DUMMYFUNCTION("""COMPUTED_VALUE"""),64.35)</f>
        <v>64.35</v>
      </c>
      <c r="E295" s="1">
        <f>IFERROR(__xludf.DUMMYFUNCTION("""COMPUTED_VALUE"""),64.85)</f>
        <v>64.85</v>
      </c>
      <c r="F295" s="1">
        <f>IFERROR(__xludf.DUMMYFUNCTION("""COMPUTED_VALUE"""),55567.0)</f>
        <v>55567</v>
      </c>
      <c r="G295" s="2" t="s">
        <v>8</v>
      </c>
    </row>
    <row r="296">
      <c r="A296" s="3">
        <f>IFERROR(__xludf.DUMMYFUNCTION("""COMPUTED_VALUE"""),44979.72916666667)</f>
        <v>44979.72917</v>
      </c>
      <c r="B296" s="1">
        <f>IFERROR(__xludf.DUMMYFUNCTION("""COMPUTED_VALUE"""),64.75)</f>
        <v>64.75</v>
      </c>
      <c r="C296" s="1">
        <f>IFERROR(__xludf.DUMMYFUNCTION("""COMPUTED_VALUE"""),65.95)</f>
        <v>65.95</v>
      </c>
      <c r="D296" s="1">
        <f>IFERROR(__xludf.DUMMYFUNCTION("""COMPUTED_VALUE"""),64.7)</f>
        <v>64.7</v>
      </c>
      <c r="E296" s="1">
        <f>IFERROR(__xludf.DUMMYFUNCTION("""COMPUTED_VALUE"""),65.8)</f>
        <v>65.8</v>
      </c>
      <c r="F296" s="1">
        <f>IFERROR(__xludf.DUMMYFUNCTION("""COMPUTED_VALUE"""),65733.0)</f>
        <v>65733</v>
      </c>
      <c r="G296" s="2" t="s">
        <v>8</v>
      </c>
    </row>
    <row r="297">
      <c r="A297" s="3">
        <f>IFERROR(__xludf.DUMMYFUNCTION("""COMPUTED_VALUE"""),44980.72916666667)</f>
        <v>44980.72917</v>
      </c>
      <c r="B297" s="1">
        <f>IFERROR(__xludf.DUMMYFUNCTION("""COMPUTED_VALUE"""),65.75)</f>
        <v>65.75</v>
      </c>
      <c r="C297" s="1">
        <f>IFERROR(__xludf.DUMMYFUNCTION("""COMPUTED_VALUE"""),65.9)</f>
        <v>65.9</v>
      </c>
      <c r="D297" s="1">
        <f>IFERROR(__xludf.DUMMYFUNCTION("""COMPUTED_VALUE"""),65.1)</f>
        <v>65.1</v>
      </c>
      <c r="E297" s="1">
        <f>IFERROR(__xludf.DUMMYFUNCTION("""COMPUTED_VALUE"""),65.15)</f>
        <v>65.15</v>
      </c>
      <c r="F297" s="1">
        <f>IFERROR(__xludf.DUMMYFUNCTION("""COMPUTED_VALUE"""),57584.0)</f>
        <v>57584</v>
      </c>
      <c r="G297" s="2" t="s">
        <v>8</v>
      </c>
    </row>
    <row r="298">
      <c r="A298" s="3">
        <f>IFERROR(__xludf.DUMMYFUNCTION("""COMPUTED_VALUE"""),44981.72916666667)</f>
        <v>44981.72917</v>
      </c>
      <c r="B298" s="1">
        <f>IFERROR(__xludf.DUMMYFUNCTION("""COMPUTED_VALUE"""),65.3)</f>
        <v>65.3</v>
      </c>
      <c r="C298" s="1">
        <f>IFERROR(__xludf.DUMMYFUNCTION("""COMPUTED_VALUE"""),65.5)</f>
        <v>65.5</v>
      </c>
      <c r="D298" s="1">
        <f>IFERROR(__xludf.DUMMYFUNCTION("""COMPUTED_VALUE"""),64.8)</f>
        <v>64.8</v>
      </c>
      <c r="E298" s="1">
        <f>IFERROR(__xludf.DUMMYFUNCTION("""COMPUTED_VALUE"""),65.2)</f>
        <v>65.2</v>
      </c>
      <c r="F298" s="1">
        <f>IFERROR(__xludf.DUMMYFUNCTION("""COMPUTED_VALUE"""),75310.0)</f>
        <v>75310</v>
      </c>
      <c r="G298" s="2" t="s">
        <v>8</v>
      </c>
    </row>
    <row r="299">
      <c r="A299" s="3">
        <f>IFERROR(__xludf.DUMMYFUNCTION("""COMPUTED_VALUE"""),44984.72916666667)</f>
        <v>44984.72917</v>
      </c>
      <c r="B299" s="1">
        <f>IFERROR(__xludf.DUMMYFUNCTION("""COMPUTED_VALUE"""),65.4)</f>
        <v>65.4</v>
      </c>
      <c r="C299" s="1">
        <f>IFERROR(__xludf.DUMMYFUNCTION("""COMPUTED_VALUE"""),66.0)</f>
        <v>66</v>
      </c>
      <c r="D299" s="1">
        <f>IFERROR(__xludf.DUMMYFUNCTION("""COMPUTED_VALUE"""),65.3)</f>
        <v>65.3</v>
      </c>
      <c r="E299" s="1">
        <f>IFERROR(__xludf.DUMMYFUNCTION("""COMPUTED_VALUE"""),65.6)</f>
        <v>65.6</v>
      </c>
      <c r="F299" s="1">
        <f>IFERROR(__xludf.DUMMYFUNCTION("""COMPUTED_VALUE"""),51056.0)</f>
        <v>51056</v>
      </c>
      <c r="G299" s="2" t="s">
        <v>8</v>
      </c>
    </row>
    <row r="300">
      <c r="A300" s="3">
        <f>IFERROR(__xludf.DUMMYFUNCTION("""COMPUTED_VALUE"""),44985.72916666667)</f>
        <v>44985.72917</v>
      </c>
      <c r="B300" s="1">
        <f>IFERROR(__xludf.DUMMYFUNCTION("""COMPUTED_VALUE"""),65.55)</f>
        <v>65.55</v>
      </c>
      <c r="C300" s="1">
        <f>IFERROR(__xludf.DUMMYFUNCTION("""COMPUTED_VALUE"""),65.65)</f>
        <v>65.65</v>
      </c>
      <c r="D300" s="1">
        <f>IFERROR(__xludf.DUMMYFUNCTION("""COMPUTED_VALUE"""),65.2)</f>
        <v>65.2</v>
      </c>
      <c r="E300" s="1">
        <f>IFERROR(__xludf.DUMMYFUNCTION("""COMPUTED_VALUE"""),65.45)</f>
        <v>65.45</v>
      </c>
      <c r="F300" s="1">
        <f>IFERROR(__xludf.DUMMYFUNCTION("""COMPUTED_VALUE"""),420410.0)</f>
        <v>420410</v>
      </c>
      <c r="G300" s="2" t="s">
        <v>8</v>
      </c>
    </row>
    <row r="301">
      <c r="A301" s="3">
        <f>IFERROR(__xludf.DUMMYFUNCTION("""COMPUTED_VALUE"""),44986.72916666667)</f>
        <v>44986.72917</v>
      </c>
      <c r="B301" s="1">
        <f>IFERROR(__xludf.DUMMYFUNCTION("""COMPUTED_VALUE"""),65.1)</f>
        <v>65.1</v>
      </c>
      <c r="C301" s="1">
        <f>IFERROR(__xludf.DUMMYFUNCTION("""COMPUTED_VALUE"""),65.55)</f>
        <v>65.55</v>
      </c>
      <c r="D301" s="1">
        <f>IFERROR(__xludf.DUMMYFUNCTION("""COMPUTED_VALUE"""),64.8)</f>
        <v>64.8</v>
      </c>
      <c r="E301" s="1">
        <f>IFERROR(__xludf.DUMMYFUNCTION("""COMPUTED_VALUE"""),65.2)</f>
        <v>65.2</v>
      </c>
      <c r="F301" s="1">
        <f>IFERROR(__xludf.DUMMYFUNCTION("""COMPUTED_VALUE"""),63695.0)</f>
        <v>63695</v>
      </c>
      <c r="G301" s="2" t="s">
        <v>8</v>
      </c>
    </row>
    <row r="302">
      <c r="A302" s="3">
        <f>IFERROR(__xludf.DUMMYFUNCTION("""COMPUTED_VALUE"""),44987.72916666667)</f>
        <v>44987.72917</v>
      </c>
      <c r="B302" s="1">
        <f>IFERROR(__xludf.DUMMYFUNCTION("""COMPUTED_VALUE"""),65.2)</f>
        <v>65.2</v>
      </c>
      <c r="C302" s="1">
        <f>IFERROR(__xludf.DUMMYFUNCTION("""COMPUTED_VALUE"""),65.45)</f>
        <v>65.45</v>
      </c>
      <c r="D302" s="1">
        <f>IFERROR(__xludf.DUMMYFUNCTION("""COMPUTED_VALUE"""),64.85)</f>
        <v>64.85</v>
      </c>
      <c r="E302" s="1">
        <f>IFERROR(__xludf.DUMMYFUNCTION("""COMPUTED_VALUE"""),65.2)</f>
        <v>65.2</v>
      </c>
      <c r="F302" s="1">
        <f>IFERROR(__xludf.DUMMYFUNCTION("""COMPUTED_VALUE"""),114165.0)</f>
        <v>114165</v>
      </c>
      <c r="G302" s="2" t="s">
        <v>8</v>
      </c>
    </row>
    <row r="303">
      <c r="A303" s="3">
        <f>IFERROR(__xludf.DUMMYFUNCTION("""COMPUTED_VALUE"""),44988.72916666667)</f>
        <v>44988.72917</v>
      </c>
      <c r="B303" s="1">
        <f>IFERROR(__xludf.DUMMYFUNCTION("""COMPUTED_VALUE"""),65.7)</f>
        <v>65.7</v>
      </c>
      <c r="C303" s="1">
        <f>IFERROR(__xludf.DUMMYFUNCTION("""COMPUTED_VALUE"""),65.7)</f>
        <v>65.7</v>
      </c>
      <c r="D303" s="1">
        <f>IFERROR(__xludf.DUMMYFUNCTION("""COMPUTED_VALUE"""),65.05)</f>
        <v>65.05</v>
      </c>
      <c r="E303" s="1">
        <f>IFERROR(__xludf.DUMMYFUNCTION("""COMPUTED_VALUE"""),65.4)</f>
        <v>65.4</v>
      </c>
      <c r="F303" s="1">
        <f>IFERROR(__xludf.DUMMYFUNCTION("""COMPUTED_VALUE"""),81149.0)</f>
        <v>81149</v>
      </c>
      <c r="G303" s="2" t="s">
        <v>8</v>
      </c>
    </row>
    <row r="304">
      <c r="A304" s="3">
        <f>IFERROR(__xludf.DUMMYFUNCTION("""COMPUTED_VALUE"""),44991.72916666667)</f>
        <v>44991.72917</v>
      </c>
      <c r="B304" s="1">
        <f>IFERROR(__xludf.DUMMYFUNCTION("""COMPUTED_VALUE"""),65.55)</f>
        <v>65.55</v>
      </c>
      <c r="C304" s="1">
        <f>IFERROR(__xludf.DUMMYFUNCTION("""COMPUTED_VALUE"""),65.55)</f>
        <v>65.55</v>
      </c>
      <c r="D304" s="1">
        <f>IFERROR(__xludf.DUMMYFUNCTION("""COMPUTED_VALUE"""),65.05)</f>
        <v>65.05</v>
      </c>
      <c r="E304" s="1">
        <f>IFERROR(__xludf.DUMMYFUNCTION("""COMPUTED_VALUE"""),65.1)</f>
        <v>65.1</v>
      </c>
      <c r="F304" s="1">
        <f>IFERROR(__xludf.DUMMYFUNCTION("""COMPUTED_VALUE"""),73261.0)</f>
        <v>73261</v>
      </c>
      <c r="G304" s="2" t="s">
        <v>8</v>
      </c>
    </row>
    <row r="305">
      <c r="A305" s="3">
        <f>IFERROR(__xludf.DUMMYFUNCTION("""COMPUTED_VALUE"""),44992.72916666667)</f>
        <v>44992.72917</v>
      </c>
      <c r="B305" s="1">
        <f>IFERROR(__xludf.DUMMYFUNCTION("""COMPUTED_VALUE"""),63.55)</f>
        <v>63.55</v>
      </c>
      <c r="C305" s="1">
        <f>IFERROR(__xludf.DUMMYFUNCTION("""COMPUTED_VALUE"""),63.95)</f>
        <v>63.95</v>
      </c>
      <c r="D305" s="1">
        <f>IFERROR(__xludf.DUMMYFUNCTION("""COMPUTED_VALUE"""),62.4)</f>
        <v>62.4</v>
      </c>
      <c r="E305" s="1">
        <f>IFERROR(__xludf.DUMMYFUNCTION("""COMPUTED_VALUE"""),63.05)</f>
        <v>63.05</v>
      </c>
      <c r="F305" s="1">
        <f>IFERROR(__xludf.DUMMYFUNCTION("""COMPUTED_VALUE"""),155085.0)</f>
        <v>155085</v>
      </c>
      <c r="G305" s="2" t="s">
        <v>8</v>
      </c>
    </row>
    <row r="306">
      <c r="A306" s="3">
        <f>IFERROR(__xludf.DUMMYFUNCTION("""COMPUTED_VALUE"""),44993.72916666667)</f>
        <v>44993.72917</v>
      </c>
      <c r="B306" s="1">
        <f>IFERROR(__xludf.DUMMYFUNCTION("""COMPUTED_VALUE"""),62.95)</f>
        <v>62.95</v>
      </c>
      <c r="C306" s="1">
        <f>IFERROR(__xludf.DUMMYFUNCTION("""COMPUTED_VALUE"""),63.0)</f>
        <v>63</v>
      </c>
      <c r="D306" s="1">
        <f>IFERROR(__xludf.DUMMYFUNCTION("""COMPUTED_VALUE"""),61.6)</f>
        <v>61.6</v>
      </c>
      <c r="E306" s="1">
        <f>IFERROR(__xludf.DUMMYFUNCTION("""COMPUTED_VALUE"""),63.0)</f>
        <v>63</v>
      </c>
      <c r="F306" s="1">
        <f>IFERROR(__xludf.DUMMYFUNCTION("""COMPUTED_VALUE"""),157981.0)</f>
        <v>157981</v>
      </c>
      <c r="G306" s="2" t="s">
        <v>8</v>
      </c>
    </row>
    <row r="307">
      <c r="A307" s="3">
        <f>IFERROR(__xludf.DUMMYFUNCTION("""COMPUTED_VALUE"""),44994.72916666667)</f>
        <v>44994.72917</v>
      </c>
      <c r="B307" s="1">
        <f>IFERROR(__xludf.DUMMYFUNCTION("""COMPUTED_VALUE"""),62.7)</f>
        <v>62.7</v>
      </c>
      <c r="C307" s="1">
        <f>IFERROR(__xludf.DUMMYFUNCTION("""COMPUTED_VALUE"""),64.2)</f>
        <v>64.2</v>
      </c>
      <c r="D307" s="1">
        <f>IFERROR(__xludf.DUMMYFUNCTION("""COMPUTED_VALUE"""),62.7)</f>
        <v>62.7</v>
      </c>
      <c r="E307" s="1">
        <f>IFERROR(__xludf.DUMMYFUNCTION("""COMPUTED_VALUE"""),63.5)</f>
        <v>63.5</v>
      </c>
      <c r="F307" s="1">
        <f>IFERROR(__xludf.DUMMYFUNCTION("""COMPUTED_VALUE"""),97785.0)</f>
        <v>97785</v>
      </c>
      <c r="G307" s="2" t="s">
        <v>8</v>
      </c>
    </row>
    <row r="308">
      <c r="A308" s="3">
        <f>IFERROR(__xludf.DUMMYFUNCTION("""COMPUTED_VALUE"""),44995.72916666667)</f>
        <v>44995.72917</v>
      </c>
      <c r="B308" s="1">
        <f>IFERROR(__xludf.DUMMYFUNCTION("""COMPUTED_VALUE"""),63.35)</f>
        <v>63.35</v>
      </c>
      <c r="C308" s="1">
        <f>IFERROR(__xludf.DUMMYFUNCTION("""COMPUTED_VALUE"""),63.75)</f>
        <v>63.75</v>
      </c>
      <c r="D308" s="1">
        <f>IFERROR(__xludf.DUMMYFUNCTION("""COMPUTED_VALUE"""),62.45)</f>
        <v>62.45</v>
      </c>
      <c r="E308" s="1">
        <f>IFERROR(__xludf.DUMMYFUNCTION("""COMPUTED_VALUE"""),63.25)</f>
        <v>63.25</v>
      </c>
      <c r="F308" s="1">
        <f>IFERROR(__xludf.DUMMYFUNCTION("""COMPUTED_VALUE"""),64759.0)</f>
        <v>64759</v>
      </c>
      <c r="G308" s="2" t="s">
        <v>8</v>
      </c>
    </row>
    <row r="309">
      <c r="A309" s="3">
        <f>IFERROR(__xludf.DUMMYFUNCTION("""COMPUTED_VALUE"""),44998.72916666667)</f>
        <v>44998.72917</v>
      </c>
      <c r="B309" s="1">
        <f>IFERROR(__xludf.DUMMYFUNCTION("""COMPUTED_VALUE"""),63.35)</f>
        <v>63.35</v>
      </c>
      <c r="C309" s="1">
        <f>IFERROR(__xludf.DUMMYFUNCTION("""COMPUTED_VALUE"""),63.35)</f>
        <v>63.35</v>
      </c>
      <c r="D309" s="1">
        <f>IFERROR(__xludf.DUMMYFUNCTION("""COMPUTED_VALUE"""),62.1)</f>
        <v>62.1</v>
      </c>
      <c r="E309" s="1">
        <f>IFERROR(__xludf.DUMMYFUNCTION("""COMPUTED_VALUE"""),62.3)</f>
        <v>62.3</v>
      </c>
      <c r="F309" s="1">
        <f>IFERROR(__xludf.DUMMYFUNCTION("""COMPUTED_VALUE"""),118684.0)</f>
        <v>118684</v>
      </c>
      <c r="G309" s="2" t="s">
        <v>8</v>
      </c>
    </row>
    <row r="310">
      <c r="A310" s="3">
        <f>IFERROR(__xludf.DUMMYFUNCTION("""COMPUTED_VALUE"""),44999.72916666667)</f>
        <v>44999.72917</v>
      </c>
      <c r="B310" s="1">
        <f>IFERROR(__xludf.DUMMYFUNCTION("""COMPUTED_VALUE"""),62.3)</f>
        <v>62.3</v>
      </c>
      <c r="C310" s="1">
        <f>IFERROR(__xludf.DUMMYFUNCTION("""COMPUTED_VALUE"""),63.15)</f>
        <v>63.15</v>
      </c>
      <c r="D310" s="1">
        <f>IFERROR(__xludf.DUMMYFUNCTION("""COMPUTED_VALUE"""),62.25)</f>
        <v>62.25</v>
      </c>
      <c r="E310" s="1">
        <f>IFERROR(__xludf.DUMMYFUNCTION("""COMPUTED_VALUE"""),63.0)</f>
        <v>63</v>
      </c>
      <c r="F310" s="1">
        <f>IFERROR(__xludf.DUMMYFUNCTION("""COMPUTED_VALUE"""),87015.0)</f>
        <v>87015</v>
      </c>
      <c r="G310" s="2" t="s">
        <v>8</v>
      </c>
    </row>
    <row r="311">
      <c r="A311" s="3">
        <f>IFERROR(__xludf.DUMMYFUNCTION("""COMPUTED_VALUE"""),45000.72916666667)</f>
        <v>45000.72917</v>
      </c>
      <c r="B311" s="1">
        <f>IFERROR(__xludf.DUMMYFUNCTION("""COMPUTED_VALUE"""),63.05)</f>
        <v>63.05</v>
      </c>
      <c r="C311" s="1">
        <f>IFERROR(__xludf.DUMMYFUNCTION("""COMPUTED_VALUE"""),63.35)</f>
        <v>63.35</v>
      </c>
      <c r="D311" s="1">
        <f>IFERROR(__xludf.DUMMYFUNCTION("""COMPUTED_VALUE"""),62.0)</f>
        <v>62</v>
      </c>
      <c r="E311" s="1">
        <f>IFERROR(__xludf.DUMMYFUNCTION("""COMPUTED_VALUE"""),62.8)</f>
        <v>62.8</v>
      </c>
      <c r="F311" s="1">
        <f>IFERROR(__xludf.DUMMYFUNCTION("""COMPUTED_VALUE"""),118274.0)</f>
        <v>118274</v>
      </c>
      <c r="G311" s="2" t="s">
        <v>8</v>
      </c>
    </row>
    <row r="312">
      <c r="A312" s="3">
        <f>IFERROR(__xludf.DUMMYFUNCTION("""COMPUTED_VALUE"""),45001.72916666667)</f>
        <v>45001.72917</v>
      </c>
      <c r="B312" s="1">
        <f>IFERROR(__xludf.DUMMYFUNCTION("""COMPUTED_VALUE"""),63.0)</f>
        <v>63</v>
      </c>
      <c r="C312" s="1">
        <f>IFERROR(__xludf.DUMMYFUNCTION("""COMPUTED_VALUE"""),63.85)</f>
        <v>63.85</v>
      </c>
      <c r="D312" s="1">
        <f>IFERROR(__xludf.DUMMYFUNCTION("""COMPUTED_VALUE"""),62.95)</f>
        <v>62.95</v>
      </c>
      <c r="E312" s="1">
        <f>IFERROR(__xludf.DUMMYFUNCTION("""COMPUTED_VALUE"""),63.85)</f>
        <v>63.85</v>
      </c>
      <c r="F312" s="1">
        <f>IFERROR(__xludf.DUMMYFUNCTION("""COMPUTED_VALUE"""),104553.0)</f>
        <v>104553</v>
      </c>
      <c r="G312" s="2" t="s">
        <v>8</v>
      </c>
    </row>
    <row r="313">
      <c r="A313" s="3">
        <f>IFERROR(__xludf.DUMMYFUNCTION("""COMPUTED_VALUE"""),45002.72916666667)</f>
        <v>45002.72917</v>
      </c>
      <c r="B313" s="1">
        <f>IFERROR(__xludf.DUMMYFUNCTION("""COMPUTED_VALUE"""),63.8)</f>
        <v>63.8</v>
      </c>
      <c r="C313" s="1">
        <f>IFERROR(__xludf.DUMMYFUNCTION("""COMPUTED_VALUE"""),63.95)</f>
        <v>63.95</v>
      </c>
      <c r="D313" s="1">
        <f>IFERROR(__xludf.DUMMYFUNCTION("""COMPUTED_VALUE"""),62.7)</f>
        <v>62.7</v>
      </c>
      <c r="E313" s="1">
        <f>IFERROR(__xludf.DUMMYFUNCTION("""COMPUTED_VALUE"""),62.8)</f>
        <v>62.8</v>
      </c>
      <c r="F313" s="1">
        <f>IFERROR(__xludf.DUMMYFUNCTION("""COMPUTED_VALUE"""),138933.0)</f>
        <v>138933</v>
      </c>
      <c r="G313" s="2" t="s">
        <v>8</v>
      </c>
    </row>
    <row r="314">
      <c r="A314" s="3">
        <f>IFERROR(__xludf.DUMMYFUNCTION("""COMPUTED_VALUE"""),45005.72916666667)</f>
        <v>45005.72917</v>
      </c>
      <c r="B314" s="1">
        <f>IFERROR(__xludf.DUMMYFUNCTION("""COMPUTED_VALUE"""),62.4)</f>
        <v>62.4</v>
      </c>
      <c r="C314" s="1">
        <f>IFERROR(__xludf.DUMMYFUNCTION("""COMPUTED_VALUE"""),63.4)</f>
        <v>63.4</v>
      </c>
      <c r="D314" s="1">
        <f>IFERROR(__xludf.DUMMYFUNCTION("""COMPUTED_VALUE"""),62.4)</f>
        <v>62.4</v>
      </c>
      <c r="E314" s="1">
        <f>IFERROR(__xludf.DUMMYFUNCTION("""COMPUTED_VALUE"""),63.2)</f>
        <v>63.2</v>
      </c>
      <c r="F314" s="1">
        <f>IFERROR(__xludf.DUMMYFUNCTION("""COMPUTED_VALUE"""),87295.0)</f>
        <v>87295</v>
      </c>
      <c r="G314" s="2" t="s">
        <v>8</v>
      </c>
    </row>
    <row r="315">
      <c r="A315" s="3">
        <f>IFERROR(__xludf.DUMMYFUNCTION("""COMPUTED_VALUE"""),45006.72916666667)</f>
        <v>45006.72917</v>
      </c>
      <c r="B315" s="1">
        <f>IFERROR(__xludf.DUMMYFUNCTION("""COMPUTED_VALUE"""),63.65)</f>
        <v>63.65</v>
      </c>
      <c r="C315" s="1">
        <f>IFERROR(__xludf.DUMMYFUNCTION("""COMPUTED_VALUE"""),64.9)</f>
        <v>64.9</v>
      </c>
      <c r="D315" s="1">
        <f>IFERROR(__xludf.DUMMYFUNCTION("""COMPUTED_VALUE"""),63.4)</f>
        <v>63.4</v>
      </c>
      <c r="E315" s="1">
        <f>IFERROR(__xludf.DUMMYFUNCTION("""COMPUTED_VALUE"""),64.45)</f>
        <v>64.45</v>
      </c>
      <c r="F315" s="1">
        <f>IFERROR(__xludf.DUMMYFUNCTION("""COMPUTED_VALUE"""),97787.0)</f>
        <v>97787</v>
      </c>
      <c r="G315" s="2" t="s">
        <v>8</v>
      </c>
    </row>
    <row r="316">
      <c r="A316" s="3">
        <f>IFERROR(__xludf.DUMMYFUNCTION("""COMPUTED_VALUE"""),45007.72916666667)</f>
        <v>45007.72917</v>
      </c>
      <c r="B316" s="1">
        <f>IFERROR(__xludf.DUMMYFUNCTION("""COMPUTED_VALUE"""),64.95)</f>
        <v>64.95</v>
      </c>
      <c r="C316" s="1">
        <f>IFERROR(__xludf.DUMMYFUNCTION("""COMPUTED_VALUE"""),65.65)</f>
        <v>65.65</v>
      </c>
      <c r="D316" s="1">
        <f>IFERROR(__xludf.DUMMYFUNCTION("""COMPUTED_VALUE"""),64.5)</f>
        <v>64.5</v>
      </c>
      <c r="E316" s="1">
        <f>IFERROR(__xludf.DUMMYFUNCTION("""COMPUTED_VALUE"""),65.55)</f>
        <v>65.55</v>
      </c>
      <c r="F316" s="1">
        <f>IFERROR(__xludf.DUMMYFUNCTION("""COMPUTED_VALUE"""),55209.0)</f>
        <v>55209</v>
      </c>
      <c r="G316" s="2" t="s">
        <v>8</v>
      </c>
    </row>
    <row r="317">
      <c r="A317" s="3">
        <f>IFERROR(__xludf.DUMMYFUNCTION("""COMPUTED_VALUE"""),45008.72916666667)</f>
        <v>45008.72917</v>
      </c>
      <c r="B317" s="1">
        <f>IFERROR(__xludf.DUMMYFUNCTION("""COMPUTED_VALUE"""),65.45)</f>
        <v>65.45</v>
      </c>
      <c r="C317" s="1">
        <f>IFERROR(__xludf.DUMMYFUNCTION("""COMPUTED_VALUE"""),65.85)</f>
        <v>65.85</v>
      </c>
      <c r="D317" s="1">
        <f>IFERROR(__xludf.DUMMYFUNCTION("""COMPUTED_VALUE"""),65.3)</f>
        <v>65.3</v>
      </c>
      <c r="E317" s="1">
        <f>IFERROR(__xludf.DUMMYFUNCTION("""COMPUTED_VALUE"""),65.4)</f>
        <v>65.4</v>
      </c>
      <c r="F317" s="1">
        <f>IFERROR(__xludf.DUMMYFUNCTION("""COMPUTED_VALUE"""),74893.0)</f>
        <v>74893</v>
      </c>
      <c r="G317" s="2" t="s">
        <v>8</v>
      </c>
    </row>
    <row r="318">
      <c r="A318" s="3">
        <f>IFERROR(__xludf.DUMMYFUNCTION("""COMPUTED_VALUE"""),45009.72916666667)</f>
        <v>45009.72917</v>
      </c>
      <c r="B318" s="1">
        <f>IFERROR(__xludf.DUMMYFUNCTION("""COMPUTED_VALUE"""),65.45)</f>
        <v>65.45</v>
      </c>
      <c r="C318" s="1">
        <f>IFERROR(__xludf.DUMMYFUNCTION("""COMPUTED_VALUE"""),65.65)</f>
        <v>65.65</v>
      </c>
      <c r="D318" s="1">
        <f>IFERROR(__xludf.DUMMYFUNCTION("""COMPUTED_VALUE"""),64.65)</f>
        <v>64.65</v>
      </c>
      <c r="E318" s="1">
        <f>IFERROR(__xludf.DUMMYFUNCTION("""COMPUTED_VALUE"""),65.3)</f>
        <v>65.3</v>
      </c>
      <c r="F318" s="1">
        <f>IFERROR(__xludf.DUMMYFUNCTION("""COMPUTED_VALUE"""),118399.0)</f>
        <v>118399</v>
      </c>
      <c r="G318" s="2" t="s">
        <v>8</v>
      </c>
    </row>
    <row r="319">
      <c r="A319" s="3">
        <f>IFERROR(__xludf.DUMMYFUNCTION("""COMPUTED_VALUE"""),45012.72916666667)</f>
        <v>45012.72917</v>
      </c>
      <c r="B319" s="1">
        <f>IFERROR(__xludf.DUMMYFUNCTION("""COMPUTED_VALUE"""),65.85)</f>
        <v>65.85</v>
      </c>
      <c r="C319" s="1">
        <f>IFERROR(__xludf.DUMMYFUNCTION("""COMPUTED_VALUE"""),66.05)</f>
        <v>66.05</v>
      </c>
      <c r="D319" s="1">
        <f>IFERROR(__xludf.DUMMYFUNCTION("""COMPUTED_VALUE"""),65.6)</f>
        <v>65.6</v>
      </c>
      <c r="E319" s="1">
        <f>IFERROR(__xludf.DUMMYFUNCTION("""COMPUTED_VALUE"""),65.6)</f>
        <v>65.6</v>
      </c>
      <c r="F319" s="1">
        <f>IFERROR(__xludf.DUMMYFUNCTION("""COMPUTED_VALUE"""),72960.0)</f>
        <v>72960</v>
      </c>
      <c r="G319" s="2" t="s">
        <v>8</v>
      </c>
    </row>
    <row r="320">
      <c r="A320" s="3">
        <f>IFERROR(__xludf.DUMMYFUNCTION("""COMPUTED_VALUE"""),45013.72916666667)</f>
        <v>45013.72917</v>
      </c>
      <c r="B320" s="1">
        <f>IFERROR(__xludf.DUMMYFUNCTION("""COMPUTED_VALUE"""),65.6)</f>
        <v>65.6</v>
      </c>
      <c r="C320" s="1">
        <f>IFERROR(__xludf.DUMMYFUNCTION("""COMPUTED_VALUE"""),65.7)</f>
        <v>65.7</v>
      </c>
      <c r="D320" s="1">
        <f>IFERROR(__xludf.DUMMYFUNCTION("""COMPUTED_VALUE"""),65.35)</f>
        <v>65.35</v>
      </c>
      <c r="E320" s="1">
        <f>IFERROR(__xludf.DUMMYFUNCTION("""COMPUTED_VALUE"""),65.5)</f>
        <v>65.5</v>
      </c>
      <c r="F320" s="1">
        <f>IFERROR(__xludf.DUMMYFUNCTION("""COMPUTED_VALUE"""),80264.0)</f>
        <v>80264</v>
      </c>
      <c r="G320" s="2" t="s">
        <v>8</v>
      </c>
    </row>
    <row r="321">
      <c r="A321" s="3">
        <f>IFERROR(__xludf.DUMMYFUNCTION("""COMPUTED_VALUE"""),45014.72916666667)</f>
        <v>45014.72917</v>
      </c>
      <c r="B321" s="1">
        <f>IFERROR(__xludf.DUMMYFUNCTION("""COMPUTED_VALUE"""),65.6)</f>
        <v>65.6</v>
      </c>
      <c r="C321" s="1">
        <f>IFERROR(__xludf.DUMMYFUNCTION("""COMPUTED_VALUE"""),66.8)</f>
        <v>66.8</v>
      </c>
      <c r="D321" s="1">
        <f>IFERROR(__xludf.DUMMYFUNCTION("""COMPUTED_VALUE"""),65.6)</f>
        <v>65.6</v>
      </c>
      <c r="E321" s="1">
        <f>IFERROR(__xludf.DUMMYFUNCTION("""COMPUTED_VALUE"""),66.4)</f>
        <v>66.4</v>
      </c>
      <c r="F321" s="1">
        <f>IFERROR(__xludf.DUMMYFUNCTION("""COMPUTED_VALUE"""),119240.0)</f>
        <v>119240</v>
      </c>
      <c r="G321" s="2" t="s">
        <v>8</v>
      </c>
    </row>
    <row r="322">
      <c r="A322" s="3">
        <f>IFERROR(__xludf.DUMMYFUNCTION("""COMPUTED_VALUE"""),45015.72916666667)</f>
        <v>45015.72917</v>
      </c>
      <c r="B322" s="1">
        <f>IFERROR(__xludf.DUMMYFUNCTION("""COMPUTED_VALUE"""),66.3)</f>
        <v>66.3</v>
      </c>
      <c r="C322" s="1">
        <f>IFERROR(__xludf.DUMMYFUNCTION("""COMPUTED_VALUE"""),66.65)</f>
        <v>66.65</v>
      </c>
      <c r="D322" s="1">
        <f>IFERROR(__xludf.DUMMYFUNCTION("""COMPUTED_VALUE"""),65.75)</f>
        <v>65.75</v>
      </c>
      <c r="E322" s="1">
        <f>IFERROR(__xludf.DUMMYFUNCTION("""COMPUTED_VALUE"""),66.6)</f>
        <v>66.6</v>
      </c>
      <c r="F322" s="1">
        <f>IFERROR(__xludf.DUMMYFUNCTION("""COMPUTED_VALUE"""),71467.0)</f>
        <v>71467</v>
      </c>
      <c r="G322" s="2" t="s">
        <v>8</v>
      </c>
    </row>
    <row r="323">
      <c r="A323" s="3">
        <f>IFERROR(__xludf.DUMMYFUNCTION("""COMPUTED_VALUE"""),45016.72916666667)</f>
        <v>45016.72917</v>
      </c>
      <c r="B323" s="1">
        <f>IFERROR(__xludf.DUMMYFUNCTION("""COMPUTED_VALUE"""),66.4)</f>
        <v>66.4</v>
      </c>
      <c r="C323" s="1">
        <f>IFERROR(__xludf.DUMMYFUNCTION("""COMPUTED_VALUE"""),67.9)</f>
        <v>67.9</v>
      </c>
      <c r="D323" s="1">
        <f>IFERROR(__xludf.DUMMYFUNCTION("""COMPUTED_VALUE"""),66.4)</f>
        <v>66.4</v>
      </c>
      <c r="E323" s="1">
        <f>IFERROR(__xludf.DUMMYFUNCTION("""COMPUTED_VALUE"""),67.0)</f>
        <v>67</v>
      </c>
      <c r="F323" s="1">
        <f>IFERROR(__xludf.DUMMYFUNCTION("""COMPUTED_VALUE"""),164421.0)</f>
        <v>164421</v>
      </c>
      <c r="G323" s="2" t="s">
        <v>8</v>
      </c>
    </row>
    <row r="324">
      <c r="A324" s="3">
        <f>IFERROR(__xludf.DUMMYFUNCTION("""COMPUTED_VALUE"""),45019.72916666667)</f>
        <v>45019.72917</v>
      </c>
      <c r="B324" s="1">
        <f>IFERROR(__xludf.DUMMYFUNCTION("""COMPUTED_VALUE"""),66.98)</f>
        <v>66.98</v>
      </c>
      <c r="C324" s="1">
        <f>IFERROR(__xludf.DUMMYFUNCTION("""COMPUTED_VALUE"""),67.38)</f>
        <v>67.38</v>
      </c>
      <c r="D324" s="1">
        <f>IFERROR(__xludf.DUMMYFUNCTION("""COMPUTED_VALUE"""),66.56)</f>
        <v>66.56</v>
      </c>
      <c r="E324" s="1">
        <f>IFERROR(__xludf.DUMMYFUNCTION("""COMPUTED_VALUE"""),67.36)</f>
        <v>67.36</v>
      </c>
      <c r="F324" s="1">
        <f>IFERROR(__xludf.DUMMYFUNCTION("""COMPUTED_VALUE"""),59816.0)</f>
        <v>59816</v>
      </c>
      <c r="G324" s="2" t="s">
        <v>8</v>
      </c>
    </row>
    <row r="325">
      <c r="A325" s="3">
        <f>IFERROR(__xludf.DUMMYFUNCTION("""COMPUTED_VALUE"""),45020.72916666667)</f>
        <v>45020.72917</v>
      </c>
      <c r="B325" s="1">
        <f>IFERROR(__xludf.DUMMYFUNCTION("""COMPUTED_VALUE"""),67.06)</f>
        <v>67.06</v>
      </c>
      <c r="C325" s="1">
        <f>IFERROR(__xludf.DUMMYFUNCTION("""COMPUTED_VALUE"""),69.18)</f>
        <v>69.18</v>
      </c>
      <c r="D325" s="1">
        <f>IFERROR(__xludf.DUMMYFUNCTION("""COMPUTED_VALUE"""),66.92)</f>
        <v>66.92</v>
      </c>
      <c r="E325" s="1">
        <f>IFERROR(__xludf.DUMMYFUNCTION("""COMPUTED_VALUE"""),68.72)</f>
        <v>68.72</v>
      </c>
      <c r="F325" s="1">
        <f>IFERROR(__xludf.DUMMYFUNCTION("""COMPUTED_VALUE"""),97254.0)</f>
        <v>97254</v>
      </c>
      <c r="G325" s="2" t="s">
        <v>8</v>
      </c>
    </row>
    <row r="326">
      <c r="A326" s="3">
        <f>IFERROR(__xludf.DUMMYFUNCTION("""COMPUTED_VALUE"""),45021.72916666667)</f>
        <v>45021.72917</v>
      </c>
      <c r="B326" s="1">
        <f>IFERROR(__xludf.DUMMYFUNCTION("""COMPUTED_VALUE"""),68.94)</f>
        <v>68.94</v>
      </c>
      <c r="C326" s="1">
        <f>IFERROR(__xludf.DUMMYFUNCTION("""COMPUTED_VALUE"""),69.14)</f>
        <v>69.14</v>
      </c>
      <c r="D326" s="1">
        <f>IFERROR(__xludf.DUMMYFUNCTION("""COMPUTED_VALUE"""),68.24)</f>
        <v>68.24</v>
      </c>
      <c r="E326" s="1">
        <f>IFERROR(__xludf.DUMMYFUNCTION("""COMPUTED_VALUE"""),69.0)</f>
        <v>69</v>
      </c>
      <c r="F326" s="1">
        <f>IFERROR(__xludf.DUMMYFUNCTION("""COMPUTED_VALUE"""),62026.0)</f>
        <v>62026</v>
      </c>
      <c r="G326" s="2" t="s">
        <v>8</v>
      </c>
    </row>
    <row r="327">
      <c r="A327" s="3">
        <f>IFERROR(__xludf.DUMMYFUNCTION("""COMPUTED_VALUE"""),45022.72916666667)</f>
        <v>45022.72917</v>
      </c>
      <c r="B327" s="1">
        <f>IFERROR(__xludf.DUMMYFUNCTION("""COMPUTED_VALUE"""),68.88)</f>
        <v>68.88</v>
      </c>
      <c r="C327" s="1">
        <f>IFERROR(__xludf.DUMMYFUNCTION("""COMPUTED_VALUE"""),69.46)</f>
        <v>69.46</v>
      </c>
      <c r="D327" s="1">
        <f>IFERROR(__xludf.DUMMYFUNCTION("""COMPUTED_VALUE"""),68.68)</f>
        <v>68.68</v>
      </c>
      <c r="E327" s="1">
        <f>IFERROR(__xludf.DUMMYFUNCTION("""COMPUTED_VALUE"""),69.42)</f>
        <v>69.42</v>
      </c>
      <c r="F327" s="1">
        <f>IFERROR(__xludf.DUMMYFUNCTION("""COMPUTED_VALUE"""),52403.0)</f>
        <v>52403</v>
      </c>
      <c r="G327" s="2" t="s">
        <v>8</v>
      </c>
    </row>
    <row r="328">
      <c r="A328" s="3">
        <f>IFERROR(__xludf.DUMMYFUNCTION("""COMPUTED_VALUE"""),45027.72916666667)</f>
        <v>45027.72917</v>
      </c>
      <c r="B328" s="1">
        <f>IFERROR(__xludf.DUMMYFUNCTION("""COMPUTED_VALUE"""),69.48)</f>
        <v>69.48</v>
      </c>
      <c r="C328" s="1">
        <f>IFERROR(__xludf.DUMMYFUNCTION("""COMPUTED_VALUE"""),69.62)</f>
        <v>69.62</v>
      </c>
      <c r="D328" s="1">
        <f>IFERROR(__xludf.DUMMYFUNCTION("""COMPUTED_VALUE"""),68.8)</f>
        <v>68.8</v>
      </c>
      <c r="E328" s="1">
        <f>IFERROR(__xludf.DUMMYFUNCTION("""COMPUTED_VALUE"""),69.12)</f>
        <v>69.12</v>
      </c>
      <c r="F328" s="1">
        <f>IFERROR(__xludf.DUMMYFUNCTION("""COMPUTED_VALUE"""),74048.0)</f>
        <v>74048</v>
      </c>
      <c r="G328" s="2" t="s">
        <v>8</v>
      </c>
    </row>
    <row r="329">
      <c r="A329" s="3">
        <f>IFERROR(__xludf.DUMMYFUNCTION("""COMPUTED_VALUE"""),45028.72916666667)</f>
        <v>45028.72917</v>
      </c>
      <c r="B329" s="1">
        <f>IFERROR(__xludf.DUMMYFUNCTION("""COMPUTED_VALUE"""),69.02)</f>
        <v>69.02</v>
      </c>
      <c r="C329" s="1">
        <f>IFERROR(__xludf.DUMMYFUNCTION("""COMPUTED_VALUE"""),69.26)</f>
        <v>69.26</v>
      </c>
      <c r="D329" s="1">
        <f>IFERROR(__xludf.DUMMYFUNCTION("""COMPUTED_VALUE"""),68.54)</f>
        <v>68.54</v>
      </c>
      <c r="E329" s="1">
        <f>IFERROR(__xludf.DUMMYFUNCTION("""COMPUTED_VALUE"""),68.64)</f>
        <v>68.64</v>
      </c>
      <c r="F329" s="1">
        <f>IFERROR(__xludf.DUMMYFUNCTION("""COMPUTED_VALUE"""),134819.0)</f>
        <v>134819</v>
      </c>
      <c r="G329" s="2" t="s">
        <v>8</v>
      </c>
    </row>
    <row r="330">
      <c r="A330" s="3">
        <f>IFERROR(__xludf.DUMMYFUNCTION("""COMPUTED_VALUE"""),45029.72916666667)</f>
        <v>45029.72917</v>
      </c>
      <c r="B330" s="1">
        <f>IFERROR(__xludf.DUMMYFUNCTION("""COMPUTED_VALUE"""),68.78)</f>
        <v>68.78</v>
      </c>
      <c r="C330" s="1">
        <f>IFERROR(__xludf.DUMMYFUNCTION("""COMPUTED_VALUE"""),69.1)</f>
        <v>69.1</v>
      </c>
      <c r="D330" s="1">
        <f>IFERROR(__xludf.DUMMYFUNCTION("""COMPUTED_VALUE"""),68.28)</f>
        <v>68.28</v>
      </c>
      <c r="E330" s="1">
        <f>IFERROR(__xludf.DUMMYFUNCTION("""COMPUTED_VALUE"""),68.62)</f>
        <v>68.62</v>
      </c>
      <c r="F330" s="1">
        <f>IFERROR(__xludf.DUMMYFUNCTION("""COMPUTED_VALUE"""),67949.0)</f>
        <v>67949</v>
      </c>
      <c r="G330" s="2" t="s">
        <v>8</v>
      </c>
    </row>
    <row r="331">
      <c r="A331" s="3">
        <f>IFERROR(__xludf.DUMMYFUNCTION("""COMPUTED_VALUE"""),45030.72916666667)</f>
        <v>45030.72917</v>
      </c>
      <c r="B331" s="1">
        <f>IFERROR(__xludf.DUMMYFUNCTION("""COMPUTED_VALUE"""),68.84)</f>
        <v>68.84</v>
      </c>
      <c r="C331" s="1">
        <f>IFERROR(__xludf.DUMMYFUNCTION("""COMPUTED_VALUE"""),69.12)</f>
        <v>69.12</v>
      </c>
      <c r="D331" s="1">
        <f>IFERROR(__xludf.DUMMYFUNCTION("""COMPUTED_VALUE"""),68.54)</f>
        <v>68.54</v>
      </c>
      <c r="E331" s="1">
        <f>IFERROR(__xludf.DUMMYFUNCTION("""COMPUTED_VALUE"""),68.92)</f>
        <v>68.92</v>
      </c>
      <c r="F331" s="1">
        <f>IFERROR(__xludf.DUMMYFUNCTION("""COMPUTED_VALUE"""),55261.0)</f>
        <v>55261</v>
      </c>
      <c r="G331" s="2" t="s">
        <v>8</v>
      </c>
    </row>
    <row r="332">
      <c r="A332" s="3">
        <f>IFERROR(__xludf.DUMMYFUNCTION("""COMPUTED_VALUE"""),45033.72916666667)</f>
        <v>45033.72917</v>
      </c>
      <c r="B332" s="1">
        <f>IFERROR(__xludf.DUMMYFUNCTION("""COMPUTED_VALUE"""),68.92)</f>
        <v>68.92</v>
      </c>
      <c r="C332" s="1">
        <f>IFERROR(__xludf.DUMMYFUNCTION("""COMPUTED_VALUE"""),69.46)</f>
        <v>69.46</v>
      </c>
      <c r="D332" s="1">
        <f>IFERROR(__xludf.DUMMYFUNCTION("""COMPUTED_VALUE"""),68.88)</f>
        <v>68.88</v>
      </c>
      <c r="E332" s="1">
        <f>IFERROR(__xludf.DUMMYFUNCTION("""COMPUTED_VALUE"""),68.98)</f>
        <v>68.98</v>
      </c>
      <c r="F332" s="1">
        <f>IFERROR(__xludf.DUMMYFUNCTION("""COMPUTED_VALUE"""),77764.0)</f>
        <v>77764</v>
      </c>
      <c r="G332" s="2" t="s">
        <v>8</v>
      </c>
    </row>
    <row r="333">
      <c r="A333" s="3">
        <f>IFERROR(__xludf.DUMMYFUNCTION("""COMPUTED_VALUE"""),45034.72916666667)</f>
        <v>45034.72917</v>
      </c>
      <c r="B333" s="1">
        <f>IFERROR(__xludf.DUMMYFUNCTION("""COMPUTED_VALUE"""),68.5)</f>
        <v>68.5</v>
      </c>
      <c r="C333" s="1">
        <f>IFERROR(__xludf.DUMMYFUNCTION("""COMPUTED_VALUE"""),69.08)</f>
        <v>69.08</v>
      </c>
      <c r="D333" s="1">
        <f>IFERROR(__xludf.DUMMYFUNCTION("""COMPUTED_VALUE"""),68.22)</f>
        <v>68.22</v>
      </c>
      <c r="E333" s="1">
        <f>IFERROR(__xludf.DUMMYFUNCTION("""COMPUTED_VALUE"""),69.08)</f>
        <v>69.08</v>
      </c>
      <c r="F333" s="1">
        <f>IFERROR(__xludf.DUMMYFUNCTION("""COMPUTED_VALUE"""),64348.0)</f>
        <v>64348</v>
      </c>
      <c r="G333" s="2" t="s">
        <v>8</v>
      </c>
    </row>
    <row r="334">
      <c r="A334" s="3">
        <f>IFERROR(__xludf.DUMMYFUNCTION("""COMPUTED_VALUE"""),45035.72916666667)</f>
        <v>45035.72917</v>
      </c>
      <c r="B334" s="1">
        <f>IFERROR(__xludf.DUMMYFUNCTION("""COMPUTED_VALUE"""),68.82)</f>
        <v>68.82</v>
      </c>
      <c r="C334" s="1">
        <f>IFERROR(__xludf.DUMMYFUNCTION("""COMPUTED_VALUE"""),69.68)</f>
        <v>69.68</v>
      </c>
      <c r="D334" s="1">
        <f>IFERROR(__xludf.DUMMYFUNCTION("""COMPUTED_VALUE"""),68.82)</f>
        <v>68.82</v>
      </c>
      <c r="E334" s="1">
        <f>IFERROR(__xludf.DUMMYFUNCTION("""COMPUTED_VALUE"""),69.4)</f>
        <v>69.4</v>
      </c>
      <c r="F334" s="1">
        <f>IFERROR(__xludf.DUMMYFUNCTION("""COMPUTED_VALUE"""),99949.0)</f>
        <v>99949</v>
      </c>
      <c r="G334" s="2" t="s">
        <v>8</v>
      </c>
    </row>
    <row r="335">
      <c r="A335" s="3">
        <f>IFERROR(__xludf.DUMMYFUNCTION("""COMPUTED_VALUE"""),45036.72916666667)</f>
        <v>45036.72917</v>
      </c>
      <c r="B335" s="1">
        <f>IFERROR(__xludf.DUMMYFUNCTION("""COMPUTED_VALUE"""),69.4)</f>
        <v>69.4</v>
      </c>
      <c r="C335" s="1">
        <f>IFERROR(__xludf.DUMMYFUNCTION("""COMPUTED_VALUE"""),69.6)</f>
        <v>69.6</v>
      </c>
      <c r="D335" s="1">
        <f>IFERROR(__xludf.DUMMYFUNCTION("""COMPUTED_VALUE"""),68.84)</f>
        <v>68.84</v>
      </c>
      <c r="E335" s="1">
        <f>IFERROR(__xludf.DUMMYFUNCTION("""COMPUTED_VALUE"""),69.34)</f>
        <v>69.34</v>
      </c>
      <c r="F335" s="1">
        <f>IFERROR(__xludf.DUMMYFUNCTION("""COMPUTED_VALUE"""),81265.0)</f>
        <v>81265</v>
      </c>
      <c r="G335" s="2" t="s">
        <v>8</v>
      </c>
    </row>
    <row r="336">
      <c r="A336" s="3">
        <f>IFERROR(__xludf.DUMMYFUNCTION("""COMPUTED_VALUE"""),45037.72916666667)</f>
        <v>45037.72917</v>
      </c>
      <c r="B336" s="1">
        <f>IFERROR(__xludf.DUMMYFUNCTION("""COMPUTED_VALUE"""),69.1)</f>
        <v>69.1</v>
      </c>
      <c r="C336" s="1">
        <f>IFERROR(__xludf.DUMMYFUNCTION("""COMPUTED_VALUE"""),69.62)</f>
        <v>69.62</v>
      </c>
      <c r="D336" s="1">
        <f>IFERROR(__xludf.DUMMYFUNCTION("""COMPUTED_VALUE"""),68.76)</f>
        <v>68.76</v>
      </c>
      <c r="E336" s="1">
        <f>IFERROR(__xludf.DUMMYFUNCTION("""COMPUTED_VALUE"""),68.92)</f>
        <v>68.92</v>
      </c>
      <c r="F336" s="1">
        <f>IFERROR(__xludf.DUMMYFUNCTION("""COMPUTED_VALUE"""),108657.0)</f>
        <v>108657</v>
      </c>
      <c r="G336" s="2" t="s">
        <v>8</v>
      </c>
    </row>
    <row r="337">
      <c r="A337" s="3">
        <f>IFERROR(__xludf.DUMMYFUNCTION("""COMPUTED_VALUE"""),45040.72916666667)</f>
        <v>45040.72917</v>
      </c>
      <c r="B337" s="1">
        <f>IFERROR(__xludf.DUMMYFUNCTION("""COMPUTED_VALUE"""),69.0)</f>
        <v>69</v>
      </c>
      <c r="C337" s="1">
        <f>IFERROR(__xludf.DUMMYFUNCTION("""COMPUTED_VALUE"""),69.0)</f>
        <v>69</v>
      </c>
      <c r="D337" s="1">
        <f>IFERROR(__xludf.DUMMYFUNCTION("""COMPUTED_VALUE"""),67.72)</f>
        <v>67.72</v>
      </c>
      <c r="E337" s="1">
        <f>IFERROR(__xludf.DUMMYFUNCTION("""COMPUTED_VALUE"""),68.08)</f>
        <v>68.08</v>
      </c>
      <c r="F337" s="1">
        <f>IFERROR(__xludf.DUMMYFUNCTION("""COMPUTED_VALUE"""),87235.0)</f>
        <v>87235</v>
      </c>
      <c r="G337" s="2" t="s">
        <v>8</v>
      </c>
    </row>
    <row r="338">
      <c r="A338" s="3">
        <f>IFERROR(__xludf.DUMMYFUNCTION("""COMPUTED_VALUE"""),45041.72916666667)</f>
        <v>45041.72917</v>
      </c>
      <c r="B338" s="1">
        <f>IFERROR(__xludf.DUMMYFUNCTION("""COMPUTED_VALUE"""),66.14)</f>
        <v>66.14</v>
      </c>
      <c r="C338" s="1">
        <f>IFERROR(__xludf.DUMMYFUNCTION("""COMPUTED_VALUE"""),66.68)</f>
        <v>66.68</v>
      </c>
      <c r="D338" s="1">
        <f>IFERROR(__xludf.DUMMYFUNCTION("""COMPUTED_VALUE"""),65.84)</f>
        <v>65.84</v>
      </c>
      <c r="E338" s="1">
        <f>IFERROR(__xludf.DUMMYFUNCTION("""COMPUTED_VALUE"""),66.42)</f>
        <v>66.42</v>
      </c>
      <c r="F338" s="1">
        <f>IFERROR(__xludf.DUMMYFUNCTION("""COMPUTED_VALUE"""),83075.0)</f>
        <v>83075</v>
      </c>
      <c r="G338" s="2" t="s">
        <v>8</v>
      </c>
    </row>
    <row r="339">
      <c r="A339" s="3">
        <f>IFERROR(__xludf.DUMMYFUNCTION("""COMPUTED_VALUE"""),45042.72916666667)</f>
        <v>45042.72917</v>
      </c>
      <c r="B339" s="1">
        <f>IFERROR(__xludf.DUMMYFUNCTION("""COMPUTED_VALUE"""),66.26)</f>
        <v>66.26</v>
      </c>
      <c r="C339" s="1">
        <f>IFERROR(__xludf.DUMMYFUNCTION("""COMPUTED_VALUE"""),67.22)</f>
        <v>67.22</v>
      </c>
      <c r="D339" s="1">
        <f>IFERROR(__xludf.DUMMYFUNCTION("""COMPUTED_VALUE"""),66.02)</f>
        <v>66.02</v>
      </c>
      <c r="E339" s="1">
        <f>IFERROR(__xludf.DUMMYFUNCTION("""COMPUTED_VALUE"""),66.86)</f>
        <v>66.86</v>
      </c>
      <c r="F339" s="1">
        <f>IFERROR(__xludf.DUMMYFUNCTION("""COMPUTED_VALUE"""),89553.0)</f>
        <v>89553</v>
      </c>
      <c r="G339" s="2" t="s">
        <v>8</v>
      </c>
    </row>
    <row r="340">
      <c r="A340" s="3">
        <f>IFERROR(__xludf.DUMMYFUNCTION("""COMPUTED_VALUE"""),45043.72916666667)</f>
        <v>45043.72917</v>
      </c>
      <c r="B340" s="1">
        <f>IFERROR(__xludf.DUMMYFUNCTION("""COMPUTED_VALUE"""),67.2)</f>
        <v>67.2</v>
      </c>
      <c r="C340" s="1">
        <f>IFERROR(__xludf.DUMMYFUNCTION("""COMPUTED_VALUE"""),67.48)</f>
        <v>67.48</v>
      </c>
      <c r="D340" s="1">
        <f>IFERROR(__xludf.DUMMYFUNCTION("""COMPUTED_VALUE"""),66.72)</f>
        <v>66.72</v>
      </c>
      <c r="E340" s="1">
        <f>IFERROR(__xludf.DUMMYFUNCTION("""COMPUTED_VALUE"""),66.9)</f>
        <v>66.9</v>
      </c>
      <c r="F340" s="1">
        <f>IFERROR(__xludf.DUMMYFUNCTION("""COMPUTED_VALUE"""),57000.0)</f>
        <v>57000</v>
      </c>
      <c r="G340" s="2" t="s">
        <v>8</v>
      </c>
    </row>
    <row r="341">
      <c r="A341" s="3">
        <f>IFERROR(__xludf.DUMMYFUNCTION("""COMPUTED_VALUE"""),45044.72916666667)</f>
        <v>45044.72917</v>
      </c>
      <c r="B341" s="1">
        <f>IFERROR(__xludf.DUMMYFUNCTION("""COMPUTED_VALUE"""),67.2)</f>
        <v>67.2</v>
      </c>
      <c r="C341" s="1">
        <f>IFERROR(__xludf.DUMMYFUNCTION("""COMPUTED_VALUE"""),67.28)</f>
        <v>67.28</v>
      </c>
      <c r="D341" s="1">
        <f>IFERROR(__xludf.DUMMYFUNCTION("""COMPUTED_VALUE"""),66.48)</f>
        <v>66.48</v>
      </c>
      <c r="E341" s="1">
        <f>IFERROR(__xludf.DUMMYFUNCTION("""COMPUTED_VALUE"""),67.0)</f>
        <v>67</v>
      </c>
      <c r="F341" s="1">
        <f>IFERROR(__xludf.DUMMYFUNCTION("""COMPUTED_VALUE"""),94875.0)</f>
        <v>94875</v>
      </c>
      <c r="G341" s="2" t="s">
        <v>8</v>
      </c>
    </row>
    <row r="342">
      <c r="A342" s="3">
        <f>IFERROR(__xludf.DUMMYFUNCTION("""COMPUTED_VALUE"""),45048.72916666667)</f>
        <v>45048.72917</v>
      </c>
      <c r="B342" s="1">
        <f>IFERROR(__xludf.DUMMYFUNCTION("""COMPUTED_VALUE"""),67.0)</f>
        <v>67</v>
      </c>
      <c r="C342" s="1">
        <f>IFERROR(__xludf.DUMMYFUNCTION("""COMPUTED_VALUE"""),67.3)</f>
        <v>67.3</v>
      </c>
      <c r="D342" s="1">
        <f>IFERROR(__xludf.DUMMYFUNCTION("""COMPUTED_VALUE"""),66.7)</f>
        <v>66.7</v>
      </c>
      <c r="E342" s="1">
        <f>IFERROR(__xludf.DUMMYFUNCTION("""COMPUTED_VALUE"""),67.04)</f>
        <v>67.04</v>
      </c>
      <c r="F342" s="1">
        <f>IFERROR(__xludf.DUMMYFUNCTION("""COMPUTED_VALUE"""),71018.0)</f>
        <v>71018</v>
      </c>
      <c r="G342" s="2" t="s">
        <v>8</v>
      </c>
    </row>
    <row r="343">
      <c r="A343" s="3">
        <f>IFERROR(__xludf.DUMMYFUNCTION("""COMPUTED_VALUE"""),45049.72916666667)</f>
        <v>45049.72917</v>
      </c>
      <c r="B343" s="1">
        <f>IFERROR(__xludf.DUMMYFUNCTION("""COMPUTED_VALUE"""),67.28)</f>
        <v>67.28</v>
      </c>
      <c r="C343" s="1">
        <f>IFERROR(__xludf.DUMMYFUNCTION("""COMPUTED_VALUE"""),67.7)</f>
        <v>67.7</v>
      </c>
      <c r="D343" s="1">
        <f>IFERROR(__xludf.DUMMYFUNCTION("""COMPUTED_VALUE"""),66.96)</f>
        <v>66.96</v>
      </c>
      <c r="E343" s="1">
        <f>IFERROR(__xludf.DUMMYFUNCTION("""COMPUTED_VALUE"""),67.7)</f>
        <v>67.7</v>
      </c>
      <c r="F343" s="1">
        <f>IFERROR(__xludf.DUMMYFUNCTION("""COMPUTED_VALUE"""),119866.0)</f>
        <v>119866</v>
      </c>
      <c r="G343" s="2" t="s">
        <v>8</v>
      </c>
    </row>
    <row r="344">
      <c r="A344" s="3">
        <f>IFERROR(__xludf.DUMMYFUNCTION("""COMPUTED_VALUE"""),45050.72916666667)</f>
        <v>45050.72917</v>
      </c>
      <c r="B344" s="1">
        <f>IFERROR(__xludf.DUMMYFUNCTION("""COMPUTED_VALUE"""),66.1)</f>
        <v>66.1</v>
      </c>
      <c r="C344" s="1">
        <f>IFERROR(__xludf.DUMMYFUNCTION("""COMPUTED_VALUE"""),67.04)</f>
        <v>67.04</v>
      </c>
      <c r="D344" s="1">
        <f>IFERROR(__xludf.DUMMYFUNCTION("""COMPUTED_VALUE"""),65.7)</f>
        <v>65.7</v>
      </c>
      <c r="E344" s="1">
        <f>IFERROR(__xludf.DUMMYFUNCTION("""COMPUTED_VALUE"""),66.46)</f>
        <v>66.46</v>
      </c>
      <c r="F344" s="1">
        <f>IFERROR(__xludf.DUMMYFUNCTION("""COMPUTED_VALUE"""),82269.0)</f>
        <v>82269</v>
      </c>
      <c r="G344" s="2" t="s">
        <v>8</v>
      </c>
    </row>
    <row r="345">
      <c r="A345" s="3">
        <f>IFERROR(__xludf.DUMMYFUNCTION("""COMPUTED_VALUE"""),45051.72916666667)</f>
        <v>45051.72917</v>
      </c>
      <c r="B345" s="1">
        <f>IFERROR(__xludf.DUMMYFUNCTION("""COMPUTED_VALUE"""),66.52)</f>
        <v>66.52</v>
      </c>
      <c r="C345" s="1">
        <f>IFERROR(__xludf.DUMMYFUNCTION("""COMPUTED_VALUE"""),66.96)</f>
        <v>66.96</v>
      </c>
      <c r="D345" s="1">
        <f>IFERROR(__xludf.DUMMYFUNCTION("""COMPUTED_VALUE"""),66.0)</f>
        <v>66</v>
      </c>
      <c r="E345" s="1">
        <f>IFERROR(__xludf.DUMMYFUNCTION("""COMPUTED_VALUE"""),66.96)</f>
        <v>66.96</v>
      </c>
      <c r="F345" s="1">
        <f>IFERROR(__xludf.DUMMYFUNCTION("""COMPUTED_VALUE"""),83723.0)</f>
        <v>83723</v>
      </c>
      <c r="G345" s="2" t="s">
        <v>8</v>
      </c>
    </row>
    <row r="346">
      <c r="A346" s="3">
        <f>IFERROR(__xludf.DUMMYFUNCTION("""COMPUTED_VALUE"""),45054.72916666667)</f>
        <v>45054.72917</v>
      </c>
      <c r="B346" s="1">
        <f>IFERROR(__xludf.DUMMYFUNCTION("""COMPUTED_VALUE"""),67.44)</f>
        <v>67.44</v>
      </c>
      <c r="C346" s="1">
        <f>IFERROR(__xludf.DUMMYFUNCTION("""COMPUTED_VALUE"""),67.44)</f>
        <v>67.44</v>
      </c>
      <c r="D346" s="1">
        <f>IFERROR(__xludf.DUMMYFUNCTION("""COMPUTED_VALUE"""),66.78)</f>
        <v>66.78</v>
      </c>
      <c r="E346" s="1">
        <f>IFERROR(__xludf.DUMMYFUNCTION("""COMPUTED_VALUE"""),67.34)</f>
        <v>67.34</v>
      </c>
      <c r="F346" s="1">
        <f>IFERROR(__xludf.DUMMYFUNCTION("""COMPUTED_VALUE"""),33287.0)</f>
        <v>33287</v>
      </c>
      <c r="G346" s="2" t="s">
        <v>8</v>
      </c>
    </row>
    <row r="347">
      <c r="A347" s="3">
        <f>IFERROR(__xludf.DUMMYFUNCTION("""COMPUTED_VALUE"""),45055.72916666667)</f>
        <v>45055.72917</v>
      </c>
      <c r="B347" s="1">
        <f>IFERROR(__xludf.DUMMYFUNCTION("""COMPUTED_VALUE"""),67.36)</f>
        <v>67.36</v>
      </c>
      <c r="C347" s="1">
        <f>IFERROR(__xludf.DUMMYFUNCTION("""COMPUTED_VALUE"""),67.78)</f>
        <v>67.78</v>
      </c>
      <c r="D347" s="1">
        <f>IFERROR(__xludf.DUMMYFUNCTION("""COMPUTED_VALUE"""),66.98)</f>
        <v>66.98</v>
      </c>
      <c r="E347" s="1">
        <f>IFERROR(__xludf.DUMMYFUNCTION("""COMPUTED_VALUE"""),67.66)</f>
        <v>67.66</v>
      </c>
      <c r="F347" s="1">
        <f>IFERROR(__xludf.DUMMYFUNCTION("""COMPUTED_VALUE"""),80843.0)</f>
        <v>80843</v>
      </c>
      <c r="G347" s="2" t="s">
        <v>8</v>
      </c>
    </row>
    <row r="348">
      <c r="A348" s="3">
        <f>IFERROR(__xludf.DUMMYFUNCTION("""COMPUTED_VALUE"""),45056.72916666667)</f>
        <v>45056.72917</v>
      </c>
      <c r="B348" s="1">
        <f>IFERROR(__xludf.DUMMYFUNCTION("""COMPUTED_VALUE"""),67.7)</f>
        <v>67.7</v>
      </c>
      <c r="C348" s="1">
        <f>IFERROR(__xludf.DUMMYFUNCTION("""COMPUTED_VALUE"""),67.7)</f>
        <v>67.7</v>
      </c>
      <c r="D348" s="1">
        <f>IFERROR(__xludf.DUMMYFUNCTION("""COMPUTED_VALUE"""),66.0)</f>
        <v>66</v>
      </c>
      <c r="E348" s="1">
        <f>IFERROR(__xludf.DUMMYFUNCTION("""COMPUTED_VALUE"""),67.06)</f>
        <v>67.06</v>
      </c>
      <c r="F348" s="1">
        <f>IFERROR(__xludf.DUMMYFUNCTION("""COMPUTED_VALUE"""),95965.0)</f>
        <v>95965</v>
      </c>
      <c r="G348" s="2" t="s">
        <v>8</v>
      </c>
    </row>
    <row r="349">
      <c r="A349" s="3">
        <f>IFERROR(__xludf.DUMMYFUNCTION("""COMPUTED_VALUE"""),45057.72916666667)</f>
        <v>45057.72917</v>
      </c>
      <c r="B349" s="1">
        <f>IFERROR(__xludf.DUMMYFUNCTION("""COMPUTED_VALUE"""),67.0)</f>
        <v>67</v>
      </c>
      <c r="C349" s="1">
        <f>IFERROR(__xludf.DUMMYFUNCTION("""COMPUTED_VALUE"""),67.66)</f>
        <v>67.66</v>
      </c>
      <c r="D349" s="1">
        <f>IFERROR(__xludf.DUMMYFUNCTION("""COMPUTED_VALUE"""),67.0)</f>
        <v>67</v>
      </c>
      <c r="E349" s="1">
        <f>IFERROR(__xludf.DUMMYFUNCTION("""COMPUTED_VALUE"""),67.46)</f>
        <v>67.46</v>
      </c>
      <c r="F349" s="1">
        <f>IFERROR(__xludf.DUMMYFUNCTION("""COMPUTED_VALUE"""),83748.0)</f>
        <v>83748</v>
      </c>
      <c r="G349" s="2" t="s">
        <v>8</v>
      </c>
    </row>
    <row r="350">
      <c r="A350" s="3">
        <f>IFERROR(__xludf.DUMMYFUNCTION("""COMPUTED_VALUE"""),45058.72916666667)</f>
        <v>45058.72917</v>
      </c>
      <c r="B350" s="1">
        <f>IFERROR(__xludf.DUMMYFUNCTION("""COMPUTED_VALUE"""),67.88)</f>
        <v>67.88</v>
      </c>
      <c r="C350" s="1">
        <f>IFERROR(__xludf.DUMMYFUNCTION("""COMPUTED_VALUE"""),68.2)</f>
        <v>68.2</v>
      </c>
      <c r="D350" s="1">
        <f>IFERROR(__xludf.DUMMYFUNCTION("""COMPUTED_VALUE"""),67.64)</f>
        <v>67.64</v>
      </c>
      <c r="E350" s="1">
        <f>IFERROR(__xludf.DUMMYFUNCTION("""COMPUTED_VALUE"""),68.16)</f>
        <v>68.16</v>
      </c>
      <c r="F350" s="1">
        <f>IFERROR(__xludf.DUMMYFUNCTION("""COMPUTED_VALUE"""),47902.0)</f>
        <v>47902</v>
      </c>
      <c r="G350" s="2" t="s">
        <v>8</v>
      </c>
    </row>
    <row r="351">
      <c r="A351" s="3">
        <f>IFERROR(__xludf.DUMMYFUNCTION("""COMPUTED_VALUE"""),45061.72916666667)</f>
        <v>45061.72917</v>
      </c>
      <c r="B351" s="1">
        <f>IFERROR(__xludf.DUMMYFUNCTION("""COMPUTED_VALUE"""),68.0)</f>
        <v>68</v>
      </c>
      <c r="C351" s="1">
        <f>IFERROR(__xludf.DUMMYFUNCTION("""COMPUTED_VALUE"""),69.9)</f>
        <v>69.9</v>
      </c>
      <c r="D351" s="1">
        <f>IFERROR(__xludf.DUMMYFUNCTION("""COMPUTED_VALUE"""),67.98)</f>
        <v>67.98</v>
      </c>
      <c r="E351" s="1">
        <f>IFERROR(__xludf.DUMMYFUNCTION("""COMPUTED_VALUE"""),69.06)</f>
        <v>69.06</v>
      </c>
      <c r="F351" s="1">
        <f>IFERROR(__xludf.DUMMYFUNCTION("""COMPUTED_VALUE"""),163444.0)</f>
        <v>163444</v>
      </c>
      <c r="G351" s="2" t="s">
        <v>8</v>
      </c>
    </row>
    <row r="352">
      <c r="A352" s="3">
        <f>IFERROR(__xludf.DUMMYFUNCTION("""COMPUTED_VALUE"""),45062.72916666667)</f>
        <v>45062.72917</v>
      </c>
      <c r="B352" s="1">
        <f>IFERROR(__xludf.DUMMYFUNCTION("""COMPUTED_VALUE"""),68.72)</f>
        <v>68.72</v>
      </c>
      <c r="C352" s="1">
        <f>IFERROR(__xludf.DUMMYFUNCTION("""COMPUTED_VALUE"""),70.0)</f>
        <v>70</v>
      </c>
      <c r="D352" s="1">
        <f>IFERROR(__xludf.DUMMYFUNCTION("""COMPUTED_VALUE"""),68.44)</f>
        <v>68.44</v>
      </c>
      <c r="E352" s="1">
        <f>IFERROR(__xludf.DUMMYFUNCTION("""COMPUTED_VALUE"""),69.68)</f>
        <v>69.68</v>
      </c>
      <c r="F352" s="1">
        <f>IFERROR(__xludf.DUMMYFUNCTION("""COMPUTED_VALUE"""),116899.0)</f>
        <v>116899</v>
      </c>
      <c r="G352" s="2" t="s">
        <v>8</v>
      </c>
    </row>
    <row r="353">
      <c r="A353" s="3">
        <f>IFERROR(__xludf.DUMMYFUNCTION("""COMPUTED_VALUE"""),45063.72916666667)</f>
        <v>45063.72917</v>
      </c>
      <c r="B353" s="1">
        <f>IFERROR(__xludf.DUMMYFUNCTION("""COMPUTED_VALUE"""),69.5)</f>
        <v>69.5</v>
      </c>
      <c r="C353" s="1">
        <f>IFERROR(__xludf.DUMMYFUNCTION("""COMPUTED_VALUE"""),69.84)</f>
        <v>69.84</v>
      </c>
      <c r="D353" s="1">
        <f>IFERROR(__xludf.DUMMYFUNCTION("""COMPUTED_VALUE"""),69.22)</f>
        <v>69.22</v>
      </c>
      <c r="E353" s="1">
        <f>IFERROR(__xludf.DUMMYFUNCTION("""COMPUTED_VALUE"""),69.26)</f>
        <v>69.26</v>
      </c>
      <c r="F353" s="1">
        <f>IFERROR(__xludf.DUMMYFUNCTION("""COMPUTED_VALUE"""),76479.0)</f>
        <v>76479</v>
      </c>
      <c r="G353" s="2" t="s">
        <v>8</v>
      </c>
    </row>
    <row r="354">
      <c r="A354" s="3">
        <f>IFERROR(__xludf.DUMMYFUNCTION("""COMPUTED_VALUE"""),45064.72916666667)</f>
        <v>45064.72917</v>
      </c>
      <c r="B354" s="1">
        <f>IFERROR(__xludf.DUMMYFUNCTION("""COMPUTED_VALUE"""),69.5)</f>
        <v>69.5</v>
      </c>
      <c r="C354" s="1">
        <f>IFERROR(__xludf.DUMMYFUNCTION("""COMPUTED_VALUE"""),70.06)</f>
        <v>70.06</v>
      </c>
      <c r="D354" s="1">
        <f>IFERROR(__xludf.DUMMYFUNCTION("""COMPUTED_VALUE"""),69.4)</f>
        <v>69.4</v>
      </c>
      <c r="E354" s="1">
        <f>IFERROR(__xludf.DUMMYFUNCTION("""COMPUTED_VALUE"""),69.9)</f>
        <v>69.9</v>
      </c>
      <c r="F354" s="1">
        <f>IFERROR(__xludf.DUMMYFUNCTION("""COMPUTED_VALUE"""),113643.0)</f>
        <v>113643</v>
      </c>
      <c r="G354" s="2" t="s">
        <v>8</v>
      </c>
    </row>
    <row r="355">
      <c r="A355" s="3">
        <f>IFERROR(__xludf.DUMMYFUNCTION("""COMPUTED_VALUE"""),45065.72916666667)</f>
        <v>45065.72917</v>
      </c>
      <c r="B355" s="1">
        <f>IFERROR(__xludf.DUMMYFUNCTION("""COMPUTED_VALUE"""),69.84)</f>
        <v>69.84</v>
      </c>
      <c r="C355" s="1">
        <f>IFERROR(__xludf.DUMMYFUNCTION("""COMPUTED_VALUE"""),70.1)</f>
        <v>70.1</v>
      </c>
      <c r="D355" s="1">
        <f>IFERROR(__xludf.DUMMYFUNCTION("""COMPUTED_VALUE"""),69.4)</f>
        <v>69.4</v>
      </c>
      <c r="E355" s="1">
        <f>IFERROR(__xludf.DUMMYFUNCTION("""COMPUTED_VALUE"""),69.62)</f>
        <v>69.62</v>
      </c>
      <c r="F355" s="1">
        <f>IFERROR(__xludf.DUMMYFUNCTION("""COMPUTED_VALUE"""),54378.0)</f>
        <v>54378</v>
      </c>
      <c r="G355" s="2" t="s">
        <v>8</v>
      </c>
    </row>
    <row r="356">
      <c r="A356" s="3">
        <f>IFERROR(__xludf.DUMMYFUNCTION("""COMPUTED_VALUE"""),45068.72916666667)</f>
        <v>45068.72917</v>
      </c>
      <c r="B356" s="1">
        <f>IFERROR(__xludf.DUMMYFUNCTION("""COMPUTED_VALUE"""),69.36)</f>
        <v>69.36</v>
      </c>
      <c r="C356" s="1">
        <f>IFERROR(__xludf.DUMMYFUNCTION("""COMPUTED_VALUE"""),69.76)</f>
        <v>69.76</v>
      </c>
      <c r="D356" s="1">
        <f>IFERROR(__xludf.DUMMYFUNCTION("""COMPUTED_VALUE"""),68.88)</f>
        <v>68.88</v>
      </c>
      <c r="E356" s="1">
        <f>IFERROR(__xludf.DUMMYFUNCTION("""COMPUTED_VALUE"""),68.98)</f>
        <v>68.98</v>
      </c>
      <c r="F356" s="1">
        <f>IFERROR(__xludf.DUMMYFUNCTION("""COMPUTED_VALUE"""),61876.0)</f>
        <v>61876</v>
      </c>
      <c r="G356" s="2" t="s">
        <v>8</v>
      </c>
    </row>
    <row r="357">
      <c r="A357" s="3">
        <f>IFERROR(__xludf.DUMMYFUNCTION("""COMPUTED_VALUE"""),45069.72916666667)</f>
        <v>45069.72917</v>
      </c>
      <c r="B357" s="1">
        <f>IFERROR(__xludf.DUMMYFUNCTION("""COMPUTED_VALUE"""),69.16)</f>
        <v>69.16</v>
      </c>
      <c r="C357" s="1">
        <f>IFERROR(__xludf.DUMMYFUNCTION("""COMPUTED_VALUE"""),69.16)</f>
        <v>69.16</v>
      </c>
      <c r="D357" s="1">
        <f>IFERROR(__xludf.DUMMYFUNCTION("""COMPUTED_VALUE"""),68.0)</f>
        <v>68</v>
      </c>
      <c r="E357" s="1">
        <f>IFERROR(__xludf.DUMMYFUNCTION("""COMPUTED_VALUE"""),68.64)</f>
        <v>68.64</v>
      </c>
      <c r="F357" s="1">
        <f>IFERROR(__xludf.DUMMYFUNCTION("""COMPUTED_VALUE"""),56089.0)</f>
        <v>56089</v>
      </c>
      <c r="G357" s="2" t="s">
        <v>8</v>
      </c>
    </row>
    <row r="358">
      <c r="A358" s="3">
        <f>IFERROR(__xludf.DUMMYFUNCTION("""COMPUTED_VALUE"""),45070.72916666667)</f>
        <v>45070.72917</v>
      </c>
      <c r="B358" s="1">
        <f>IFERROR(__xludf.DUMMYFUNCTION("""COMPUTED_VALUE"""),68.64)</f>
        <v>68.64</v>
      </c>
      <c r="C358" s="1">
        <f>IFERROR(__xludf.DUMMYFUNCTION("""COMPUTED_VALUE"""),68.64)</f>
        <v>68.64</v>
      </c>
      <c r="D358" s="1">
        <f>IFERROR(__xludf.DUMMYFUNCTION("""COMPUTED_VALUE"""),67.9)</f>
        <v>67.9</v>
      </c>
      <c r="E358" s="1">
        <f>IFERROR(__xludf.DUMMYFUNCTION("""COMPUTED_VALUE"""),68.2)</f>
        <v>68.2</v>
      </c>
      <c r="F358" s="1">
        <f>IFERROR(__xludf.DUMMYFUNCTION("""COMPUTED_VALUE"""),72489.0)</f>
        <v>72489</v>
      </c>
      <c r="G358" s="2" t="s">
        <v>8</v>
      </c>
    </row>
    <row r="359">
      <c r="A359" s="3">
        <f>IFERROR(__xludf.DUMMYFUNCTION("""COMPUTED_VALUE"""),45071.72916666667)</f>
        <v>45071.72917</v>
      </c>
      <c r="B359" s="1">
        <f>IFERROR(__xludf.DUMMYFUNCTION("""COMPUTED_VALUE"""),68.32)</f>
        <v>68.32</v>
      </c>
      <c r="C359" s="1">
        <f>IFERROR(__xludf.DUMMYFUNCTION("""COMPUTED_VALUE"""),68.34)</f>
        <v>68.34</v>
      </c>
      <c r="D359" s="1">
        <f>IFERROR(__xludf.DUMMYFUNCTION("""COMPUTED_VALUE"""),67.46)</f>
        <v>67.46</v>
      </c>
      <c r="E359" s="1">
        <f>IFERROR(__xludf.DUMMYFUNCTION("""COMPUTED_VALUE"""),68.04)</f>
        <v>68.04</v>
      </c>
      <c r="F359" s="1">
        <f>IFERROR(__xludf.DUMMYFUNCTION("""COMPUTED_VALUE"""),50129.0)</f>
        <v>50129</v>
      </c>
      <c r="G359" s="2" t="s">
        <v>8</v>
      </c>
    </row>
    <row r="360">
      <c r="A360" s="3">
        <f>IFERROR(__xludf.DUMMYFUNCTION("""COMPUTED_VALUE"""),45072.72916666667)</f>
        <v>45072.72917</v>
      </c>
      <c r="B360" s="1">
        <f>IFERROR(__xludf.DUMMYFUNCTION("""COMPUTED_VALUE"""),67.7)</f>
        <v>67.7</v>
      </c>
      <c r="C360" s="1">
        <f>IFERROR(__xludf.DUMMYFUNCTION("""COMPUTED_VALUE"""),68.48)</f>
        <v>68.48</v>
      </c>
      <c r="D360" s="1">
        <f>IFERROR(__xludf.DUMMYFUNCTION("""COMPUTED_VALUE"""),67.7)</f>
        <v>67.7</v>
      </c>
      <c r="E360" s="1">
        <f>IFERROR(__xludf.DUMMYFUNCTION("""COMPUTED_VALUE"""),68.2)</f>
        <v>68.2</v>
      </c>
      <c r="F360" s="1">
        <f>IFERROR(__xludf.DUMMYFUNCTION("""COMPUTED_VALUE"""),62576.0)</f>
        <v>62576</v>
      </c>
      <c r="G360" s="2" t="s">
        <v>8</v>
      </c>
    </row>
    <row r="361">
      <c r="A361" s="3">
        <f>IFERROR(__xludf.DUMMYFUNCTION("""COMPUTED_VALUE"""),45075.72916666667)</f>
        <v>45075.72917</v>
      </c>
      <c r="B361" s="1">
        <f>IFERROR(__xludf.DUMMYFUNCTION("""COMPUTED_VALUE"""),68.5)</f>
        <v>68.5</v>
      </c>
      <c r="C361" s="1">
        <f>IFERROR(__xludf.DUMMYFUNCTION("""COMPUTED_VALUE"""),68.5)</f>
        <v>68.5</v>
      </c>
      <c r="D361" s="1">
        <f>IFERROR(__xludf.DUMMYFUNCTION("""COMPUTED_VALUE"""),67.24)</f>
        <v>67.24</v>
      </c>
      <c r="E361" s="1">
        <f>IFERROR(__xludf.DUMMYFUNCTION("""COMPUTED_VALUE"""),68.14)</f>
        <v>68.14</v>
      </c>
      <c r="F361" s="1">
        <f>IFERROR(__xludf.DUMMYFUNCTION("""COMPUTED_VALUE"""),35664.0)</f>
        <v>35664</v>
      </c>
      <c r="G361" s="2" t="s">
        <v>8</v>
      </c>
    </row>
    <row r="362">
      <c r="A362" s="3">
        <f>IFERROR(__xludf.DUMMYFUNCTION("""COMPUTED_VALUE"""),45076.72916666667)</f>
        <v>45076.72917</v>
      </c>
      <c r="B362" s="1">
        <f>IFERROR(__xludf.DUMMYFUNCTION("""COMPUTED_VALUE"""),67.96)</f>
        <v>67.96</v>
      </c>
      <c r="C362" s="1">
        <f>IFERROR(__xludf.DUMMYFUNCTION("""COMPUTED_VALUE"""),68.06)</f>
        <v>68.06</v>
      </c>
      <c r="D362" s="1">
        <f>IFERROR(__xludf.DUMMYFUNCTION("""COMPUTED_VALUE"""),66.52)</f>
        <v>66.52</v>
      </c>
      <c r="E362" s="1">
        <f>IFERROR(__xludf.DUMMYFUNCTION("""COMPUTED_VALUE"""),66.86)</f>
        <v>66.86</v>
      </c>
      <c r="F362" s="1">
        <f>IFERROR(__xludf.DUMMYFUNCTION("""COMPUTED_VALUE"""),77721.0)</f>
        <v>77721</v>
      </c>
      <c r="G362" s="2" t="s">
        <v>8</v>
      </c>
    </row>
    <row r="363">
      <c r="A363" s="3">
        <f>IFERROR(__xludf.DUMMYFUNCTION("""COMPUTED_VALUE"""),45077.72916666667)</f>
        <v>45077.72917</v>
      </c>
      <c r="B363" s="1">
        <f>IFERROR(__xludf.DUMMYFUNCTION("""COMPUTED_VALUE"""),66.62)</f>
        <v>66.62</v>
      </c>
      <c r="C363" s="1">
        <f>IFERROR(__xludf.DUMMYFUNCTION("""COMPUTED_VALUE"""),67.52)</f>
        <v>67.52</v>
      </c>
      <c r="D363" s="1">
        <f>IFERROR(__xludf.DUMMYFUNCTION("""COMPUTED_VALUE"""),66.52)</f>
        <v>66.52</v>
      </c>
      <c r="E363" s="1">
        <f>IFERROR(__xludf.DUMMYFUNCTION("""COMPUTED_VALUE"""),67.12)</f>
        <v>67.12</v>
      </c>
      <c r="F363" s="1">
        <f>IFERROR(__xludf.DUMMYFUNCTION("""COMPUTED_VALUE"""),1192256.0)</f>
        <v>1192256</v>
      </c>
      <c r="G363" s="2" t="s">
        <v>8</v>
      </c>
    </row>
    <row r="364">
      <c r="A364" s="3">
        <f>IFERROR(__xludf.DUMMYFUNCTION("""COMPUTED_VALUE"""),45078.72916666667)</f>
        <v>45078.72917</v>
      </c>
      <c r="B364" s="1">
        <f>IFERROR(__xludf.DUMMYFUNCTION("""COMPUTED_VALUE"""),67.6)</f>
        <v>67.6</v>
      </c>
      <c r="C364" s="1">
        <f>IFERROR(__xludf.DUMMYFUNCTION("""COMPUTED_VALUE"""),67.68)</f>
        <v>67.68</v>
      </c>
      <c r="D364" s="1">
        <f>IFERROR(__xludf.DUMMYFUNCTION("""COMPUTED_VALUE"""),66.58)</f>
        <v>66.58</v>
      </c>
      <c r="E364" s="1">
        <f>IFERROR(__xludf.DUMMYFUNCTION("""COMPUTED_VALUE"""),67.16)</f>
        <v>67.16</v>
      </c>
      <c r="F364" s="1">
        <f>IFERROR(__xludf.DUMMYFUNCTION("""COMPUTED_VALUE"""),83049.0)</f>
        <v>83049</v>
      </c>
      <c r="G364" s="2" t="s">
        <v>8</v>
      </c>
    </row>
    <row r="365">
      <c r="A365" s="3">
        <f>IFERROR(__xludf.DUMMYFUNCTION("""COMPUTED_VALUE"""),45079.72916666667)</f>
        <v>45079.72917</v>
      </c>
      <c r="B365" s="1">
        <f>IFERROR(__xludf.DUMMYFUNCTION("""COMPUTED_VALUE"""),67.34)</f>
        <v>67.34</v>
      </c>
      <c r="C365" s="1">
        <f>IFERROR(__xludf.DUMMYFUNCTION("""COMPUTED_VALUE"""),67.78)</f>
        <v>67.78</v>
      </c>
      <c r="D365" s="1">
        <f>IFERROR(__xludf.DUMMYFUNCTION("""COMPUTED_VALUE"""),67.12)</f>
        <v>67.12</v>
      </c>
      <c r="E365" s="1">
        <f>IFERROR(__xludf.DUMMYFUNCTION("""COMPUTED_VALUE"""),67.7)</f>
        <v>67.7</v>
      </c>
      <c r="F365" s="1">
        <f>IFERROR(__xludf.DUMMYFUNCTION("""COMPUTED_VALUE"""),90847.0)</f>
        <v>90847</v>
      </c>
      <c r="G365" s="2" t="s">
        <v>8</v>
      </c>
    </row>
    <row r="366">
      <c r="A366" s="3">
        <f>IFERROR(__xludf.DUMMYFUNCTION("""COMPUTED_VALUE"""),45082.72916666667)</f>
        <v>45082.72917</v>
      </c>
      <c r="B366" s="1">
        <f>IFERROR(__xludf.DUMMYFUNCTION("""COMPUTED_VALUE"""),67.9)</f>
        <v>67.9</v>
      </c>
      <c r="C366" s="1">
        <f>IFERROR(__xludf.DUMMYFUNCTION("""COMPUTED_VALUE"""),67.9)</f>
        <v>67.9</v>
      </c>
      <c r="D366" s="1">
        <f>IFERROR(__xludf.DUMMYFUNCTION("""COMPUTED_VALUE"""),67.1)</f>
        <v>67.1</v>
      </c>
      <c r="E366" s="1">
        <f>IFERROR(__xludf.DUMMYFUNCTION("""COMPUTED_VALUE"""),67.12)</f>
        <v>67.12</v>
      </c>
      <c r="F366" s="1">
        <f>IFERROR(__xludf.DUMMYFUNCTION("""COMPUTED_VALUE"""),62409.0)</f>
        <v>62409</v>
      </c>
      <c r="G366" s="2" t="s">
        <v>8</v>
      </c>
    </row>
    <row r="367">
      <c r="A367" s="3">
        <f>IFERROR(__xludf.DUMMYFUNCTION("""COMPUTED_VALUE"""),45083.72916666667)</f>
        <v>45083.72917</v>
      </c>
      <c r="B367" s="1">
        <f>IFERROR(__xludf.DUMMYFUNCTION("""COMPUTED_VALUE"""),67.06)</f>
        <v>67.06</v>
      </c>
      <c r="C367" s="1">
        <f>IFERROR(__xludf.DUMMYFUNCTION("""COMPUTED_VALUE"""),67.24)</f>
        <v>67.24</v>
      </c>
      <c r="D367" s="1">
        <f>IFERROR(__xludf.DUMMYFUNCTION("""COMPUTED_VALUE"""),66.76)</f>
        <v>66.76</v>
      </c>
      <c r="E367" s="1">
        <f>IFERROR(__xludf.DUMMYFUNCTION("""COMPUTED_VALUE"""),67.06)</f>
        <v>67.06</v>
      </c>
      <c r="F367" s="1">
        <f>IFERROR(__xludf.DUMMYFUNCTION("""COMPUTED_VALUE"""),125706.0)</f>
        <v>125706</v>
      </c>
      <c r="G367" s="2" t="s">
        <v>8</v>
      </c>
    </row>
    <row r="368">
      <c r="A368" s="3">
        <f>IFERROR(__xludf.DUMMYFUNCTION("""COMPUTED_VALUE"""),45084.72916666667)</f>
        <v>45084.72917</v>
      </c>
      <c r="B368" s="1">
        <f>IFERROR(__xludf.DUMMYFUNCTION("""COMPUTED_VALUE"""),67.06)</f>
        <v>67.06</v>
      </c>
      <c r="C368" s="1">
        <f>IFERROR(__xludf.DUMMYFUNCTION("""COMPUTED_VALUE"""),67.5)</f>
        <v>67.5</v>
      </c>
      <c r="D368" s="1">
        <f>IFERROR(__xludf.DUMMYFUNCTION("""COMPUTED_VALUE"""),66.84)</f>
        <v>66.84</v>
      </c>
      <c r="E368" s="1">
        <f>IFERROR(__xludf.DUMMYFUNCTION("""COMPUTED_VALUE"""),66.84)</f>
        <v>66.84</v>
      </c>
      <c r="F368" s="1">
        <f>IFERROR(__xludf.DUMMYFUNCTION("""COMPUTED_VALUE"""),133154.0)</f>
        <v>133154</v>
      </c>
      <c r="G368" s="2" t="s">
        <v>8</v>
      </c>
    </row>
    <row r="369">
      <c r="A369" s="3">
        <f>IFERROR(__xludf.DUMMYFUNCTION("""COMPUTED_VALUE"""),45085.72916666667)</f>
        <v>45085.72917</v>
      </c>
      <c r="B369" s="1">
        <f>IFERROR(__xludf.DUMMYFUNCTION("""COMPUTED_VALUE"""),66.96)</f>
        <v>66.96</v>
      </c>
      <c r="C369" s="1">
        <f>IFERROR(__xludf.DUMMYFUNCTION("""COMPUTED_VALUE"""),67.3)</f>
        <v>67.3</v>
      </c>
      <c r="D369" s="1">
        <f>IFERROR(__xludf.DUMMYFUNCTION("""COMPUTED_VALUE"""),66.5)</f>
        <v>66.5</v>
      </c>
      <c r="E369" s="1">
        <f>IFERROR(__xludf.DUMMYFUNCTION("""COMPUTED_VALUE"""),67.04)</f>
        <v>67.04</v>
      </c>
      <c r="F369" s="1">
        <f>IFERROR(__xludf.DUMMYFUNCTION("""COMPUTED_VALUE"""),142400.0)</f>
        <v>142400</v>
      </c>
      <c r="G369" s="2" t="s">
        <v>8</v>
      </c>
    </row>
    <row r="370">
      <c r="A370" s="3">
        <f>IFERROR(__xludf.DUMMYFUNCTION("""COMPUTED_VALUE"""),45086.72916666667)</f>
        <v>45086.72917</v>
      </c>
      <c r="B370" s="1">
        <f>IFERROR(__xludf.DUMMYFUNCTION("""COMPUTED_VALUE"""),67.06)</f>
        <v>67.06</v>
      </c>
      <c r="C370" s="1">
        <f>IFERROR(__xludf.DUMMYFUNCTION("""COMPUTED_VALUE"""),67.22)</f>
        <v>67.22</v>
      </c>
      <c r="D370" s="1">
        <f>IFERROR(__xludf.DUMMYFUNCTION("""COMPUTED_VALUE"""),66.0)</f>
        <v>66</v>
      </c>
      <c r="E370" s="1">
        <f>IFERROR(__xludf.DUMMYFUNCTION("""COMPUTED_VALUE"""),66.38)</f>
        <v>66.38</v>
      </c>
      <c r="F370" s="1">
        <f>IFERROR(__xludf.DUMMYFUNCTION("""COMPUTED_VALUE"""),95180.0)</f>
        <v>95180</v>
      </c>
      <c r="G370" s="2" t="s">
        <v>8</v>
      </c>
    </row>
    <row r="371">
      <c r="A371" s="3">
        <f>IFERROR(__xludf.DUMMYFUNCTION("""COMPUTED_VALUE"""),45089.72916666667)</f>
        <v>45089.72917</v>
      </c>
      <c r="B371" s="1">
        <f>IFERROR(__xludf.DUMMYFUNCTION("""COMPUTED_VALUE"""),66.2)</f>
        <v>66.2</v>
      </c>
      <c r="C371" s="1">
        <f>IFERROR(__xludf.DUMMYFUNCTION("""COMPUTED_VALUE"""),67.32)</f>
        <v>67.32</v>
      </c>
      <c r="D371" s="1">
        <f>IFERROR(__xludf.DUMMYFUNCTION("""COMPUTED_VALUE"""),66.2)</f>
        <v>66.2</v>
      </c>
      <c r="E371" s="1">
        <f>IFERROR(__xludf.DUMMYFUNCTION("""COMPUTED_VALUE"""),66.56)</f>
        <v>66.56</v>
      </c>
      <c r="F371" s="1">
        <f>IFERROR(__xludf.DUMMYFUNCTION("""COMPUTED_VALUE"""),84302.0)</f>
        <v>84302</v>
      </c>
      <c r="G371" s="2" t="s">
        <v>8</v>
      </c>
    </row>
    <row r="372">
      <c r="A372" s="3">
        <f>IFERROR(__xludf.DUMMYFUNCTION("""COMPUTED_VALUE"""),45090.72916666667)</f>
        <v>45090.72917</v>
      </c>
      <c r="B372" s="1">
        <f>IFERROR(__xludf.DUMMYFUNCTION("""COMPUTED_VALUE"""),66.56)</f>
        <v>66.56</v>
      </c>
      <c r="C372" s="1">
        <f>IFERROR(__xludf.DUMMYFUNCTION("""COMPUTED_VALUE"""),66.72)</f>
        <v>66.72</v>
      </c>
      <c r="D372" s="1">
        <f>IFERROR(__xludf.DUMMYFUNCTION("""COMPUTED_VALUE"""),65.14)</f>
        <v>65.14</v>
      </c>
      <c r="E372" s="1">
        <f>IFERROR(__xludf.DUMMYFUNCTION("""COMPUTED_VALUE"""),66.4)</f>
        <v>66.4</v>
      </c>
      <c r="F372" s="1">
        <f>IFERROR(__xludf.DUMMYFUNCTION("""COMPUTED_VALUE"""),77340.0)</f>
        <v>77340</v>
      </c>
      <c r="G372" s="2" t="s">
        <v>8</v>
      </c>
    </row>
    <row r="373">
      <c r="A373" s="3">
        <f>IFERROR(__xludf.DUMMYFUNCTION("""COMPUTED_VALUE"""),45091.72916666667)</f>
        <v>45091.72917</v>
      </c>
      <c r="B373" s="1">
        <f>IFERROR(__xludf.DUMMYFUNCTION("""COMPUTED_VALUE"""),66.4)</f>
        <v>66.4</v>
      </c>
      <c r="C373" s="1">
        <f>IFERROR(__xludf.DUMMYFUNCTION("""COMPUTED_VALUE"""),66.48)</f>
        <v>66.48</v>
      </c>
      <c r="D373" s="1">
        <f>IFERROR(__xludf.DUMMYFUNCTION("""COMPUTED_VALUE"""),65.7)</f>
        <v>65.7</v>
      </c>
      <c r="E373" s="1">
        <f>IFERROR(__xludf.DUMMYFUNCTION("""COMPUTED_VALUE"""),65.7)</f>
        <v>65.7</v>
      </c>
      <c r="F373" s="1">
        <f>IFERROR(__xludf.DUMMYFUNCTION("""COMPUTED_VALUE"""),68071.0)</f>
        <v>68071</v>
      </c>
      <c r="G373" s="2" t="s">
        <v>8</v>
      </c>
    </row>
    <row r="374">
      <c r="A374" s="3">
        <f>IFERROR(__xludf.DUMMYFUNCTION("""COMPUTED_VALUE"""),45092.72916666667)</f>
        <v>45092.72917</v>
      </c>
      <c r="B374" s="1">
        <f>IFERROR(__xludf.DUMMYFUNCTION("""COMPUTED_VALUE"""),65.8)</f>
        <v>65.8</v>
      </c>
      <c r="C374" s="1">
        <f>IFERROR(__xludf.DUMMYFUNCTION("""COMPUTED_VALUE"""),66.7)</f>
        <v>66.7</v>
      </c>
      <c r="D374" s="1">
        <f>IFERROR(__xludf.DUMMYFUNCTION("""COMPUTED_VALUE"""),65.44)</f>
        <v>65.44</v>
      </c>
      <c r="E374" s="1">
        <f>IFERROR(__xludf.DUMMYFUNCTION("""COMPUTED_VALUE"""),65.44)</f>
        <v>65.44</v>
      </c>
      <c r="F374" s="1">
        <f>IFERROR(__xludf.DUMMYFUNCTION("""COMPUTED_VALUE"""),59092.0)</f>
        <v>59092</v>
      </c>
      <c r="G374" s="2" t="s">
        <v>8</v>
      </c>
    </row>
    <row r="375">
      <c r="A375" s="3">
        <f>IFERROR(__xludf.DUMMYFUNCTION("""COMPUTED_VALUE"""),45093.72916666667)</f>
        <v>45093.72917</v>
      </c>
      <c r="B375" s="1">
        <f>IFERROR(__xludf.DUMMYFUNCTION("""COMPUTED_VALUE"""),65.72)</f>
        <v>65.72</v>
      </c>
      <c r="C375" s="1">
        <f>IFERROR(__xludf.DUMMYFUNCTION("""COMPUTED_VALUE"""),66.02)</f>
        <v>66.02</v>
      </c>
      <c r="D375" s="1">
        <f>IFERROR(__xludf.DUMMYFUNCTION("""COMPUTED_VALUE"""),65.28)</f>
        <v>65.28</v>
      </c>
      <c r="E375" s="1">
        <f>IFERROR(__xludf.DUMMYFUNCTION("""COMPUTED_VALUE"""),65.58)</f>
        <v>65.58</v>
      </c>
      <c r="F375" s="1">
        <f>IFERROR(__xludf.DUMMYFUNCTION("""COMPUTED_VALUE"""),245490.0)</f>
        <v>245490</v>
      </c>
      <c r="G375" s="2" t="s">
        <v>8</v>
      </c>
    </row>
    <row r="376">
      <c r="A376" s="3">
        <f>IFERROR(__xludf.DUMMYFUNCTION("""COMPUTED_VALUE"""),45096.72916666667)</f>
        <v>45096.72917</v>
      </c>
      <c r="B376" s="1">
        <f>IFERROR(__xludf.DUMMYFUNCTION("""COMPUTED_VALUE"""),65.92)</f>
        <v>65.92</v>
      </c>
      <c r="C376" s="1">
        <f>IFERROR(__xludf.DUMMYFUNCTION("""COMPUTED_VALUE"""),65.92)</f>
        <v>65.92</v>
      </c>
      <c r="D376" s="1">
        <f>IFERROR(__xludf.DUMMYFUNCTION("""COMPUTED_VALUE"""),64.54)</f>
        <v>64.54</v>
      </c>
      <c r="E376" s="1">
        <f>IFERROR(__xludf.DUMMYFUNCTION("""COMPUTED_VALUE"""),64.62)</f>
        <v>64.62</v>
      </c>
      <c r="F376" s="1">
        <f>IFERROR(__xludf.DUMMYFUNCTION("""COMPUTED_VALUE"""),28589.0)</f>
        <v>28589</v>
      </c>
      <c r="G376" s="2" t="s">
        <v>8</v>
      </c>
    </row>
    <row r="377">
      <c r="A377" s="3">
        <f>IFERROR(__xludf.DUMMYFUNCTION("""COMPUTED_VALUE"""),45097.72916666667)</f>
        <v>45097.72917</v>
      </c>
      <c r="B377" s="1">
        <f>IFERROR(__xludf.DUMMYFUNCTION("""COMPUTED_VALUE"""),64.2)</f>
        <v>64.2</v>
      </c>
      <c r="C377" s="1">
        <f>IFERROR(__xludf.DUMMYFUNCTION("""COMPUTED_VALUE"""),64.8)</f>
        <v>64.8</v>
      </c>
      <c r="D377" s="1">
        <f>IFERROR(__xludf.DUMMYFUNCTION("""COMPUTED_VALUE"""),63.52)</f>
        <v>63.52</v>
      </c>
      <c r="E377" s="1">
        <f>IFERROR(__xludf.DUMMYFUNCTION("""COMPUTED_VALUE"""),64.48)</f>
        <v>64.48</v>
      </c>
      <c r="F377" s="1">
        <f>IFERROR(__xludf.DUMMYFUNCTION("""COMPUTED_VALUE"""),77459.0)</f>
        <v>77459</v>
      </c>
      <c r="G377" s="2" t="s">
        <v>8</v>
      </c>
    </row>
    <row r="378">
      <c r="A378" s="3">
        <f>IFERROR(__xludf.DUMMYFUNCTION("""COMPUTED_VALUE"""),45098.72916666667)</f>
        <v>45098.72917</v>
      </c>
      <c r="B378" s="1">
        <f>IFERROR(__xludf.DUMMYFUNCTION("""COMPUTED_VALUE"""),64.62)</f>
        <v>64.62</v>
      </c>
      <c r="C378" s="1">
        <f>IFERROR(__xludf.DUMMYFUNCTION("""COMPUTED_VALUE"""),64.86)</f>
        <v>64.86</v>
      </c>
      <c r="D378" s="1">
        <f>IFERROR(__xludf.DUMMYFUNCTION("""COMPUTED_VALUE"""),63.98)</f>
        <v>63.98</v>
      </c>
      <c r="E378" s="1">
        <f>IFERROR(__xludf.DUMMYFUNCTION("""COMPUTED_VALUE"""),64.36)</f>
        <v>64.36</v>
      </c>
      <c r="F378" s="1">
        <f>IFERROR(__xludf.DUMMYFUNCTION("""COMPUTED_VALUE"""),53162.0)</f>
        <v>53162</v>
      </c>
      <c r="G378" s="2" t="s">
        <v>8</v>
      </c>
    </row>
    <row r="379">
      <c r="A379" s="3">
        <f>IFERROR(__xludf.DUMMYFUNCTION("""COMPUTED_VALUE"""),45099.72916666667)</f>
        <v>45099.72917</v>
      </c>
      <c r="B379" s="1">
        <f>IFERROR(__xludf.DUMMYFUNCTION("""COMPUTED_VALUE"""),64.36)</f>
        <v>64.36</v>
      </c>
      <c r="C379" s="1">
        <f>IFERROR(__xludf.DUMMYFUNCTION("""COMPUTED_VALUE"""),64.36)</f>
        <v>64.36</v>
      </c>
      <c r="D379" s="1">
        <f>IFERROR(__xludf.DUMMYFUNCTION("""COMPUTED_VALUE"""),63.02)</f>
        <v>63.02</v>
      </c>
      <c r="E379" s="1">
        <f>IFERROR(__xludf.DUMMYFUNCTION("""COMPUTED_VALUE"""),63.12)</f>
        <v>63.12</v>
      </c>
      <c r="F379" s="1">
        <f>IFERROR(__xludf.DUMMYFUNCTION("""COMPUTED_VALUE"""),55942.0)</f>
        <v>55942</v>
      </c>
      <c r="G379" s="2" t="s">
        <v>8</v>
      </c>
    </row>
    <row r="380">
      <c r="A380" s="3">
        <f>IFERROR(__xludf.DUMMYFUNCTION("""COMPUTED_VALUE"""),45100.72916666667)</f>
        <v>45100.72917</v>
      </c>
      <c r="B380" s="1">
        <f>IFERROR(__xludf.DUMMYFUNCTION("""COMPUTED_VALUE"""),63.14)</f>
        <v>63.14</v>
      </c>
      <c r="C380" s="1">
        <f>IFERROR(__xludf.DUMMYFUNCTION("""COMPUTED_VALUE"""),63.78)</f>
        <v>63.78</v>
      </c>
      <c r="D380" s="1">
        <f>IFERROR(__xludf.DUMMYFUNCTION("""COMPUTED_VALUE"""),63.14)</f>
        <v>63.14</v>
      </c>
      <c r="E380" s="1">
        <f>IFERROR(__xludf.DUMMYFUNCTION("""COMPUTED_VALUE"""),63.68)</f>
        <v>63.68</v>
      </c>
      <c r="F380" s="1">
        <f>IFERROR(__xludf.DUMMYFUNCTION("""COMPUTED_VALUE"""),52966.0)</f>
        <v>52966</v>
      </c>
      <c r="G380" s="2" t="s">
        <v>8</v>
      </c>
    </row>
    <row r="381">
      <c r="A381" s="3">
        <f>IFERROR(__xludf.DUMMYFUNCTION("""COMPUTED_VALUE"""),45103.72916666667)</f>
        <v>45103.72917</v>
      </c>
      <c r="B381" s="1">
        <f>IFERROR(__xludf.DUMMYFUNCTION("""COMPUTED_VALUE"""),63.6)</f>
        <v>63.6</v>
      </c>
      <c r="C381" s="1">
        <f>IFERROR(__xludf.DUMMYFUNCTION("""COMPUTED_VALUE"""),64.24)</f>
        <v>64.24</v>
      </c>
      <c r="D381" s="1">
        <f>IFERROR(__xludf.DUMMYFUNCTION("""COMPUTED_VALUE"""),63.6)</f>
        <v>63.6</v>
      </c>
      <c r="E381" s="1">
        <f>IFERROR(__xludf.DUMMYFUNCTION("""COMPUTED_VALUE"""),63.78)</f>
        <v>63.78</v>
      </c>
      <c r="F381" s="1">
        <f>IFERROR(__xludf.DUMMYFUNCTION("""COMPUTED_VALUE"""),74146.0)</f>
        <v>74146</v>
      </c>
      <c r="G381" s="2" t="s">
        <v>8</v>
      </c>
    </row>
    <row r="382">
      <c r="A382" s="3">
        <f>IFERROR(__xludf.DUMMYFUNCTION("""COMPUTED_VALUE"""),45104.72916666667)</f>
        <v>45104.72917</v>
      </c>
      <c r="B382" s="1">
        <f>IFERROR(__xludf.DUMMYFUNCTION("""COMPUTED_VALUE"""),64.08)</f>
        <v>64.08</v>
      </c>
      <c r="C382" s="1">
        <f>IFERROR(__xludf.DUMMYFUNCTION("""COMPUTED_VALUE"""),64.12)</f>
        <v>64.12</v>
      </c>
      <c r="D382" s="1">
        <f>IFERROR(__xludf.DUMMYFUNCTION("""COMPUTED_VALUE"""),63.7)</f>
        <v>63.7</v>
      </c>
      <c r="E382" s="1">
        <f>IFERROR(__xludf.DUMMYFUNCTION("""COMPUTED_VALUE"""),63.96)</f>
        <v>63.96</v>
      </c>
      <c r="F382" s="1">
        <f>IFERROR(__xludf.DUMMYFUNCTION("""COMPUTED_VALUE"""),55287.0)</f>
        <v>55287</v>
      </c>
      <c r="G382" s="2" t="s">
        <v>8</v>
      </c>
    </row>
    <row r="383">
      <c r="A383" s="3">
        <f>IFERROR(__xludf.DUMMYFUNCTION("""COMPUTED_VALUE"""),45105.72916666667)</f>
        <v>45105.72917</v>
      </c>
      <c r="B383" s="1">
        <f>IFERROR(__xludf.DUMMYFUNCTION("""COMPUTED_VALUE"""),64.12)</f>
        <v>64.12</v>
      </c>
      <c r="C383" s="1">
        <f>IFERROR(__xludf.DUMMYFUNCTION("""COMPUTED_VALUE"""),64.56)</f>
        <v>64.56</v>
      </c>
      <c r="D383" s="1">
        <f>IFERROR(__xludf.DUMMYFUNCTION("""COMPUTED_VALUE"""),63.92)</f>
        <v>63.92</v>
      </c>
      <c r="E383" s="1">
        <f>IFERROR(__xludf.DUMMYFUNCTION("""COMPUTED_VALUE"""),64.46)</f>
        <v>64.46</v>
      </c>
      <c r="F383" s="1">
        <f>IFERROR(__xludf.DUMMYFUNCTION("""COMPUTED_VALUE"""),69522.0)</f>
        <v>69522</v>
      </c>
      <c r="G383" s="2" t="s">
        <v>8</v>
      </c>
    </row>
    <row r="384">
      <c r="A384" s="3">
        <f>IFERROR(__xludf.DUMMYFUNCTION("""COMPUTED_VALUE"""),45106.72916666667)</f>
        <v>45106.72917</v>
      </c>
      <c r="B384" s="1">
        <f>IFERROR(__xludf.DUMMYFUNCTION("""COMPUTED_VALUE"""),64.8)</f>
        <v>64.8</v>
      </c>
      <c r="C384" s="1">
        <f>IFERROR(__xludf.DUMMYFUNCTION("""COMPUTED_VALUE"""),64.8)</f>
        <v>64.8</v>
      </c>
      <c r="D384" s="1">
        <f>IFERROR(__xludf.DUMMYFUNCTION("""COMPUTED_VALUE"""),63.68)</f>
        <v>63.68</v>
      </c>
      <c r="E384" s="1">
        <f>IFERROR(__xludf.DUMMYFUNCTION("""COMPUTED_VALUE"""),64.06)</f>
        <v>64.06</v>
      </c>
      <c r="F384" s="1">
        <f>IFERROR(__xludf.DUMMYFUNCTION("""COMPUTED_VALUE"""),56220.0)</f>
        <v>56220</v>
      </c>
      <c r="G384" s="2" t="s">
        <v>8</v>
      </c>
    </row>
    <row r="385">
      <c r="A385" s="3">
        <f>IFERROR(__xludf.DUMMYFUNCTION("""COMPUTED_VALUE"""),45107.72916666667)</f>
        <v>45107.72917</v>
      </c>
      <c r="B385" s="1">
        <f>IFERROR(__xludf.DUMMYFUNCTION("""COMPUTED_VALUE"""),64.08)</f>
        <v>64.08</v>
      </c>
      <c r="C385" s="1">
        <f>IFERROR(__xludf.DUMMYFUNCTION("""COMPUTED_VALUE"""),65.18)</f>
        <v>65.18</v>
      </c>
      <c r="D385" s="1">
        <f>IFERROR(__xludf.DUMMYFUNCTION("""COMPUTED_VALUE"""),63.86)</f>
        <v>63.86</v>
      </c>
      <c r="E385" s="1">
        <f>IFERROR(__xludf.DUMMYFUNCTION("""COMPUTED_VALUE"""),64.5)</f>
        <v>64.5</v>
      </c>
      <c r="F385" s="1">
        <f>IFERROR(__xludf.DUMMYFUNCTION("""COMPUTED_VALUE"""),93826.0)</f>
        <v>93826</v>
      </c>
      <c r="G385" s="2" t="s">
        <v>8</v>
      </c>
    </row>
    <row r="386">
      <c r="A386" s="3">
        <f>IFERROR(__xludf.DUMMYFUNCTION("""COMPUTED_VALUE"""),45110.72916666667)</f>
        <v>45110.72917</v>
      </c>
      <c r="B386" s="1">
        <f>IFERROR(__xludf.DUMMYFUNCTION("""COMPUTED_VALUE"""),64.66)</f>
        <v>64.66</v>
      </c>
      <c r="C386" s="1">
        <f>IFERROR(__xludf.DUMMYFUNCTION("""COMPUTED_VALUE"""),64.92)</f>
        <v>64.92</v>
      </c>
      <c r="D386" s="1">
        <f>IFERROR(__xludf.DUMMYFUNCTION("""COMPUTED_VALUE"""),64.0)</f>
        <v>64</v>
      </c>
      <c r="E386" s="1">
        <f>IFERROR(__xludf.DUMMYFUNCTION("""COMPUTED_VALUE"""),64.2)</f>
        <v>64.2</v>
      </c>
      <c r="F386" s="1">
        <f>IFERROR(__xludf.DUMMYFUNCTION("""COMPUTED_VALUE"""),34163.0)</f>
        <v>34163</v>
      </c>
      <c r="G386" s="2" t="s">
        <v>8</v>
      </c>
    </row>
    <row r="387">
      <c r="A387" s="3">
        <f>IFERROR(__xludf.DUMMYFUNCTION("""COMPUTED_VALUE"""),45111.72916666667)</f>
        <v>45111.72917</v>
      </c>
      <c r="B387" s="1">
        <f>IFERROR(__xludf.DUMMYFUNCTION("""COMPUTED_VALUE"""),64.0)</f>
        <v>64</v>
      </c>
      <c r="C387" s="1">
        <f>IFERROR(__xludf.DUMMYFUNCTION("""COMPUTED_VALUE"""),64.26)</f>
        <v>64.26</v>
      </c>
      <c r="D387" s="1">
        <f>IFERROR(__xludf.DUMMYFUNCTION("""COMPUTED_VALUE"""),63.68)</f>
        <v>63.68</v>
      </c>
      <c r="E387" s="1">
        <f>IFERROR(__xludf.DUMMYFUNCTION("""COMPUTED_VALUE"""),63.68)</f>
        <v>63.68</v>
      </c>
      <c r="F387" s="1">
        <f>IFERROR(__xludf.DUMMYFUNCTION("""COMPUTED_VALUE"""),29512.0)</f>
        <v>29512</v>
      </c>
      <c r="G387" s="2" t="s">
        <v>8</v>
      </c>
    </row>
    <row r="388">
      <c r="A388" s="3">
        <f>IFERROR(__xludf.DUMMYFUNCTION("""COMPUTED_VALUE"""),45112.72916666667)</f>
        <v>45112.72917</v>
      </c>
      <c r="B388" s="1">
        <f>IFERROR(__xludf.DUMMYFUNCTION("""COMPUTED_VALUE"""),63.32)</f>
        <v>63.32</v>
      </c>
      <c r="C388" s="1">
        <f>IFERROR(__xludf.DUMMYFUNCTION("""COMPUTED_VALUE"""),63.58)</f>
        <v>63.58</v>
      </c>
      <c r="D388" s="1">
        <f>IFERROR(__xludf.DUMMYFUNCTION("""COMPUTED_VALUE"""),62.48)</f>
        <v>62.48</v>
      </c>
      <c r="E388" s="1">
        <f>IFERROR(__xludf.DUMMYFUNCTION("""COMPUTED_VALUE"""),63.06)</f>
        <v>63.06</v>
      </c>
      <c r="F388" s="1">
        <f>IFERROR(__xludf.DUMMYFUNCTION("""COMPUTED_VALUE"""),67678.0)</f>
        <v>67678</v>
      </c>
      <c r="G388" s="2" t="s">
        <v>8</v>
      </c>
    </row>
    <row r="389">
      <c r="A389" s="3">
        <f>IFERROR(__xludf.DUMMYFUNCTION("""COMPUTED_VALUE"""),45113.72916666667)</f>
        <v>45113.72917</v>
      </c>
      <c r="B389" s="1">
        <f>IFERROR(__xludf.DUMMYFUNCTION("""COMPUTED_VALUE"""),63.1)</f>
        <v>63.1</v>
      </c>
      <c r="C389" s="1">
        <f>IFERROR(__xludf.DUMMYFUNCTION("""COMPUTED_VALUE"""),63.1)</f>
        <v>63.1</v>
      </c>
      <c r="D389" s="1">
        <f>IFERROR(__xludf.DUMMYFUNCTION("""COMPUTED_VALUE"""),62.16)</f>
        <v>62.16</v>
      </c>
      <c r="E389" s="1">
        <f>IFERROR(__xludf.DUMMYFUNCTION("""COMPUTED_VALUE"""),62.44)</f>
        <v>62.44</v>
      </c>
      <c r="F389" s="1">
        <f>IFERROR(__xludf.DUMMYFUNCTION("""COMPUTED_VALUE"""),99079.0)</f>
        <v>99079</v>
      </c>
      <c r="G389" s="2" t="s">
        <v>8</v>
      </c>
    </row>
    <row r="390">
      <c r="A390" s="3">
        <f>IFERROR(__xludf.DUMMYFUNCTION("""COMPUTED_VALUE"""),45114.72916666667)</f>
        <v>45114.72917</v>
      </c>
      <c r="B390" s="1">
        <f>IFERROR(__xludf.DUMMYFUNCTION("""COMPUTED_VALUE"""),62.1)</f>
        <v>62.1</v>
      </c>
      <c r="C390" s="1">
        <f>IFERROR(__xludf.DUMMYFUNCTION("""COMPUTED_VALUE"""),62.44)</f>
        <v>62.44</v>
      </c>
      <c r="D390" s="1">
        <f>IFERROR(__xludf.DUMMYFUNCTION("""COMPUTED_VALUE"""),61.78)</f>
        <v>61.78</v>
      </c>
      <c r="E390" s="1">
        <f>IFERROR(__xludf.DUMMYFUNCTION("""COMPUTED_VALUE"""),61.86)</f>
        <v>61.86</v>
      </c>
      <c r="F390" s="1">
        <f>IFERROR(__xludf.DUMMYFUNCTION("""COMPUTED_VALUE"""),52072.0)</f>
        <v>52072</v>
      </c>
      <c r="G390" s="2" t="s">
        <v>8</v>
      </c>
    </row>
    <row r="391">
      <c r="A391" s="3">
        <f>IFERROR(__xludf.DUMMYFUNCTION("""COMPUTED_VALUE"""),45117.72916666667)</f>
        <v>45117.72917</v>
      </c>
      <c r="B391" s="1">
        <f>IFERROR(__xludf.DUMMYFUNCTION("""COMPUTED_VALUE"""),61.74)</f>
        <v>61.74</v>
      </c>
      <c r="C391" s="1">
        <f>IFERROR(__xludf.DUMMYFUNCTION("""COMPUTED_VALUE"""),61.98)</f>
        <v>61.98</v>
      </c>
      <c r="D391" s="1">
        <f>IFERROR(__xludf.DUMMYFUNCTION("""COMPUTED_VALUE"""),61.58)</f>
        <v>61.58</v>
      </c>
      <c r="E391" s="1">
        <f>IFERROR(__xludf.DUMMYFUNCTION("""COMPUTED_VALUE"""),61.76)</f>
        <v>61.76</v>
      </c>
      <c r="F391" s="1">
        <f>IFERROR(__xludf.DUMMYFUNCTION("""COMPUTED_VALUE"""),43878.0)</f>
        <v>43878</v>
      </c>
      <c r="G391" s="2" t="s">
        <v>8</v>
      </c>
    </row>
    <row r="392">
      <c r="A392" s="3">
        <f>IFERROR(__xludf.DUMMYFUNCTION("""COMPUTED_VALUE"""),45118.72916666667)</f>
        <v>45118.72917</v>
      </c>
      <c r="B392" s="1">
        <f>IFERROR(__xludf.DUMMYFUNCTION("""COMPUTED_VALUE"""),61.62)</f>
        <v>61.62</v>
      </c>
      <c r="C392" s="1">
        <f>IFERROR(__xludf.DUMMYFUNCTION("""COMPUTED_VALUE"""),62.5)</f>
        <v>62.5</v>
      </c>
      <c r="D392" s="1">
        <f>IFERROR(__xludf.DUMMYFUNCTION("""COMPUTED_VALUE"""),61.56)</f>
        <v>61.56</v>
      </c>
      <c r="E392" s="1">
        <f>IFERROR(__xludf.DUMMYFUNCTION("""COMPUTED_VALUE"""),62.28)</f>
        <v>62.28</v>
      </c>
      <c r="F392" s="1">
        <f>IFERROR(__xludf.DUMMYFUNCTION("""COMPUTED_VALUE"""),62905.0)</f>
        <v>62905</v>
      </c>
      <c r="G392" s="2" t="s">
        <v>8</v>
      </c>
    </row>
    <row r="393">
      <c r="A393" s="3">
        <f>IFERROR(__xludf.DUMMYFUNCTION("""COMPUTED_VALUE"""),45119.72916666667)</f>
        <v>45119.72917</v>
      </c>
      <c r="B393" s="1">
        <f>IFERROR(__xludf.DUMMYFUNCTION("""COMPUTED_VALUE"""),62.3)</f>
        <v>62.3</v>
      </c>
      <c r="C393" s="1">
        <f>IFERROR(__xludf.DUMMYFUNCTION("""COMPUTED_VALUE"""),62.88)</f>
        <v>62.88</v>
      </c>
      <c r="D393" s="1">
        <f>IFERROR(__xludf.DUMMYFUNCTION("""COMPUTED_VALUE"""),62.0)</f>
        <v>62</v>
      </c>
      <c r="E393" s="1">
        <f>IFERROR(__xludf.DUMMYFUNCTION("""COMPUTED_VALUE"""),62.44)</f>
        <v>62.44</v>
      </c>
      <c r="F393" s="1">
        <f>IFERROR(__xludf.DUMMYFUNCTION("""COMPUTED_VALUE"""),54787.0)</f>
        <v>54787</v>
      </c>
      <c r="G393" s="2" t="s">
        <v>8</v>
      </c>
    </row>
    <row r="394">
      <c r="A394" s="3">
        <f>IFERROR(__xludf.DUMMYFUNCTION("""COMPUTED_VALUE"""),45120.72916666667)</f>
        <v>45120.72917</v>
      </c>
      <c r="B394" s="1">
        <f>IFERROR(__xludf.DUMMYFUNCTION("""COMPUTED_VALUE"""),62.96)</f>
        <v>62.96</v>
      </c>
      <c r="C394" s="1">
        <f>IFERROR(__xludf.DUMMYFUNCTION("""COMPUTED_VALUE"""),63.36)</f>
        <v>63.36</v>
      </c>
      <c r="D394" s="1">
        <f>IFERROR(__xludf.DUMMYFUNCTION("""COMPUTED_VALUE"""),62.48)</f>
        <v>62.48</v>
      </c>
      <c r="E394" s="1">
        <f>IFERROR(__xludf.DUMMYFUNCTION("""COMPUTED_VALUE"""),63.18)</f>
        <v>63.18</v>
      </c>
      <c r="F394" s="1">
        <f>IFERROR(__xludf.DUMMYFUNCTION("""COMPUTED_VALUE"""),49178.0)</f>
        <v>49178</v>
      </c>
      <c r="G394" s="2" t="s">
        <v>8</v>
      </c>
    </row>
    <row r="395">
      <c r="A395" s="3">
        <f>IFERROR(__xludf.DUMMYFUNCTION("""COMPUTED_VALUE"""),45121.72916666667)</f>
        <v>45121.72917</v>
      </c>
      <c r="B395" s="1">
        <f>IFERROR(__xludf.DUMMYFUNCTION("""COMPUTED_VALUE"""),63.0)</f>
        <v>63</v>
      </c>
      <c r="C395" s="1">
        <f>IFERROR(__xludf.DUMMYFUNCTION("""COMPUTED_VALUE"""),63.52)</f>
        <v>63.52</v>
      </c>
      <c r="D395" s="1">
        <f>IFERROR(__xludf.DUMMYFUNCTION("""COMPUTED_VALUE"""),63.0)</f>
        <v>63</v>
      </c>
      <c r="E395" s="1">
        <f>IFERROR(__xludf.DUMMYFUNCTION("""COMPUTED_VALUE"""),63.32)</f>
        <v>63.32</v>
      </c>
      <c r="F395" s="1">
        <f>IFERROR(__xludf.DUMMYFUNCTION("""COMPUTED_VALUE"""),33858.0)</f>
        <v>33858</v>
      </c>
      <c r="G395" s="2" t="s">
        <v>8</v>
      </c>
    </row>
    <row r="396">
      <c r="A396" s="3">
        <f>IFERROR(__xludf.DUMMYFUNCTION("""COMPUTED_VALUE"""),45124.72916666667)</f>
        <v>45124.72917</v>
      </c>
      <c r="B396" s="1">
        <f>IFERROR(__xludf.DUMMYFUNCTION("""COMPUTED_VALUE"""),63.34)</f>
        <v>63.34</v>
      </c>
      <c r="C396" s="1">
        <f>IFERROR(__xludf.DUMMYFUNCTION("""COMPUTED_VALUE"""),63.48)</f>
        <v>63.48</v>
      </c>
      <c r="D396" s="1">
        <f>IFERROR(__xludf.DUMMYFUNCTION("""COMPUTED_VALUE"""),63.02)</f>
        <v>63.02</v>
      </c>
      <c r="E396" s="1">
        <f>IFERROR(__xludf.DUMMYFUNCTION("""COMPUTED_VALUE"""),63.36)</f>
        <v>63.36</v>
      </c>
      <c r="F396" s="1">
        <f>IFERROR(__xludf.DUMMYFUNCTION("""COMPUTED_VALUE"""),33875.0)</f>
        <v>33875</v>
      </c>
      <c r="G396" s="2" t="s">
        <v>8</v>
      </c>
    </row>
    <row r="397">
      <c r="A397" s="3">
        <f>IFERROR(__xludf.DUMMYFUNCTION("""COMPUTED_VALUE"""),45125.72916666667)</f>
        <v>45125.72917</v>
      </c>
      <c r="B397" s="1">
        <f>IFERROR(__xludf.DUMMYFUNCTION("""COMPUTED_VALUE"""),63.76)</f>
        <v>63.76</v>
      </c>
      <c r="C397" s="1">
        <f>IFERROR(__xludf.DUMMYFUNCTION("""COMPUTED_VALUE"""),63.76)</f>
        <v>63.76</v>
      </c>
      <c r="D397" s="1">
        <f>IFERROR(__xludf.DUMMYFUNCTION("""COMPUTED_VALUE"""),62.54)</f>
        <v>62.54</v>
      </c>
      <c r="E397" s="1">
        <f>IFERROR(__xludf.DUMMYFUNCTION("""COMPUTED_VALUE"""),63.08)</f>
        <v>63.08</v>
      </c>
      <c r="F397" s="1">
        <f>IFERROR(__xludf.DUMMYFUNCTION("""COMPUTED_VALUE"""),43949.0)</f>
        <v>43949</v>
      </c>
      <c r="G397" s="2" t="s">
        <v>8</v>
      </c>
    </row>
    <row r="398">
      <c r="A398" s="3">
        <f>IFERROR(__xludf.DUMMYFUNCTION("""COMPUTED_VALUE"""),45126.72916666667)</f>
        <v>45126.72917</v>
      </c>
      <c r="B398" s="1">
        <f>IFERROR(__xludf.DUMMYFUNCTION("""COMPUTED_VALUE"""),63.0)</f>
        <v>63</v>
      </c>
      <c r="C398" s="1">
        <f>IFERROR(__xludf.DUMMYFUNCTION("""COMPUTED_VALUE"""),64.0)</f>
        <v>64</v>
      </c>
      <c r="D398" s="1">
        <f>IFERROR(__xludf.DUMMYFUNCTION("""COMPUTED_VALUE"""),63.0)</f>
        <v>63</v>
      </c>
      <c r="E398" s="1">
        <f>IFERROR(__xludf.DUMMYFUNCTION("""COMPUTED_VALUE"""),63.54)</f>
        <v>63.54</v>
      </c>
      <c r="F398" s="1">
        <f>IFERROR(__xludf.DUMMYFUNCTION("""COMPUTED_VALUE"""),58711.0)</f>
        <v>58711</v>
      </c>
      <c r="G398" s="2" t="s">
        <v>8</v>
      </c>
    </row>
    <row r="399">
      <c r="A399" s="3">
        <f>IFERROR(__xludf.DUMMYFUNCTION("""COMPUTED_VALUE"""),45127.72916666667)</f>
        <v>45127.72917</v>
      </c>
      <c r="B399" s="1">
        <f>IFERROR(__xludf.DUMMYFUNCTION("""COMPUTED_VALUE"""),63.68)</f>
        <v>63.68</v>
      </c>
      <c r="C399" s="1">
        <f>IFERROR(__xludf.DUMMYFUNCTION("""COMPUTED_VALUE"""),63.96)</f>
        <v>63.96</v>
      </c>
      <c r="D399" s="1">
        <f>IFERROR(__xludf.DUMMYFUNCTION("""COMPUTED_VALUE"""),63.32)</f>
        <v>63.32</v>
      </c>
      <c r="E399" s="1">
        <f>IFERROR(__xludf.DUMMYFUNCTION("""COMPUTED_VALUE"""),63.7)</f>
        <v>63.7</v>
      </c>
      <c r="F399" s="1">
        <f>IFERROR(__xludf.DUMMYFUNCTION("""COMPUTED_VALUE"""),68584.0)</f>
        <v>68584</v>
      </c>
      <c r="G399" s="2" t="s">
        <v>8</v>
      </c>
    </row>
    <row r="400">
      <c r="A400" s="3">
        <f>IFERROR(__xludf.DUMMYFUNCTION("""COMPUTED_VALUE"""),45128.72916666667)</f>
        <v>45128.72917</v>
      </c>
      <c r="B400" s="1">
        <f>IFERROR(__xludf.DUMMYFUNCTION("""COMPUTED_VALUE"""),63.76)</f>
        <v>63.76</v>
      </c>
      <c r="C400" s="1">
        <f>IFERROR(__xludf.DUMMYFUNCTION("""COMPUTED_VALUE"""),64.06)</f>
        <v>64.06</v>
      </c>
      <c r="D400" s="1">
        <f>IFERROR(__xludf.DUMMYFUNCTION("""COMPUTED_VALUE"""),63.5)</f>
        <v>63.5</v>
      </c>
      <c r="E400" s="1">
        <f>IFERROR(__xludf.DUMMYFUNCTION("""COMPUTED_VALUE"""),63.86)</f>
        <v>63.86</v>
      </c>
      <c r="F400" s="1">
        <f>IFERROR(__xludf.DUMMYFUNCTION("""COMPUTED_VALUE"""),44310.0)</f>
        <v>44310</v>
      </c>
      <c r="G400" s="2" t="s">
        <v>8</v>
      </c>
    </row>
    <row r="401">
      <c r="A401" s="3">
        <f>IFERROR(__xludf.DUMMYFUNCTION("""COMPUTED_VALUE"""),45131.72916666667)</f>
        <v>45131.72917</v>
      </c>
      <c r="B401" s="1">
        <f>IFERROR(__xludf.DUMMYFUNCTION("""COMPUTED_VALUE"""),63.5)</f>
        <v>63.5</v>
      </c>
      <c r="C401" s="1">
        <f>IFERROR(__xludf.DUMMYFUNCTION("""COMPUTED_VALUE"""),63.88)</f>
        <v>63.88</v>
      </c>
      <c r="D401" s="1">
        <f>IFERROR(__xludf.DUMMYFUNCTION("""COMPUTED_VALUE"""),62.8)</f>
        <v>62.8</v>
      </c>
      <c r="E401" s="1">
        <f>IFERROR(__xludf.DUMMYFUNCTION("""COMPUTED_VALUE"""),63.28)</f>
        <v>63.28</v>
      </c>
      <c r="F401" s="1">
        <f>IFERROR(__xludf.DUMMYFUNCTION("""COMPUTED_VALUE"""),76612.0)</f>
        <v>76612</v>
      </c>
      <c r="G401" s="2" t="s">
        <v>8</v>
      </c>
    </row>
    <row r="402">
      <c r="A402" s="3">
        <f>IFERROR(__xludf.DUMMYFUNCTION("""COMPUTED_VALUE"""),45132.72916666667)</f>
        <v>45132.72917</v>
      </c>
      <c r="B402" s="1">
        <f>IFERROR(__xludf.DUMMYFUNCTION("""COMPUTED_VALUE"""),62.84)</f>
        <v>62.84</v>
      </c>
      <c r="C402" s="1">
        <f>IFERROR(__xludf.DUMMYFUNCTION("""COMPUTED_VALUE"""),64.0)</f>
        <v>64</v>
      </c>
      <c r="D402" s="1">
        <f>IFERROR(__xludf.DUMMYFUNCTION("""COMPUTED_VALUE"""),62.78)</f>
        <v>62.78</v>
      </c>
      <c r="E402" s="1">
        <f>IFERROR(__xludf.DUMMYFUNCTION("""COMPUTED_VALUE"""),64.0)</f>
        <v>64</v>
      </c>
      <c r="F402" s="1">
        <f>IFERROR(__xludf.DUMMYFUNCTION("""COMPUTED_VALUE"""),43214.0)</f>
        <v>43214</v>
      </c>
      <c r="G402" s="2" t="s">
        <v>8</v>
      </c>
    </row>
    <row r="403">
      <c r="A403" s="3">
        <f>IFERROR(__xludf.DUMMYFUNCTION("""COMPUTED_VALUE"""),45133.72916666667)</f>
        <v>45133.72917</v>
      </c>
      <c r="B403" s="1">
        <f>IFERROR(__xludf.DUMMYFUNCTION("""COMPUTED_VALUE"""),63.66)</f>
        <v>63.66</v>
      </c>
      <c r="C403" s="1">
        <f>IFERROR(__xludf.DUMMYFUNCTION("""COMPUTED_VALUE"""),64.44)</f>
        <v>64.44</v>
      </c>
      <c r="D403" s="1">
        <f>IFERROR(__xludf.DUMMYFUNCTION("""COMPUTED_VALUE"""),63.0)</f>
        <v>63</v>
      </c>
      <c r="E403" s="1">
        <f>IFERROR(__xludf.DUMMYFUNCTION("""COMPUTED_VALUE"""),63.82)</f>
        <v>63.82</v>
      </c>
      <c r="F403" s="1">
        <f>IFERROR(__xludf.DUMMYFUNCTION("""COMPUTED_VALUE"""),53929.0)</f>
        <v>53929</v>
      </c>
      <c r="G403" s="2" t="s">
        <v>8</v>
      </c>
    </row>
    <row r="404">
      <c r="A404" s="3">
        <f>IFERROR(__xludf.DUMMYFUNCTION("""COMPUTED_VALUE"""),45134.72916666667)</f>
        <v>45134.72917</v>
      </c>
      <c r="B404" s="1">
        <f>IFERROR(__xludf.DUMMYFUNCTION("""COMPUTED_VALUE"""),63.78)</f>
        <v>63.78</v>
      </c>
      <c r="C404" s="1">
        <f>IFERROR(__xludf.DUMMYFUNCTION("""COMPUTED_VALUE"""),64.62)</f>
        <v>64.62</v>
      </c>
      <c r="D404" s="1">
        <f>IFERROR(__xludf.DUMMYFUNCTION("""COMPUTED_VALUE"""),63.78)</f>
        <v>63.78</v>
      </c>
      <c r="E404" s="1">
        <f>IFERROR(__xludf.DUMMYFUNCTION("""COMPUTED_VALUE"""),64.2)</f>
        <v>64.2</v>
      </c>
      <c r="F404" s="1">
        <f>IFERROR(__xludf.DUMMYFUNCTION("""COMPUTED_VALUE"""),50999.0)</f>
        <v>50999</v>
      </c>
      <c r="G404" s="2" t="s">
        <v>8</v>
      </c>
    </row>
    <row r="405">
      <c r="A405" s="3">
        <f>IFERROR(__xludf.DUMMYFUNCTION("""COMPUTED_VALUE"""),45135.72916666667)</f>
        <v>45135.72917</v>
      </c>
      <c r="B405" s="1">
        <f>IFERROR(__xludf.DUMMYFUNCTION("""COMPUTED_VALUE"""),64.28)</f>
        <v>64.28</v>
      </c>
      <c r="C405" s="1">
        <f>IFERROR(__xludf.DUMMYFUNCTION("""COMPUTED_VALUE"""),64.36)</f>
        <v>64.36</v>
      </c>
      <c r="D405" s="1">
        <f>IFERROR(__xludf.DUMMYFUNCTION("""COMPUTED_VALUE"""),63.82)</f>
        <v>63.82</v>
      </c>
      <c r="E405" s="1">
        <f>IFERROR(__xludf.DUMMYFUNCTION("""COMPUTED_VALUE"""),64.2)</f>
        <v>64.2</v>
      </c>
      <c r="F405" s="1">
        <f>IFERROR(__xludf.DUMMYFUNCTION("""COMPUTED_VALUE"""),76341.0)</f>
        <v>76341</v>
      </c>
      <c r="G405" s="2" t="s">
        <v>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IFERROR(__xludf.DUMMYFUNCTION("GOOGLEFINANCE(""BOSS"", ""all"", ""01.01.2022"", ""31.12.2023"", ""DAILY"")"),"Date")</f>
        <v>Date</v>
      </c>
      <c r="B1" s="1" t="str">
        <f>IFERROR(__xludf.DUMMYFUNCTION("""COMPUTED_VALUE"""),"Open")</f>
        <v>Open</v>
      </c>
      <c r="C1" s="1" t="str">
        <f>IFERROR(__xludf.DUMMYFUNCTION("""COMPUTED_VALUE"""),"High")</f>
        <v>High</v>
      </c>
      <c r="D1" s="1" t="str">
        <f>IFERROR(__xludf.DUMMYFUNCTION("""COMPUTED_VALUE"""),"Low")</f>
        <v>Low</v>
      </c>
      <c r="E1" s="1" t="str">
        <f>IFERROR(__xludf.DUMMYFUNCTION("""COMPUTED_VALUE"""),"Close")</f>
        <v>Close</v>
      </c>
      <c r="F1" s="1" t="str">
        <f>IFERROR(__xludf.DUMMYFUNCTION("""COMPUTED_VALUE"""),"Volume")</f>
        <v>Volume</v>
      </c>
      <c r="G1" s="2" t="s">
        <v>0</v>
      </c>
    </row>
    <row r="2">
      <c r="A2" s="3">
        <f>IFERROR(__xludf.DUMMYFUNCTION("""COMPUTED_VALUE"""),44564.66666666667)</f>
        <v>44564.66667</v>
      </c>
      <c r="B2" s="1">
        <f>IFERROR(__xludf.DUMMYFUNCTION("""COMPUTED_VALUE"""),34.42)</f>
        <v>34.42</v>
      </c>
      <c r="C2" s="1">
        <f>IFERROR(__xludf.DUMMYFUNCTION("""COMPUTED_VALUE"""),34.42)</f>
        <v>34.42</v>
      </c>
      <c r="D2" s="1">
        <f>IFERROR(__xludf.DUMMYFUNCTION("""COMPUTED_VALUE"""),33.82)</f>
        <v>33.82</v>
      </c>
      <c r="E2" s="1">
        <f>IFERROR(__xludf.DUMMYFUNCTION("""COMPUTED_VALUE"""),33.91)</f>
        <v>33.91</v>
      </c>
      <c r="F2" s="1">
        <f>IFERROR(__xludf.DUMMYFUNCTION("""COMPUTED_VALUE"""),3653.0)</f>
        <v>3653</v>
      </c>
      <c r="G2" s="2" t="s">
        <v>9</v>
      </c>
    </row>
    <row r="3">
      <c r="A3" s="3">
        <f>IFERROR(__xludf.DUMMYFUNCTION("""COMPUTED_VALUE"""),44565.66666666667)</f>
        <v>44565.66667</v>
      </c>
      <c r="B3" s="1">
        <f>IFERROR(__xludf.DUMMYFUNCTION("""COMPUTED_VALUE"""),33.19)</f>
        <v>33.19</v>
      </c>
      <c r="C3" s="1">
        <f>IFERROR(__xludf.DUMMYFUNCTION("""COMPUTED_VALUE"""),33.42)</f>
        <v>33.42</v>
      </c>
      <c r="D3" s="1">
        <f>IFERROR(__xludf.DUMMYFUNCTION("""COMPUTED_VALUE"""),33.11)</f>
        <v>33.11</v>
      </c>
      <c r="E3" s="1">
        <f>IFERROR(__xludf.DUMMYFUNCTION("""COMPUTED_VALUE"""),33.42)</f>
        <v>33.42</v>
      </c>
      <c r="F3" s="1">
        <f>IFERROR(__xludf.DUMMYFUNCTION("""COMPUTED_VALUE"""),1001.0)</f>
        <v>1001</v>
      </c>
      <c r="G3" s="2" t="s">
        <v>9</v>
      </c>
    </row>
    <row r="4">
      <c r="A4" s="3">
        <f>IFERROR(__xludf.DUMMYFUNCTION("""COMPUTED_VALUE"""),44566.66666666667)</f>
        <v>44566.66667</v>
      </c>
      <c r="B4" s="1">
        <f>IFERROR(__xludf.DUMMYFUNCTION("""COMPUTED_VALUE"""),33.13)</f>
        <v>33.13</v>
      </c>
      <c r="C4" s="1">
        <f>IFERROR(__xludf.DUMMYFUNCTION("""COMPUTED_VALUE"""),33.19)</f>
        <v>33.19</v>
      </c>
      <c r="D4" s="1">
        <f>IFERROR(__xludf.DUMMYFUNCTION("""COMPUTED_VALUE"""),32.11)</f>
        <v>32.11</v>
      </c>
      <c r="E4" s="1">
        <f>IFERROR(__xludf.DUMMYFUNCTION("""COMPUTED_VALUE"""),32.11)</f>
        <v>32.11</v>
      </c>
      <c r="F4" s="1">
        <f>IFERROR(__xludf.DUMMYFUNCTION("""COMPUTED_VALUE"""),2135.0)</f>
        <v>2135</v>
      </c>
      <c r="G4" s="2" t="s">
        <v>9</v>
      </c>
    </row>
    <row r="5">
      <c r="A5" s="3">
        <f>IFERROR(__xludf.DUMMYFUNCTION("""COMPUTED_VALUE"""),44567.66666666667)</f>
        <v>44567.66667</v>
      </c>
      <c r="B5" s="1">
        <f>IFERROR(__xludf.DUMMYFUNCTION("""COMPUTED_VALUE"""),32.25)</f>
        <v>32.25</v>
      </c>
      <c r="C5" s="1">
        <f>IFERROR(__xludf.DUMMYFUNCTION("""COMPUTED_VALUE"""),32.49)</f>
        <v>32.49</v>
      </c>
      <c r="D5" s="1">
        <f>IFERROR(__xludf.DUMMYFUNCTION("""COMPUTED_VALUE"""),32.25)</f>
        <v>32.25</v>
      </c>
      <c r="E5" s="1">
        <f>IFERROR(__xludf.DUMMYFUNCTION("""COMPUTED_VALUE"""),32.26)</f>
        <v>32.26</v>
      </c>
      <c r="F5" s="1">
        <f>IFERROR(__xludf.DUMMYFUNCTION("""COMPUTED_VALUE"""),2153.0)</f>
        <v>2153</v>
      </c>
      <c r="G5" s="2" t="s">
        <v>9</v>
      </c>
    </row>
    <row r="6">
      <c r="A6" s="3">
        <f>IFERROR(__xludf.DUMMYFUNCTION("""COMPUTED_VALUE"""),44568.66666666667)</f>
        <v>44568.66667</v>
      </c>
      <c r="B6" s="1">
        <f>IFERROR(__xludf.DUMMYFUNCTION("""COMPUTED_VALUE"""),32.1)</f>
        <v>32.1</v>
      </c>
      <c r="C6" s="1">
        <f>IFERROR(__xludf.DUMMYFUNCTION("""COMPUTED_VALUE"""),32.1)</f>
        <v>32.1</v>
      </c>
      <c r="D6" s="1">
        <f>IFERROR(__xludf.DUMMYFUNCTION("""COMPUTED_VALUE"""),31.96)</f>
        <v>31.96</v>
      </c>
      <c r="E6" s="1">
        <f>IFERROR(__xludf.DUMMYFUNCTION("""COMPUTED_VALUE"""),31.96)</f>
        <v>31.96</v>
      </c>
      <c r="F6" s="1">
        <f>IFERROR(__xludf.DUMMYFUNCTION("""COMPUTED_VALUE"""),1525.0)</f>
        <v>1525</v>
      </c>
      <c r="G6" s="2" t="s">
        <v>9</v>
      </c>
    </row>
    <row r="7">
      <c r="A7" s="3">
        <f>IFERROR(__xludf.DUMMYFUNCTION("""COMPUTED_VALUE"""),44571.66666666667)</f>
        <v>44571.66667</v>
      </c>
      <c r="B7" s="1">
        <f>IFERROR(__xludf.DUMMYFUNCTION("""COMPUTED_VALUE"""),31.39)</f>
        <v>31.39</v>
      </c>
      <c r="C7" s="1">
        <f>IFERROR(__xludf.DUMMYFUNCTION("""COMPUTED_VALUE"""),32.03)</f>
        <v>32.03</v>
      </c>
      <c r="D7" s="1">
        <f>IFERROR(__xludf.DUMMYFUNCTION("""COMPUTED_VALUE"""),31.21)</f>
        <v>31.21</v>
      </c>
      <c r="E7" s="1">
        <f>IFERROR(__xludf.DUMMYFUNCTION("""COMPUTED_VALUE"""),32.03)</f>
        <v>32.03</v>
      </c>
      <c r="F7" s="1">
        <f>IFERROR(__xludf.DUMMYFUNCTION("""COMPUTED_VALUE"""),1166.0)</f>
        <v>1166</v>
      </c>
      <c r="G7" s="2" t="s">
        <v>9</v>
      </c>
    </row>
    <row r="8">
      <c r="A8" s="3">
        <f>IFERROR(__xludf.DUMMYFUNCTION("""COMPUTED_VALUE"""),44572.66666666667)</f>
        <v>44572.66667</v>
      </c>
      <c r="B8" s="1">
        <f>IFERROR(__xludf.DUMMYFUNCTION("""COMPUTED_VALUE"""),32.1)</f>
        <v>32.1</v>
      </c>
      <c r="C8" s="1">
        <f>IFERROR(__xludf.DUMMYFUNCTION("""COMPUTED_VALUE"""),32.68)</f>
        <v>32.68</v>
      </c>
      <c r="D8" s="1">
        <f>IFERROR(__xludf.DUMMYFUNCTION("""COMPUTED_VALUE"""),32.07)</f>
        <v>32.07</v>
      </c>
      <c r="E8" s="1">
        <f>IFERROR(__xludf.DUMMYFUNCTION("""COMPUTED_VALUE"""),32.65)</f>
        <v>32.65</v>
      </c>
      <c r="F8" s="1">
        <f>IFERROR(__xludf.DUMMYFUNCTION("""COMPUTED_VALUE"""),1686.0)</f>
        <v>1686</v>
      </c>
      <c r="G8" s="2" t="s">
        <v>9</v>
      </c>
    </row>
    <row r="9">
      <c r="A9" s="3">
        <f>IFERROR(__xludf.DUMMYFUNCTION("""COMPUTED_VALUE"""),44573.66666666667)</f>
        <v>44573.66667</v>
      </c>
      <c r="B9" s="1">
        <f>IFERROR(__xludf.DUMMYFUNCTION("""COMPUTED_VALUE"""),32.53)</f>
        <v>32.53</v>
      </c>
      <c r="C9" s="1">
        <f>IFERROR(__xludf.DUMMYFUNCTION("""COMPUTED_VALUE"""),32.68)</f>
        <v>32.68</v>
      </c>
      <c r="D9" s="1">
        <f>IFERROR(__xludf.DUMMYFUNCTION("""COMPUTED_VALUE"""),32.45)</f>
        <v>32.45</v>
      </c>
      <c r="E9" s="1">
        <f>IFERROR(__xludf.DUMMYFUNCTION("""COMPUTED_VALUE"""),32.5)</f>
        <v>32.5</v>
      </c>
      <c r="F9" s="1">
        <f>IFERROR(__xludf.DUMMYFUNCTION("""COMPUTED_VALUE"""),12743.0)</f>
        <v>12743</v>
      </c>
      <c r="G9" s="2" t="s">
        <v>9</v>
      </c>
    </row>
    <row r="10">
      <c r="A10" s="3">
        <f>IFERROR(__xludf.DUMMYFUNCTION("""COMPUTED_VALUE"""),44574.66666666667)</f>
        <v>44574.66667</v>
      </c>
      <c r="B10" s="1">
        <f>IFERROR(__xludf.DUMMYFUNCTION("""COMPUTED_VALUE"""),32.29)</f>
        <v>32.29</v>
      </c>
      <c r="C10" s="1">
        <f>IFERROR(__xludf.DUMMYFUNCTION("""COMPUTED_VALUE"""),32.29)</f>
        <v>32.29</v>
      </c>
      <c r="D10" s="1">
        <f>IFERROR(__xludf.DUMMYFUNCTION("""COMPUTED_VALUE"""),31.7)</f>
        <v>31.7</v>
      </c>
      <c r="E10" s="1">
        <f>IFERROR(__xludf.DUMMYFUNCTION("""COMPUTED_VALUE"""),31.7)</f>
        <v>31.7</v>
      </c>
      <c r="F10" s="1">
        <f>IFERROR(__xludf.DUMMYFUNCTION("""COMPUTED_VALUE"""),1510.0)</f>
        <v>1510</v>
      </c>
      <c r="G10" s="2" t="s">
        <v>9</v>
      </c>
    </row>
    <row r="11">
      <c r="A11" s="3">
        <f>IFERROR(__xludf.DUMMYFUNCTION("""COMPUTED_VALUE"""),44575.66666666667)</f>
        <v>44575.66667</v>
      </c>
      <c r="B11" s="1">
        <f>IFERROR(__xludf.DUMMYFUNCTION("""COMPUTED_VALUE"""),31.65)</f>
        <v>31.65</v>
      </c>
      <c r="C11" s="1">
        <f>IFERROR(__xludf.DUMMYFUNCTION("""COMPUTED_VALUE"""),31.65)</f>
        <v>31.65</v>
      </c>
      <c r="D11" s="1">
        <f>IFERROR(__xludf.DUMMYFUNCTION("""COMPUTED_VALUE"""),31.22)</f>
        <v>31.22</v>
      </c>
      <c r="E11" s="1">
        <f>IFERROR(__xludf.DUMMYFUNCTION("""COMPUTED_VALUE"""),31.61)</f>
        <v>31.61</v>
      </c>
      <c r="F11" s="1">
        <f>IFERROR(__xludf.DUMMYFUNCTION("""COMPUTED_VALUE"""),726.0)</f>
        <v>726</v>
      </c>
      <c r="G11" s="2" t="s">
        <v>9</v>
      </c>
    </row>
    <row r="12">
      <c r="A12" s="3">
        <f>IFERROR(__xludf.DUMMYFUNCTION("""COMPUTED_VALUE"""),44579.66666666667)</f>
        <v>44579.66667</v>
      </c>
      <c r="B12" s="1">
        <f>IFERROR(__xludf.DUMMYFUNCTION("""COMPUTED_VALUE"""),31.33)</f>
        <v>31.33</v>
      </c>
      <c r="C12" s="1">
        <f>IFERROR(__xludf.DUMMYFUNCTION("""COMPUTED_VALUE"""),31.33)</f>
        <v>31.33</v>
      </c>
      <c r="D12" s="1">
        <f>IFERROR(__xludf.DUMMYFUNCTION("""COMPUTED_VALUE"""),30.76)</f>
        <v>30.76</v>
      </c>
      <c r="E12" s="1">
        <f>IFERROR(__xludf.DUMMYFUNCTION("""COMPUTED_VALUE"""),30.76)</f>
        <v>30.76</v>
      </c>
      <c r="F12" s="1">
        <f>IFERROR(__xludf.DUMMYFUNCTION("""COMPUTED_VALUE"""),1914.0)</f>
        <v>1914</v>
      </c>
      <c r="G12" s="2" t="s">
        <v>9</v>
      </c>
    </row>
    <row r="13">
      <c r="A13" s="3">
        <f>IFERROR(__xludf.DUMMYFUNCTION("""COMPUTED_VALUE"""),44580.66666666667)</f>
        <v>44580.66667</v>
      </c>
      <c r="B13" s="1">
        <f>IFERROR(__xludf.DUMMYFUNCTION("""COMPUTED_VALUE"""),30.95)</f>
        <v>30.95</v>
      </c>
      <c r="C13" s="1">
        <f>IFERROR(__xludf.DUMMYFUNCTION("""COMPUTED_VALUE"""),30.95)</f>
        <v>30.95</v>
      </c>
      <c r="D13" s="1">
        <f>IFERROR(__xludf.DUMMYFUNCTION("""COMPUTED_VALUE"""),30.43)</f>
        <v>30.43</v>
      </c>
      <c r="E13" s="1">
        <f>IFERROR(__xludf.DUMMYFUNCTION("""COMPUTED_VALUE"""),30.43)</f>
        <v>30.43</v>
      </c>
      <c r="F13" s="1">
        <f>IFERROR(__xludf.DUMMYFUNCTION("""COMPUTED_VALUE"""),1046.0)</f>
        <v>1046</v>
      </c>
      <c r="G13" s="2" t="s">
        <v>9</v>
      </c>
    </row>
    <row r="14">
      <c r="A14" s="3">
        <f>IFERROR(__xludf.DUMMYFUNCTION("""COMPUTED_VALUE"""),44581.66666666667)</f>
        <v>44581.66667</v>
      </c>
      <c r="B14" s="1">
        <f>IFERROR(__xludf.DUMMYFUNCTION("""COMPUTED_VALUE"""),31.16)</f>
        <v>31.16</v>
      </c>
      <c r="C14" s="1">
        <f>IFERROR(__xludf.DUMMYFUNCTION("""COMPUTED_VALUE"""),31.16)</f>
        <v>31.16</v>
      </c>
      <c r="D14" s="1">
        <f>IFERROR(__xludf.DUMMYFUNCTION("""COMPUTED_VALUE"""),30.07)</f>
        <v>30.07</v>
      </c>
      <c r="E14" s="1">
        <f>IFERROR(__xludf.DUMMYFUNCTION("""COMPUTED_VALUE"""),30.07)</f>
        <v>30.07</v>
      </c>
      <c r="F14" s="1">
        <f>IFERROR(__xludf.DUMMYFUNCTION("""COMPUTED_VALUE"""),3383.0)</f>
        <v>3383</v>
      </c>
      <c r="G14" s="2" t="s">
        <v>9</v>
      </c>
    </row>
    <row r="15">
      <c r="A15" s="3">
        <f>IFERROR(__xludf.DUMMYFUNCTION("""COMPUTED_VALUE"""),44582.66666666667)</f>
        <v>44582.66667</v>
      </c>
      <c r="B15" s="1">
        <f>IFERROR(__xludf.DUMMYFUNCTION("""COMPUTED_VALUE"""),29.77)</f>
        <v>29.77</v>
      </c>
      <c r="C15" s="1">
        <f>IFERROR(__xludf.DUMMYFUNCTION("""COMPUTED_VALUE"""),29.98)</f>
        <v>29.98</v>
      </c>
      <c r="D15" s="1">
        <f>IFERROR(__xludf.DUMMYFUNCTION("""COMPUTED_VALUE"""),29.16)</f>
        <v>29.16</v>
      </c>
      <c r="E15" s="1">
        <f>IFERROR(__xludf.DUMMYFUNCTION("""COMPUTED_VALUE"""),29.18)</f>
        <v>29.18</v>
      </c>
      <c r="F15" s="1">
        <f>IFERROR(__xludf.DUMMYFUNCTION("""COMPUTED_VALUE"""),3400.0)</f>
        <v>3400</v>
      </c>
      <c r="G15" s="2" t="s">
        <v>9</v>
      </c>
    </row>
    <row r="16">
      <c r="A16" s="3">
        <f>IFERROR(__xludf.DUMMYFUNCTION("""COMPUTED_VALUE"""),44585.66666666667)</f>
        <v>44585.66667</v>
      </c>
      <c r="B16" s="1">
        <f>IFERROR(__xludf.DUMMYFUNCTION("""COMPUTED_VALUE"""),28.62)</f>
        <v>28.62</v>
      </c>
      <c r="C16" s="1">
        <f>IFERROR(__xludf.DUMMYFUNCTION("""COMPUTED_VALUE"""),29.51)</f>
        <v>29.51</v>
      </c>
      <c r="D16" s="1">
        <f>IFERROR(__xludf.DUMMYFUNCTION("""COMPUTED_VALUE"""),27.7)</f>
        <v>27.7</v>
      </c>
      <c r="E16" s="1">
        <f>IFERROR(__xludf.DUMMYFUNCTION("""COMPUTED_VALUE"""),29.51)</f>
        <v>29.51</v>
      </c>
      <c r="F16" s="1">
        <f>IFERROR(__xludf.DUMMYFUNCTION("""COMPUTED_VALUE"""),4826.0)</f>
        <v>4826</v>
      </c>
      <c r="G16" s="2" t="s">
        <v>9</v>
      </c>
    </row>
    <row r="17">
      <c r="A17" s="3">
        <f>IFERROR(__xludf.DUMMYFUNCTION("""COMPUTED_VALUE"""),44586.66666666667)</f>
        <v>44586.66667</v>
      </c>
      <c r="B17" s="1">
        <f>IFERROR(__xludf.DUMMYFUNCTION("""COMPUTED_VALUE"""),28.74)</f>
        <v>28.74</v>
      </c>
      <c r="C17" s="1">
        <f>IFERROR(__xludf.DUMMYFUNCTION("""COMPUTED_VALUE"""),29.26)</f>
        <v>29.26</v>
      </c>
      <c r="D17" s="1">
        <f>IFERROR(__xludf.DUMMYFUNCTION("""COMPUTED_VALUE"""),28.74)</f>
        <v>28.74</v>
      </c>
      <c r="E17" s="1">
        <f>IFERROR(__xludf.DUMMYFUNCTION("""COMPUTED_VALUE"""),28.79)</f>
        <v>28.79</v>
      </c>
      <c r="F17" s="1">
        <f>IFERROR(__xludf.DUMMYFUNCTION("""COMPUTED_VALUE"""),670.0)</f>
        <v>670</v>
      </c>
      <c r="G17" s="2" t="s">
        <v>9</v>
      </c>
    </row>
    <row r="18">
      <c r="A18" s="3">
        <f>IFERROR(__xludf.DUMMYFUNCTION("""COMPUTED_VALUE"""),44587.66666666667)</f>
        <v>44587.66667</v>
      </c>
      <c r="B18" s="1">
        <f>IFERROR(__xludf.DUMMYFUNCTION("""COMPUTED_VALUE"""),29.28)</f>
        <v>29.28</v>
      </c>
      <c r="C18" s="1">
        <f>IFERROR(__xludf.DUMMYFUNCTION("""COMPUTED_VALUE"""),29.35)</f>
        <v>29.35</v>
      </c>
      <c r="D18" s="1">
        <f>IFERROR(__xludf.DUMMYFUNCTION("""COMPUTED_VALUE"""),28.34)</f>
        <v>28.34</v>
      </c>
      <c r="E18" s="1">
        <f>IFERROR(__xludf.DUMMYFUNCTION("""COMPUTED_VALUE"""),28.34)</f>
        <v>28.34</v>
      </c>
      <c r="F18" s="1">
        <f>IFERROR(__xludf.DUMMYFUNCTION("""COMPUTED_VALUE"""),601.0)</f>
        <v>601</v>
      </c>
      <c r="G18" s="2" t="s">
        <v>9</v>
      </c>
    </row>
    <row r="19">
      <c r="A19" s="3">
        <f>IFERROR(__xludf.DUMMYFUNCTION("""COMPUTED_VALUE"""),44588.66666666667)</f>
        <v>44588.66667</v>
      </c>
      <c r="B19" s="1">
        <f>IFERROR(__xludf.DUMMYFUNCTION("""COMPUTED_VALUE"""),28.6)</f>
        <v>28.6</v>
      </c>
      <c r="C19" s="1">
        <f>IFERROR(__xludf.DUMMYFUNCTION("""COMPUTED_VALUE"""),28.6)</f>
        <v>28.6</v>
      </c>
      <c r="D19" s="1">
        <f>IFERROR(__xludf.DUMMYFUNCTION("""COMPUTED_VALUE"""),27.94)</f>
        <v>27.94</v>
      </c>
      <c r="E19" s="1">
        <f>IFERROR(__xludf.DUMMYFUNCTION("""COMPUTED_VALUE"""),27.94)</f>
        <v>27.94</v>
      </c>
      <c r="F19" s="1">
        <f>IFERROR(__xludf.DUMMYFUNCTION("""COMPUTED_VALUE"""),649.0)</f>
        <v>649</v>
      </c>
      <c r="G19" s="2" t="s">
        <v>9</v>
      </c>
    </row>
    <row r="20">
      <c r="A20" s="3">
        <f>IFERROR(__xludf.DUMMYFUNCTION("""COMPUTED_VALUE"""),44589.66666666667)</f>
        <v>44589.66667</v>
      </c>
      <c r="B20" s="1">
        <f>IFERROR(__xludf.DUMMYFUNCTION("""COMPUTED_VALUE"""),27.87)</f>
        <v>27.87</v>
      </c>
      <c r="C20" s="1">
        <f>IFERROR(__xludf.DUMMYFUNCTION("""COMPUTED_VALUE"""),28.73)</f>
        <v>28.73</v>
      </c>
      <c r="D20" s="1">
        <f>IFERROR(__xludf.DUMMYFUNCTION("""COMPUTED_VALUE"""),27.87)</f>
        <v>27.87</v>
      </c>
      <c r="E20" s="1">
        <f>IFERROR(__xludf.DUMMYFUNCTION("""COMPUTED_VALUE"""),28.73)</f>
        <v>28.73</v>
      </c>
      <c r="F20" s="1">
        <f>IFERROR(__xludf.DUMMYFUNCTION("""COMPUTED_VALUE"""),1696.0)</f>
        <v>1696</v>
      </c>
      <c r="G20" s="2" t="s">
        <v>9</v>
      </c>
    </row>
    <row r="21">
      <c r="A21" s="3">
        <f>IFERROR(__xludf.DUMMYFUNCTION("""COMPUTED_VALUE"""),44592.66666666667)</f>
        <v>44592.66667</v>
      </c>
      <c r="B21" s="1">
        <f>IFERROR(__xludf.DUMMYFUNCTION("""COMPUTED_VALUE"""),29.69)</f>
        <v>29.69</v>
      </c>
      <c r="C21" s="1">
        <f>IFERROR(__xludf.DUMMYFUNCTION("""COMPUTED_VALUE"""),30.1)</f>
        <v>30.1</v>
      </c>
      <c r="D21" s="1">
        <f>IFERROR(__xludf.DUMMYFUNCTION("""COMPUTED_VALUE"""),29.69)</f>
        <v>29.69</v>
      </c>
      <c r="E21" s="1">
        <f>IFERROR(__xludf.DUMMYFUNCTION("""COMPUTED_VALUE"""),30.1)</f>
        <v>30.1</v>
      </c>
      <c r="F21" s="1">
        <f>IFERROR(__xludf.DUMMYFUNCTION("""COMPUTED_VALUE"""),3296.0)</f>
        <v>3296</v>
      </c>
      <c r="G21" s="2" t="s">
        <v>9</v>
      </c>
    </row>
    <row r="22">
      <c r="A22" s="3">
        <f>IFERROR(__xludf.DUMMYFUNCTION("""COMPUTED_VALUE"""),44593.66666666667)</f>
        <v>44593.66667</v>
      </c>
      <c r="B22" s="1">
        <f>IFERROR(__xludf.DUMMYFUNCTION("""COMPUTED_VALUE"""),30.0)</f>
        <v>30</v>
      </c>
      <c r="C22" s="1">
        <f>IFERROR(__xludf.DUMMYFUNCTION("""COMPUTED_VALUE"""),30.57)</f>
        <v>30.57</v>
      </c>
      <c r="D22" s="1">
        <f>IFERROR(__xludf.DUMMYFUNCTION("""COMPUTED_VALUE"""),30.0)</f>
        <v>30</v>
      </c>
      <c r="E22" s="1">
        <f>IFERROR(__xludf.DUMMYFUNCTION("""COMPUTED_VALUE"""),30.57)</f>
        <v>30.57</v>
      </c>
      <c r="F22" s="1">
        <f>IFERROR(__xludf.DUMMYFUNCTION("""COMPUTED_VALUE"""),491.0)</f>
        <v>491</v>
      </c>
      <c r="G22" s="2" t="s">
        <v>9</v>
      </c>
    </row>
    <row r="23">
      <c r="A23" s="3">
        <f>IFERROR(__xludf.DUMMYFUNCTION("""COMPUTED_VALUE"""),44594.66666666667)</f>
        <v>44594.66667</v>
      </c>
      <c r="B23" s="1">
        <f>IFERROR(__xludf.DUMMYFUNCTION("""COMPUTED_VALUE"""),30.46)</f>
        <v>30.46</v>
      </c>
      <c r="C23" s="1">
        <f>IFERROR(__xludf.DUMMYFUNCTION("""COMPUTED_VALUE"""),30.46)</f>
        <v>30.46</v>
      </c>
      <c r="D23" s="1">
        <f>IFERROR(__xludf.DUMMYFUNCTION("""COMPUTED_VALUE"""),30.14)</f>
        <v>30.14</v>
      </c>
      <c r="E23" s="1">
        <f>IFERROR(__xludf.DUMMYFUNCTION("""COMPUTED_VALUE"""),30.2)</f>
        <v>30.2</v>
      </c>
      <c r="F23" s="1">
        <f>IFERROR(__xludf.DUMMYFUNCTION("""COMPUTED_VALUE"""),3737.0)</f>
        <v>3737</v>
      </c>
      <c r="G23" s="2" t="s">
        <v>9</v>
      </c>
    </row>
    <row r="24">
      <c r="A24" s="3">
        <f>IFERROR(__xludf.DUMMYFUNCTION("""COMPUTED_VALUE"""),44595.66666666667)</f>
        <v>44595.66667</v>
      </c>
      <c r="B24" s="1">
        <f>IFERROR(__xludf.DUMMYFUNCTION("""COMPUTED_VALUE"""),29.43)</f>
        <v>29.43</v>
      </c>
      <c r="C24" s="1">
        <f>IFERROR(__xludf.DUMMYFUNCTION("""COMPUTED_VALUE"""),29.44)</f>
        <v>29.44</v>
      </c>
      <c r="D24" s="1">
        <f>IFERROR(__xludf.DUMMYFUNCTION("""COMPUTED_VALUE"""),29.23)</f>
        <v>29.23</v>
      </c>
      <c r="E24" s="1">
        <f>IFERROR(__xludf.DUMMYFUNCTION("""COMPUTED_VALUE"""),29.23)</f>
        <v>29.23</v>
      </c>
      <c r="F24" s="1">
        <f>IFERROR(__xludf.DUMMYFUNCTION("""COMPUTED_VALUE"""),639.0)</f>
        <v>639</v>
      </c>
      <c r="G24" s="2" t="s">
        <v>9</v>
      </c>
    </row>
    <row r="25">
      <c r="A25" s="3">
        <f>IFERROR(__xludf.DUMMYFUNCTION("""COMPUTED_VALUE"""),44596.66666666667)</f>
        <v>44596.66667</v>
      </c>
      <c r="B25" s="1">
        <f>IFERROR(__xludf.DUMMYFUNCTION("""COMPUTED_VALUE"""),29.49)</f>
        <v>29.49</v>
      </c>
      <c r="C25" s="1">
        <f>IFERROR(__xludf.DUMMYFUNCTION("""COMPUTED_VALUE"""),29.89)</f>
        <v>29.89</v>
      </c>
      <c r="D25" s="1">
        <f>IFERROR(__xludf.DUMMYFUNCTION("""COMPUTED_VALUE"""),29.49)</f>
        <v>29.49</v>
      </c>
      <c r="E25" s="1">
        <f>IFERROR(__xludf.DUMMYFUNCTION("""COMPUTED_VALUE"""),29.79)</f>
        <v>29.79</v>
      </c>
      <c r="F25" s="1">
        <f>IFERROR(__xludf.DUMMYFUNCTION("""COMPUTED_VALUE"""),1128.0)</f>
        <v>1128</v>
      </c>
      <c r="G25" s="2" t="s">
        <v>9</v>
      </c>
    </row>
    <row r="26">
      <c r="A26" s="3">
        <f>IFERROR(__xludf.DUMMYFUNCTION("""COMPUTED_VALUE"""),44599.66666666667)</f>
        <v>44599.66667</v>
      </c>
      <c r="B26" s="1">
        <f>IFERROR(__xludf.DUMMYFUNCTION("""COMPUTED_VALUE"""),29.96)</f>
        <v>29.96</v>
      </c>
      <c r="C26" s="1">
        <f>IFERROR(__xludf.DUMMYFUNCTION("""COMPUTED_VALUE"""),29.96)</f>
        <v>29.96</v>
      </c>
      <c r="D26" s="1">
        <f>IFERROR(__xludf.DUMMYFUNCTION("""COMPUTED_VALUE"""),29.73)</f>
        <v>29.73</v>
      </c>
      <c r="E26" s="1">
        <f>IFERROR(__xludf.DUMMYFUNCTION("""COMPUTED_VALUE"""),29.73)</f>
        <v>29.73</v>
      </c>
      <c r="F26" s="1">
        <f>IFERROR(__xludf.DUMMYFUNCTION("""COMPUTED_VALUE"""),505.0)</f>
        <v>505</v>
      </c>
      <c r="G26" s="2" t="s">
        <v>9</v>
      </c>
    </row>
    <row r="27">
      <c r="A27" s="3">
        <f>IFERROR(__xludf.DUMMYFUNCTION("""COMPUTED_VALUE"""),44600.66666666667)</f>
        <v>44600.66667</v>
      </c>
      <c r="B27" s="1">
        <f>IFERROR(__xludf.DUMMYFUNCTION("""COMPUTED_VALUE"""),29.86)</f>
        <v>29.86</v>
      </c>
      <c r="C27" s="1">
        <f>IFERROR(__xludf.DUMMYFUNCTION("""COMPUTED_VALUE"""),30.03)</f>
        <v>30.03</v>
      </c>
      <c r="D27" s="1">
        <f>IFERROR(__xludf.DUMMYFUNCTION("""COMPUTED_VALUE"""),29.53)</f>
        <v>29.53</v>
      </c>
      <c r="E27" s="1">
        <f>IFERROR(__xludf.DUMMYFUNCTION("""COMPUTED_VALUE"""),30.03)</f>
        <v>30.03</v>
      </c>
      <c r="F27" s="1">
        <f>IFERROR(__xludf.DUMMYFUNCTION("""COMPUTED_VALUE"""),476.0)</f>
        <v>476</v>
      </c>
      <c r="G27" s="2" t="s">
        <v>9</v>
      </c>
    </row>
    <row r="28">
      <c r="A28" s="3">
        <f>IFERROR(__xludf.DUMMYFUNCTION("""COMPUTED_VALUE"""),44601.66666666667)</f>
        <v>44601.66667</v>
      </c>
      <c r="B28" s="1">
        <f>IFERROR(__xludf.DUMMYFUNCTION("""COMPUTED_VALUE"""),30.54)</f>
        <v>30.54</v>
      </c>
      <c r="C28" s="1">
        <f>IFERROR(__xludf.DUMMYFUNCTION("""COMPUTED_VALUE"""),30.98)</f>
        <v>30.98</v>
      </c>
      <c r="D28" s="1">
        <f>IFERROR(__xludf.DUMMYFUNCTION("""COMPUTED_VALUE"""),30.54)</f>
        <v>30.54</v>
      </c>
      <c r="E28" s="1">
        <f>IFERROR(__xludf.DUMMYFUNCTION("""COMPUTED_VALUE"""),30.98)</f>
        <v>30.98</v>
      </c>
      <c r="F28" s="1">
        <f>IFERROR(__xludf.DUMMYFUNCTION("""COMPUTED_VALUE"""),1012.0)</f>
        <v>1012</v>
      </c>
      <c r="G28" s="2" t="s">
        <v>9</v>
      </c>
    </row>
    <row r="29">
      <c r="A29" s="3">
        <f>IFERROR(__xludf.DUMMYFUNCTION("""COMPUTED_VALUE"""),44602.66666666667)</f>
        <v>44602.66667</v>
      </c>
      <c r="B29" s="1">
        <f>IFERROR(__xludf.DUMMYFUNCTION("""COMPUTED_VALUE"""),30.96)</f>
        <v>30.96</v>
      </c>
      <c r="C29" s="1">
        <f>IFERROR(__xludf.DUMMYFUNCTION("""COMPUTED_VALUE"""),31.23)</f>
        <v>31.23</v>
      </c>
      <c r="D29" s="1">
        <f>IFERROR(__xludf.DUMMYFUNCTION("""COMPUTED_VALUE"""),30.52)</f>
        <v>30.52</v>
      </c>
      <c r="E29" s="1">
        <f>IFERROR(__xludf.DUMMYFUNCTION("""COMPUTED_VALUE"""),30.52)</f>
        <v>30.52</v>
      </c>
      <c r="F29" s="1">
        <f>IFERROR(__xludf.DUMMYFUNCTION("""COMPUTED_VALUE"""),2380.0)</f>
        <v>2380</v>
      </c>
      <c r="G29" s="2" t="s">
        <v>9</v>
      </c>
    </row>
    <row r="30">
      <c r="A30" s="3">
        <f>IFERROR(__xludf.DUMMYFUNCTION("""COMPUTED_VALUE"""),44603.66666666667)</f>
        <v>44603.66667</v>
      </c>
      <c r="B30" s="1">
        <f>IFERROR(__xludf.DUMMYFUNCTION("""COMPUTED_VALUE"""),30.61)</f>
        <v>30.61</v>
      </c>
      <c r="C30" s="1">
        <f>IFERROR(__xludf.DUMMYFUNCTION("""COMPUTED_VALUE"""),30.63)</f>
        <v>30.63</v>
      </c>
      <c r="D30" s="1">
        <f>IFERROR(__xludf.DUMMYFUNCTION("""COMPUTED_VALUE"""),29.97)</f>
        <v>29.97</v>
      </c>
      <c r="E30" s="1">
        <f>IFERROR(__xludf.DUMMYFUNCTION("""COMPUTED_VALUE"""),29.97)</f>
        <v>29.97</v>
      </c>
      <c r="F30" s="1">
        <f>IFERROR(__xludf.DUMMYFUNCTION("""COMPUTED_VALUE"""),3802.0)</f>
        <v>3802</v>
      </c>
      <c r="G30" s="2" t="s">
        <v>9</v>
      </c>
    </row>
    <row r="31">
      <c r="A31" s="3">
        <f>IFERROR(__xludf.DUMMYFUNCTION("""COMPUTED_VALUE"""),44606.66666666667)</f>
        <v>44606.66667</v>
      </c>
      <c r="B31" s="1">
        <f>IFERROR(__xludf.DUMMYFUNCTION("""COMPUTED_VALUE"""),29.97)</f>
        <v>29.97</v>
      </c>
      <c r="C31" s="1">
        <f>IFERROR(__xludf.DUMMYFUNCTION("""COMPUTED_VALUE"""),29.97)</f>
        <v>29.97</v>
      </c>
      <c r="D31" s="1">
        <f>IFERROR(__xludf.DUMMYFUNCTION("""COMPUTED_VALUE"""),29.57)</f>
        <v>29.57</v>
      </c>
      <c r="E31" s="1">
        <f>IFERROR(__xludf.DUMMYFUNCTION("""COMPUTED_VALUE"""),29.69)</f>
        <v>29.69</v>
      </c>
      <c r="F31" s="1">
        <f>IFERROR(__xludf.DUMMYFUNCTION("""COMPUTED_VALUE"""),1247.0)</f>
        <v>1247</v>
      </c>
      <c r="G31" s="2" t="s">
        <v>9</v>
      </c>
    </row>
    <row r="32">
      <c r="A32" s="3">
        <f>IFERROR(__xludf.DUMMYFUNCTION("""COMPUTED_VALUE"""),44607.66666666667)</f>
        <v>44607.66667</v>
      </c>
      <c r="B32" s="1">
        <f>IFERROR(__xludf.DUMMYFUNCTION("""COMPUTED_VALUE"""),29.74)</f>
        <v>29.74</v>
      </c>
      <c r="C32" s="1">
        <f>IFERROR(__xludf.DUMMYFUNCTION("""COMPUTED_VALUE"""),30.6)</f>
        <v>30.6</v>
      </c>
      <c r="D32" s="1">
        <f>IFERROR(__xludf.DUMMYFUNCTION("""COMPUTED_VALUE"""),29.74)</f>
        <v>29.74</v>
      </c>
      <c r="E32" s="1">
        <f>IFERROR(__xludf.DUMMYFUNCTION("""COMPUTED_VALUE"""),30.6)</f>
        <v>30.6</v>
      </c>
      <c r="F32" s="1">
        <f>IFERROR(__xludf.DUMMYFUNCTION("""COMPUTED_VALUE"""),1440.0)</f>
        <v>1440</v>
      </c>
      <c r="G32" s="2" t="s">
        <v>9</v>
      </c>
    </row>
    <row r="33">
      <c r="A33" s="3">
        <f>IFERROR(__xludf.DUMMYFUNCTION("""COMPUTED_VALUE"""),44608.66666666667)</f>
        <v>44608.66667</v>
      </c>
      <c r="B33" s="1">
        <f>IFERROR(__xludf.DUMMYFUNCTION("""COMPUTED_VALUE"""),30.14)</f>
        <v>30.14</v>
      </c>
      <c r="C33" s="1">
        <f>IFERROR(__xludf.DUMMYFUNCTION("""COMPUTED_VALUE"""),30.28)</f>
        <v>30.28</v>
      </c>
      <c r="D33" s="1">
        <f>IFERROR(__xludf.DUMMYFUNCTION("""COMPUTED_VALUE"""),30.14)</f>
        <v>30.14</v>
      </c>
      <c r="E33" s="1">
        <f>IFERROR(__xludf.DUMMYFUNCTION("""COMPUTED_VALUE"""),30.28)</f>
        <v>30.28</v>
      </c>
      <c r="F33" s="1">
        <f>IFERROR(__xludf.DUMMYFUNCTION("""COMPUTED_VALUE"""),734.0)</f>
        <v>734</v>
      </c>
      <c r="G33" s="2" t="s">
        <v>9</v>
      </c>
    </row>
    <row r="34">
      <c r="A34" s="3">
        <f>IFERROR(__xludf.DUMMYFUNCTION("""COMPUTED_VALUE"""),44609.66666666667)</f>
        <v>44609.66667</v>
      </c>
      <c r="B34" s="1">
        <f>IFERROR(__xludf.DUMMYFUNCTION("""COMPUTED_VALUE"""),29.76)</f>
        <v>29.76</v>
      </c>
      <c r="C34" s="1">
        <f>IFERROR(__xludf.DUMMYFUNCTION("""COMPUTED_VALUE"""),29.78)</f>
        <v>29.78</v>
      </c>
      <c r="D34" s="1">
        <f>IFERROR(__xludf.DUMMYFUNCTION("""COMPUTED_VALUE"""),29.2)</f>
        <v>29.2</v>
      </c>
      <c r="E34" s="1">
        <f>IFERROR(__xludf.DUMMYFUNCTION("""COMPUTED_VALUE"""),29.2)</f>
        <v>29.2</v>
      </c>
      <c r="F34" s="1">
        <f>IFERROR(__xludf.DUMMYFUNCTION("""COMPUTED_VALUE"""),12343.0)</f>
        <v>12343</v>
      </c>
      <c r="G34" s="2" t="s">
        <v>9</v>
      </c>
    </row>
    <row r="35">
      <c r="A35" s="3">
        <f>IFERROR(__xludf.DUMMYFUNCTION("""COMPUTED_VALUE"""),44610.66666666667)</f>
        <v>44610.66667</v>
      </c>
      <c r="B35" s="1">
        <f>IFERROR(__xludf.DUMMYFUNCTION("""COMPUTED_VALUE"""),28.8)</f>
        <v>28.8</v>
      </c>
      <c r="C35" s="1">
        <f>IFERROR(__xludf.DUMMYFUNCTION("""COMPUTED_VALUE"""),28.8)</f>
        <v>28.8</v>
      </c>
      <c r="D35" s="1">
        <f>IFERROR(__xludf.DUMMYFUNCTION("""COMPUTED_VALUE"""),28.65)</f>
        <v>28.65</v>
      </c>
      <c r="E35" s="1">
        <f>IFERROR(__xludf.DUMMYFUNCTION("""COMPUTED_VALUE"""),28.65)</f>
        <v>28.65</v>
      </c>
      <c r="F35" s="1">
        <f>IFERROR(__xludf.DUMMYFUNCTION("""COMPUTED_VALUE"""),2291.0)</f>
        <v>2291</v>
      </c>
      <c r="G35" s="2" t="s">
        <v>9</v>
      </c>
    </row>
    <row r="36">
      <c r="A36" s="3">
        <f>IFERROR(__xludf.DUMMYFUNCTION("""COMPUTED_VALUE"""),44614.66666666667)</f>
        <v>44614.66667</v>
      </c>
      <c r="B36" s="1">
        <f>IFERROR(__xludf.DUMMYFUNCTION("""COMPUTED_VALUE"""),28.66)</f>
        <v>28.66</v>
      </c>
      <c r="C36" s="1">
        <f>IFERROR(__xludf.DUMMYFUNCTION("""COMPUTED_VALUE"""),28.81)</f>
        <v>28.81</v>
      </c>
      <c r="D36" s="1">
        <f>IFERROR(__xludf.DUMMYFUNCTION("""COMPUTED_VALUE"""),28.3)</f>
        <v>28.3</v>
      </c>
      <c r="E36" s="1">
        <f>IFERROR(__xludf.DUMMYFUNCTION("""COMPUTED_VALUE"""),28.3)</f>
        <v>28.3</v>
      </c>
      <c r="F36" s="1">
        <f>IFERROR(__xludf.DUMMYFUNCTION("""COMPUTED_VALUE"""),1491.0)</f>
        <v>1491</v>
      </c>
      <c r="G36" s="2" t="s">
        <v>9</v>
      </c>
    </row>
    <row r="37">
      <c r="A37" s="3">
        <f>IFERROR(__xludf.DUMMYFUNCTION("""COMPUTED_VALUE"""),44615.66666666667)</f>
        <v>44615.66667</v>
      </c>
      <c r="B37" s="1">
        <f>IFERROR(__xludf.DUMMYFUNCTION("""COMPUTED_VALUE"""),28.12)</f>
        <v>28.12</v>
      </c>
      <c r="C37" s="1">
        <f>IFERROR(__xludf.DUMMYFUNCTION("""COMPUTED_VALUE"""),28.15)</f>
        <v>28.15</v>
      </c>
      <c r="D37" s="1">
        <f>IFERROR(__xludf.DUMMYFUNCTION("""COMPUTED_VALUE"""),27.47)</f>
        <v>27.47</v>
      </c>
      <c r="E37" s="1">
        <f>IFERROR(__xludf.DUMMYFUNCTION("""COMPUTED_VALUE"""),27.48)</f>
        <v>27.48</v>
      </c>
      <c r="F37" s="1">
        <f>IFERROR(__xludf.DUMMYFUNCTION("""COMPUTED_VALUE"""),1551.0)</f>
        <v>1551</v>
      </c>
      <c r="G37" s="2" t="s">
        <v>9</v>
      </c>
    </row>
    <row r="38">
      <c r="A38" s="3">
        <f>IFERROR(__xludf.DUMMYFUNCTION("""COMPUTED_VALUE"""),44616.66666666667)</f>
        <v>44616.66667</v>
      </c>
      <c r="B38" s="1">
        <f>IFERROR(__xludf.DUMMYFUNCTION("""COMPUTED_VALUE"""),26.5)</f>
        <v>26.5</v>
      </c>
      <c r="C38" s="1">
        <f>IFERROR(__xludf.DUMMYFUNCTION("""COMPUTED_VALUE"""),28.44)</f>
        <v>28.44</v>
      </c>
      <c r="D38" s="1">
        <f>IFERROR(__xludf.DUMMYFUNCTION("""COMPUTED_VALUE"""),26.5)</f>
        <v>26.5</v>
      </c>
      <c r="E38" s="1">
        <f>IFERROR(__xludf.DUMMYFUNCTION("""COMPUTED_VALUE"""),28.44)</f>
        <v>28.44</v>
      </c>
      <c r="F38" s="1">
        <f>IFERROR(__xludf.DUMMYFUNCTION("""COMPUTED_VALUE"""),6220.0)</f>
        <v>6220</v>
      </c>
      <c r="G38" s="2" t="s">
        <v>9</v>
      </c>
    </row>
    <row r="39">
      <c r="A39" s="3">
        <f>IFERROR(__xludf.DUMMYFUNCTION("""COMPUTED_VALUE"""),44617.66666666667)</f>
        <v>44617.66667</v>
      </c>
      <c r="B39" s="1">
        <f>IFERROR(__xludf.DUMMYFUNCTION("""COMPUTED_VALUE"""),28.6)</f>
        <v>28.6</v>
      </c>
      <c r="C39" s="1">
        <f>IFERROR(__xludf.DUMMYFUNCTION("""COMPUTED_VALUE"""),29.09)</f>
        <v>29.09</v>
      </c>
      <c r="D39" s="1">
        <f>IFERROR(__xludf.DUMMYFUNCTION("""COMPUTED_VALUE"""),28.44)</f>
        <v>28.44</v>
      </c>
      <c r="E39" s="1">
        <f>IFERROR(__xludf.DUMMYFUNCTION("""COMPUTED_VALUE"""),29.09)</f>
        <v>29.09</v>
      </c>
      <c r="F39" s="1">
        <f>IFERROR(__xludf.DUMMYFUNCTION("""COMPUTED_VALUE"""),893.0)</f>
        <v>893</v>
      </c>
      <c r="G39" s="2" t="s">
        <v>9</v>
      </c>
    </row>
    <row r="40">
      <c r="A40" s="3">
        <f>IFERROR(__xludf.DUMMYFUNCTION("""COMPUTED_VALUE"""),44620.66666666667)</f>
        <v>44620.66667</v>
      </c>
      <c r="B40" s="1">
        <f>IFERROR(__xludf.DUMMYFUNCTION("""COMPUTED_VALUE"""),29.12)</f>
        <v>29.12</v>
      </c>
      <c r="C40" s="1">
        <f>IFERROR(__xludf.DUMMYFUNCTION("""COMPUTED_VALUE"""),29.37)</f>
        <v>29.37</v>
      </c>
      <c r="D40" s="1">
        <f>IFERROR(__xludf.DUMMYFUNCTION("""COMPUTED_VALUE"""),29.12)</f>
        <v>29.12</v>
      </c>
      <c r="E40" s="1">
        <f>IFERROR(__xludf.DUMMYFUNCTION("""COMPUTED_VALUE"""),29.37)</f>
        <v>29.37</v>
      </c>
      <c r="F40" s="1">
        <f>IFERROR(__xludf.DUMMYFUNCTION("""COMPUTED_VALUE"""),3921.0)</f>
        <v>3921</v>
      </c>
      <c r="G40" s="2" t="s">
        <v>9</v>
      </c>
    </row>
    <row r="41">
      <c r="A41" s="3">
        <f>IFERROR(__xludf.DUMMYFUNCTION("""COMPUTED_VALUE"""),44621.66666666667)</f>
        <v>44621.66667</v>
      </c>
      <c r="B41" s="1">
        <f>IFERROR(__xludf.DUMMYFUNCTION("""COMPUTED_VALUE"""),29.1)</f>
        <v>29.1</v>
      </c>
      <c r="C41" s="1">
        <f>IFERROR(__xludf.DUMMYFUNCTION("""COMPUTED_VALUE"""),29.39)</f>
        <v>29.39</v>
      </c>
      <c r="D41" s="1">
        <f>IFERROR(__xludf.DUMMYFUNCTION("""COMPUTED_VALUE"""),28.92)</f>
        <v>28.92</v>
      </c>
      <c r="E41" s="1">
        <f>IFERROR(__xludf.DUMMYFUNCTION("""COMPUTED_VALUE"""),28.93)</f>
        <v>28.93</v>
      </c>
      <c r="F41" s="1">
        <f>IFERROR(__xludf.DUMMYFUNCTION("""COMPUTED_VALUE"""),2305.0)</f>
        <v>2305</v>
      </c>
      <c r="G41" s="2" t="s">
        <v>9</v>
      </c>
    </row>
    <row r="42">
      <c r="A42" s="3">
        <f>IFERROR(__xludf.DUMMYFUNCTION("""COMPUTED_VALUE"""),44622.66666666667)</f>
        <v>44622.66667</v>
      </c>
      <c r="B42" s="1">
        <f>IFERROR(__xludf.DUMMYFUNCTION("""COMPUTED_VALUE"""),29.32)</f>
        <v>29.32</v>
      </c>
      <c r="C42" s="1">
        <f>IFERROR(__xludf.DUMMYFUNCTION("""COMPUTED_VALUE"""),29.52)</f>
        <v>29.52</v>
      </c>
      <c r="D42" s="1">
        <f>IFERROR(__xludf.DUMMYFUNCTION("""COMPUTED_VALUE"""),29.32)</f>
        <v>29.32</v>
      </c>
      <c r="E42" s="1">
        <f>IFERROR(__xludf.DUMMYFUNCTION("""COMPUTED_VALUE"""),29.44)</f>
        <v>29.44</v>
      </c>
      <c r="F42" s="1">
        <f>IFERROR(__xludf.DUMMYFUNCTION("""COMPUTED_VALUE"""),373.0)</f>
        <v>373</v>
      </c>
      <c r="G42" s="2" t="s">
        <v>9</v>
      </c>
    </row>
    <row r="43">
      <c r="A43" s="3">
        <f>IFERROR(__xludf.DUMMYFUNCTION("""COMPUTED_VALUE"""),44623.66666666667)</f>
        <v>44623.66667</v>
      </c>
      <c r="B43" s="1">
        <f>IFERROR(__xludf.DUMMYFUNCTION("""COMPUTED_VALUE"""),29.14)</f>
        <v>29.14</v>
      </c>
      <c r="C43" s="1">
        <f>IFERROR(__xludf.DUMMYFUNCTION("""COMPUTED_VALUE"""),29.14)</f>
        <v>29.14</v>
      </c>
      <c r="D43" s="1">
        <f>IFERROR(__xludf.DUMMYFUNCTION("""COMPUTED_VALUE"""),28.75)</f>
        <v>28.75</v>
      </c>
      <c r="E43" s="1">
        <f>IFERROR(__xludf.DUMMYFUNCTION("""COMPUTED_VALUE"""),28.75)</f>
        <v>28.75</v>
      </c>
      <c r="F43" s="1">
        <f>IFERROR(__xludf.DUMMYFUNCTION("""COMPUTED_VALUE"""),864.0)</f>
        <v>864</v>
      </c>
      <c r="G43" s="2" t="s">
        <v>9</v>
      </c>
    </row>
    <row r="44">
      <c r="A44" s="3">
        <f>IFERROR(__xludf.DUMMYFUNCTION("""COMPUTED_VALUE"""),44624.66666666667)</f>
        <v>44624.66667</v>
      </c>
      <c r="B44" s="1">
        <f>IFERROR(__xludf.DUMMYFUNCTION("""COMPUTED_VALUE"""),28.33)</f>
        <v>28.33</v>
      </c>
      <c r="C44" s="1">
        <f>IFERROR(__xludf.DUMMYFUNCTION("""COMPUTED_VALUE"""),28.51)</f>
        <v>28.51</v>
      </c>
      <c r="D44" s="1">
        <f>IFERROR(__xludf.DUMMYFUNCTION("""COMPUTED_VALUE"""),28.07)</f>
        <v>28.07</v>
      </c>
      <c r="E44" s="1">
        <f>IFERROR(__xludf.DUMMYFUNCTION("""COMPUTED_VALUE"""),28.14)</f>
        <v>28.14</v>
      </c>
      <c r="F44" s="1">
        <f>IFERROR(__xludf.DUMMYFUNCTION("""COMPUTED_VALUE"""),2319.0)</f>
        <v>2319</v>
      </c>
      <c r="G44" s="2" t="s">
        <v>9</v>
      </c>
    </row>
    <row r="45">
      <c r="A45" s="3">
        <f>IFERROR(__xludf.DUMMYFUNCTION("""COMPUTED_VALUE"""),44627.66666666667)</f>
        <v>44627.66667</v>
      </c>
      <c r="B45" s="1">
        <f>IFERROR(__xludf.DUMMYFUNCTION("""COMPUTED_VALUE"""),27.17)</f>
        <v>27.17</v>
      </c>
      <c r="C45" s="1">
        <f>IFERROR(__xludf.DUMMYFUNCTION("""COMPUTED_VALUE"""),27.17)</f>
        <v>27.17</v>
      </c>
      <c r="D45" s="1">
        <f>IFERROR(__xludf.DUMMYFUNCTION("""COMPUTED_VALUE"""),27.09)</f>
        <v>27.09</v>
      </c>
      <c r="E45" s="1">
        <f>IFERROR(__xludf.DUMMYFUNCTION("""COMPUTED_VALUE"""),27.09)</f>
        <v>27.09</v>
      </c>
      <c r="F45" s="1">
        <f>IFERROR(__xludf.DUMMYFUNCTION("""COMPUTED_VALUE"""),316.0)</f>
        <v>316</v>
      </c>
      <c r="G45" s="2" t="s">
        <v>9</v>
      </c>
    </row>
    <row r="46">
      <c r="A46" s="3">
        <f>IFERROR(__xludf.DUMMYFUNCTION("""COMPUTED_VALUE"""),44628.66666666667)</f>
        <v>44628.66667</v>
      </c>
      <c r="B46" s="1">
        <f>IFERROR(__xludf.DUMMYFUNCTION("""COMPUTED_VALUE"""),27.09)</f>
        <v>27.09</v>
      </c>
      <c r="C46" s="1">
        <f>IFERROR(__xludf.DUMMYFUNCTION("""COMPUTED_VALUE"""),27.71)</f>
        <v>27.71</v>
      </c>
      <c r="D46" s="1">
        <f>IFERROR(__xludf.DUMMYFUNCTION("""COMPUTED_VALUE"""),27.09)</f>
        <v>27.09</v>
      </c>
      <c r="E46" s="1">
        <f>IFERROR(__xludf.DUMMYFUNCTION("""COMPUTED_VALUE"""),27.13)</f>
        <v>27.13</v>
      </c>
      <c r="F46" s="1">
        <f>IFERROR(__xludf.DUMMYFUNCTION("""COMPUTED_VALUE"""),620.0)</f>
        <v>620</v>
      </c>
      <c r="G46" s="2" t="s">
        <v>9</v>
      </c>
    </row>
    <row r="47">
      <c r="A47" s="3">
        <f>IFERROR(__xludf.DUMMYFUNCTION("""COMPUTED_VALUE"""),44629.66666666667)</f>
        <v>44629.66667</v>
      </c>
      <c r="B47" s="1">
        <f>IFERROR(__xludf.DUMMYFUNCTION("""COMPUTED_VALUE"""),27.95)</f>
        <v>27.95</v>
      </c>
      <c r="C47" s="1">
        <f>IFERROR(__xludf.DUMMYFUNCTION("""COMPUTED_VALUE"""),28.29)</f>
        <v>28.29</v>
      </c>
      <c r="D47" s="1">
        <f>IFERROR(__xludf.DUMMYFUNCTION("""COMPUTED_VALUE"""),27.95)</f>
        <v>27.95</v>
      </c>
      <c r="E47" s="1">
        <f>IFERROR(__xludf.DUMMYFUNCTION("""COMPUTED_VALUE"""),28.11)</f>
        <v>28.11</v>
      </c>
      <c r="F47" s="1">
        <f>IFERROR(__xludf.DUMMYFUNCTION("""COMPUTED_VALUE"""),1848.0)</f>
        <v>1848</v>
      </c>
      <c r="G47" s="2" t="s">
        <v>9</v>
      </c>
    </row>
    <row r="48">
      <c r="A48" s="3">
        <f>IFERROR(__xludf.DUMMYFUNCTION("""COMPUTED_VALUE"""),44630.66666666667)</f>
        <v>44630.66667</v>
      </c>
      <c r="B48" s="1">
        <f>IFERROR(__xludf.DUMMYFUNCTION("""COMPUTED_VALUE"""),27.69)</f>
        <v>27.69</v>
      </c>
      <c r="C48" s="1">
        <f>IFERROR(__xludf.DUMMYFUNCTION("""COMPUTED_VALUE"""),27.85)</f>
        <v>27.85</v>
      </c>
      <c r="D48" s="1">
        <f>IFERROR(__xludf.DUMMYFUNCTION("""COMPUTED_VALUE"""),27.69)</f>
        <v>27.69</v>
      </c>
      <c r="E48" s="1">
        <f>IFERROR(__xludf.DUMMYFUNCTION("""COMPUTED_VALUE"""),27.85)</f>
        <v>27.85</v>
      </c>
      <c r="F48" s="1">
        <f>IFERROR(__xludf.DUMMYFUNCTION("""COMPUTED_VALUE"""),202.0)</f>
        <v>202</v>
      </c>
      <c r="G48" s="2" t="s">
        <v>9</v>
      </c>
    </row>
    <row r="49">
      <c r="A49" s="3">
        <f>IFERROR(__xludf.DUMMYFUNCTION("""COMPUTED_VALUE"""),44631.66666666667)</f>
        <v>44631.66667</v>
      </c>
      <c r="B49" s="1">
        <f>IFERROR(__xludf.DUMMYFUNCTION("""COMPUTED_VALUE"""),27.43)</f>
        <v>27.43</v>
      </c>
      <c r="C49" s="1">
        <f>IFERROR(__xludf.DUMMYFUNCTION("""COMPUTED_VALUE"""),27.45)</f>
        <v>27.45</v>
      </c>
      <c r="D49" s="1">
        <f>IFERROR(__xludf.DUMMYFUNCTION("""COMPUTED_VALUE"""),27.15)</f>
        <v>27.15</v>
      </c>
      <c r="E49" s="1">
        <f>IFERROR(__xludf.DUMMYFUNCTION("""COMPUTED_VALUE"""),27.15)</f>
        <v>27.15</v>
      </c>
      <c r="F49" s="1">
        <f>IFERROR(__xludf.DUMMYFUNCTION("""COMPUTED_VALUE"""),458.0)</f>
        <v>458</v>
      </c>
      <c r="G49" s="2" t="s">
        <v>9</v>
      </c>
    </row>
    <row r="50">
      <c r="A50" s="3">
        <f>IFERROR(__xludf.DUMMYFUNCTION("""COMPUTED_VALUE"""),44634.66666666667)</f>
        <v>44634.66667</v>
      </c>
      <c r="B50" s="1">
        <f>IFERROR(__xludf.DUMMYFUNCTION("""COMPUTED_VALUE"""),27.43)</f>
        <v>27.43</v>
      </c>
      <c r="C50" s="1">
        <f>IFERROR(__xludf.DUMMYFUNCTION("""COMPUTED_VALUE"""),27.43)</f>
        <v>27.43</v>
      </c>
      <c r="D50" s="1">
        <f>IFERROR(__xludf.DUMMYFUNCTION("""COMPUTED_VALUE"""),26.55)</f>
        <v>26.55</v>
      </c>
      <c r="E50" s="1">
        <f>IFERROR(__xludf.DUMMYFUNCTION("""COMPUTED_VALUE"""),26.55)</f>
        <v>26.55</v>
      </c>
      <c r="F50" s="1">
        <f>IFERROR(__xludf.DUMMYFUNCTION("""COMPUTED_VALUE"""),2094.0)</f>
        <v>2094</v>
      </c>
      <c r="G50" s="2" t="s">
        <v>9</v>
      </c>
    </row>
    <row r="51">
      <c r="A51" s="3">
        <f>IFERROR(__xludf.DUMMYFUNCTION("""COMPUTED_VALUE"""),44635.66666666667)</f>
        <v>44635.66667</v>
      </c>
      <c r="B51" s="1">
        <f>IFERROR(__xludf.DUMMYFUNCTION("""COMPUTED_VALUE"""),27.1)</f>
        <v>27.1</v>
      </c>
      <c r="C51" s="1">
        <f>IFERROR(__xludf.DUMMYFUNCTION("""COMPUTED_VALUE"""),27.1)</f>
        <v>27.1</v>
      </c>
      <c r="D51" s="1">
        <f>IFERROR(__xludf.DUMMYFUNCTION("""COMPUTED_VALUE"""),27.1)</f>
        <v>27.1</v>
      </c>
      <c r="E51" s="1">
        <f>IFERROR(__xludf.DUMMYFUNCTION("""COMPUTED_VALUE"""),27.1)</f>
        <v>27.1</v>
      </c>
      <c r="F51" s="1">
        <f>IFERROR(__xludf.DUMMYFUNCTION("""COMPUTED_VALUE"""),75.0)</f>
        <v>75</v>
      </c>
      <c r="G51" s="2" t="s">
        <v>9</v>
      </c>
    </row>
    <row r="52">
      <c r="A52" s="3">
        <f>IFERROR(__xludf.DUMMYFUNCTION("""COMPUTED_VALUE"""),44636.66666666667)</f>
        <v>44636.66667</v>
      </c>
      <c r="B52" s="1">
        <f>IFERROR(__xludf.DUMMYFUNCTION("""COMPUTED_VALUE"""),27.16)</f>
        <v>27.16</v>
      </c>
      <c r="C52" s="1">
        <f>IFERROR(__xludf.DUMMYFUNCTION("""COMPUTED_VALUE"""),28.17)</f>
        <v>28.17</v>
      </c>
      <c r="D52" s="1">
        <f>IFERROR(__xludf.DUMMYFUNCTION("""COMPUTED_VALUE"""),27.16)</f>
        <v>27.16</v>
      </c>
      <c r="E52" s="1">
        <f>IFERROR(__xludf.DUMMYFUNCTION("""COMPUTED_VALUE"""),28.17)</f>
        <v>28.17</v>
      </c>
      <c r="F52" s="1">
        <f>IFERROR(__xludf.DUMMYFUNCTION("""COMPUTED_VALUE"""),2889.0)</f>
        <v>2889</v>
      </c>
      <c r="G52" s="2" t="s">
        <v>9</v>
      </c>
    </row>
    <row r="53">
      <c r="A53" s="3">
        <f>IFERROR(__xludf.DUMMYFUNCTION("""COMPUTED_VALUE"""),44637.66666666667)</f>
        <v>44637.66667</v>
      </c>
      <c r="B53" s="1">
        <f>IFERROR(__xludf.DUMMYFUNCTION("""COMPUTED_VALUE"""),27.95)</f>
        <v>27.95</v>
      </c>
      <c r="C53" s="1">
        <f>IFERROR(__xludf.DUMMYFUNCTION("""COMPUTED_VALUE"""),28.95)</f>
        <v>28.95</v>
      </c>
      <c r="D53" s="1">
        <f>IFERROR(__xludf.DUMMYFUNCTION("""COMPUTED_VALUE"""),27.95)</f>
        <v>27.95</v>
      </c>
      <c r="E53" s="1">
        <f>IFERROR(__xludf.DUMMYFUNCTION("""COMPUTED_VALUE"""),28.95)</f>
        <v>28.95</v>
      </c>
      <c r="F53" s="1">
        <f>IFERROR(__xludf.DUMMYFUNCTION("""COMPUTED_VALUE"""),1091.0)</f>
        <v>1091</v>
      </c>
      <c r="G53" s="2" t="s">
        <v>9</v>
      </c>
    </row>
    <row r="54">
      <c r="A54" s="3">
        <f>IFERROR(__xludf.DUMMYFUNCTION("""COMPUTED_VALUE"""),44638.66666666667)</f>
        <v>44638.66667</v>
      </c>
      <c r="B54" s="1">
        <f>IFERROR(__xludf.DUMMYFUNCTION("""COMPUTED_VALUE"""),29.31)</f>
        <v>29.31</v>
      </c>
      <c r="C54" s="1">
        <f>IFERROR(__xludf.DUMMYFUNCTION("""COMPUTED_VALUE"""),29.7)</f>
        <v>29.7</v>
      </c>
      <c r="D54" s="1">
        <f>IFERROR(__xludf.DUMMYFUNCTION("""COMPUTED_VALUE"""),29.3)</f>
        <v>29.3</v>
      </c>
      <c r="E54" s="1">
        <f>IFERROR(__xludf.DUMMYFUNCTION("""COMPUTED_VALUE"""),29.7)</f>
        <v>29.7</v>
      </c>
      <c r="F54" s="1">
        <f>IFERROR(__xludf.DUMMYFUNCTION("""COMPUTED_VALUE"""),929.0)</f>
        <v>929</v>
      </c>
      <c r="G54" s="2" t="s">
        <v>9</v>
      </c>
    </row>
    <row r="55">
      <c r="A55" s="3">
        <f>IFERROR(__xludf.DUMMYFUNCTION("""COMPUTED_VALUE"""),44641.66666666667)</f>
        <v>44641.66667</v>
      </c>
      <c r="B55" s="1">
        <f>IFERROR(__xludf.DUMMYFUNCTION("""COMPUTED_VALUE"""),29.15)</f>
        <v>29.15</v>
      </c>
      <c r="C55" s="1">
        <f>IFERROR(__xludf.DUMMYFUNCTION("""COMPUTED_VALUE"""),29.53)</f>
        <v>29.53</v>
      </c>
      <c r="D55" s="1">
        <f>IFERROR(__xludf.DUMMYFUNCTION("""COMPUTED_VALUE"""),29.15)</f>
        <v>29.15</v>
      </c>
      <c r="E55" s="1">
        <f>IFERROR(__xludf.DUMMYFUNCTION("""COMPUTED_VALUE"""),29.45)</f>
        <v>29.45</v>
      </c>
      <c r="F55" s="1">
        <f>IFERROR(__xludf.DUMMYFUNCTION("""COMPUTED_VALUE"""),7067.0)</f>
        <v>7067</v>
      </c>
      <c r="G55" s="2" t="s">
        <v>9</v>
      </c>
    </row>
    <row r="56">
      <c r="A56" s="3">
        <f>IFERROR(__xludf.DUMMYFUNCTION("""COMPUTED_VALUE"""),44642.66666666667)</f>
        <v>44642.66667</v>
      </c>
      <c r="B56" s="1">
        <f>IFERROR(__xludf.DUMMYFUNCTION("""COMPUTED_VALUE"""),29.97)</f>
        <v>29.97</v>
      </c>
      <c r="C56" s="1">
        <f>IFERROR(__xludf.DUMMYFUNCTION("""COMPUTED_VALUE"""),30.02)</f>
        <v>30.02</v>
      </c>
      <c r="D56" s="1">
        <f>IFERROR(__xludf.DUMMYFUNCTION("""COMPUTED_VALUE"""),29.91)</f>
        <v>29.91</v>
      </c>
      <c r="E56" s="1">
        <f>IFERROR(__xludf.DUMMYFUNCTION("""COMPUTED_VALUE"""),30.01)</f>
        <v>30.01</v>
      </c>
      <c r="F56" s="1">
        <f>IFERROR(__xludf.DUMMYFUNCTION("""COMPUTED_VALUE"""),2286.0)</f>
        <v>2286</v>
      </c>
      <c r="G56" s="2" t="s">
        <v>9</v>
      </c>
    </row>
    <row r="57">
      <c r="A57" s="3">
        <f>IFERROR(__xludf.DUMMYFUNCTION("""COMPUTED_VALUE"""),44643.66666666667)</f>
        <v>44643.66667</v>
      </c>
      <c r="B57" s="1">
        <f>IFERROR(__xludf.DUMMYFUNCTION("""COMPUTED_VALUE"""),29.55)</f>
        <v>29.55</v>
      </c>
      <c r="C57" s="1">
        <f>IFERROR(__xludf.DUMMYFUNCTION("""COMPUTED_VALUE"""),29.55)</f>
        <v>29.55</v>
      </c>
      <c r="D57" s="1">
        <f>IFERROR(__xludf.DUMMYFUNCTION("""COMPUTED_VALUE"""),29.5)</f>
        <v>29.5</v>
      </c>
      <c r="E57" s="1">
        <f>IFERROR(__xludf.DUMMYFUNCTION("""COMPUTED_VALUE"""),29.5)</f>
        <v>29.5</v>
      </c>
      <c r="F57" s="1">
        <f>IFERROR(__xludf.DUMMYFUNCTION("""COMPUTED_VALUE"""),279.0)</f>
        <v>279</v>
      </c>
      <c r="G57" s="2" t="s">
        <v>9</v>
      </c>
    </row>
    <row r="58">
      <c r="A58" s="3">
        <f>IFERROR(__xludf.DUMMYFUNCTION("""COMPUTED_VALUE"""),44644.66666666667)</f>
        <v>44644.66667</v>
      </c>
      <c r="B58" s="1">
        <f>IFERROR(__xludf.DUMMYFUNCTION("""COMPUTED_VALUE"""),29.92)</f>
        <v>29.92</v>
      </c>
      <c r="C58" s="1">
        <f>IFERROR(__xludf.DUMMYFUNCTION("""COMPUTED_VALUE"""),29.92)</f>
        <v>29.92</v>
      </c>
      <c r="D58" s="1">
        <f>IFERROR(__xludf.DUMMYFUNCTION("""COMPUTED_VALUE"""),29.6)</f>
        <v>29.6</v>
      </c>
      <c r="E58" s="1">
        <f>IFERROR(__xludf.DUMMYFUNCTION("""COMPUTED_VALUE"""),29.86)</f>
        <v>29.86</v>
      </c>
      <c r="F58" s="1">
        <f>IFERROR(__xludf.DUMMYFUNCTION("""COMPUTED_VALUE"""),1090.0)</f>
        <v>1090</v>
      </c>
      <c r="G58" s="2" t="s">
        <v>9</v>
      </c>
    </row>
    <row r="59">
      <c r="A59" s="3">
        <f>IFERROR(__xludf.DUMMYFUNCTION("""COMPUTED_VALUE"""),44645.66666666667)</f>
        <v>44645.66667</v>
      </c>
      <c r="B59" s="1">
        <f>IFERROR(__xludf.DUMMYFUNCTION("""COMPUTED_VALUE"""),29.51)</f>
        <v>29.51</v>
      </c>
      <c r="C59" s="1">
        <f>IFERROR(__xludf.DUMMYFUNCTION("""COMPUTED_VALUE"""),29.67)</f>
        <v>29.67</v>
      </c>
      <c r="D59" s="1">
        <f>IFERROR(__xludf.DUMMYFUNCTION("""COMPUTED_VALUE"""),29.46)</f>
        <v>29.46</v>
      </c>
      <c r="E59" s="1">
        <f>IFERROR(__xludf.DUMMYFUNCTION("""COMPUTED_VALUE"""),29.67)</f>
        <v>29.67</v>
      </c>
      <c r="F59" s="1">
        <f>IFERROR(__xludf.DUMMYFUNCTION("""COMPUTED_VALUE"""),879.0)</f>
        <v>879</v>
      </c>
      <c r="G59" s="2" t="s">
        <v>9</v>
      </c>
    </row>
    <row r="60">
      <c r="A60" s="3">
        <f>IFERROR(__xludf.DUMMYFUNCTION("""COMPUTED_VALUE"""),44648.66666666667)</f>
        <v>44648.66667</v>
      </c>
      <c r="B60" s="1">
        <f>IFERROR(__xludf.DUMMYFUNCTION("""COMPUTED_VALUE"""),29.6)</f>
        <v>29.6</v>
      </c>
      <c r="C60" s="1">
        <f>IFERROR(__xludf.DUMMYFUNCTION("""COMPUTED_VALUE"""),29.9)</f>
        <v>29.9</v>
      </c>
      <c r="D60" s="1">
        <f>IFERROR(__xludf.DUMMYFUNCTION("""COMPUTED_VALUE"""),29.6)</f>
        <v>29.6</v>
      </c>
      <c r="E60" s="1">
        <f>IFERROR(__xludf.DUMMYFUNCTION("""COMPUTED_VALUE"""),29.9)</f>
        <v>29.9</v>
      </c>
      <c r="F60" s="1">
        <f>IFERROR(__xludf.DUMMYFUNCTION("""COMPUTED_VALUE"""),168.0)</f>
        <v>168</v>
      </c>
      <c r="G60" s="2" t="s">
        <v>9</v>
      </c>
    </row>
    <row r="61">
      <c r="A61" s="3">
        <f>IFERROR(__xludf.DUMMYFUNCTION("""COMPUTED_VALUE"""),44649.66666666667)</f>
        <v>44649.66667</v>
      </c>
      <c r="B61" s="1">
        <f>IFERROR(__xludf.DUMMYFUNCTION("""COMPUTED_VALUE"""),30.5)</f>
        <v>30.5</v>
      </c>
      <c r="C61" s="1">
        <f>IFERROR(__xludf.DUMMYFUNCTION("""COMPUTED_VALUE"""),30.82)</f>
        <v>30.82</v>
      </c>
      <c r="D61" s="1">
        <f>IFERROR(__xludf.DUMMYFUNCTION("""COMPUTED_VALUE"""),30.31)</f>
        <v>30.31</v>
      </c>
      <c r="E61" s="1">
        <f>IFERROR(__xludf.DUMMYFUNCTION("""COMPUTED_VALUE"""),30.82)</f>
        <v>30.82</v>
      </c>
      <c r="F61" s="1">
        <f>IFERROR(__xludf.DUMMYFUNCTION("""COMPUTED_VALUE"""),960.0)</f>
        <v>960</v>
      </c>
      <c r="G61" s="2" t="s">
        <v>9</v>
      </c>
    </row>
    <row r="62">
      <c r="A62" s="3">
        <f>IFERROR(__xludf.DUMMYFUNCTION("""COMPUTED_VALUE"""),44650.66666666667)</f>
        <v>44650.66667</v>
      </c>
      <c r="B62" s="1">
        <f>IFERROR(__xludf.DUMMYFUNCTION("""COMPUTED_VALUE"""),30.5)</f>
        <v>30.5</v>
      </c>
      <c r="C62" s="1">
        <f>IFERROR(__xludf.DUMMYFUNCTION("""COMPUTED_VALUE"""),30.77)</f>
        <v>30.77</v>
      </c>
      <c r="D62" s="1">
        <f>IFERROR(__xludf.DUMMYFUNCTION("""COMPUTED_VALUE"""),30.31)</f>
        <v>30.31</v>
      </c>
      <c r="E62" s="1">
        <f>IFERROR(__xludf.DUMMYFUNCTION("""COMPUTED_VALUE"""),30.31)</f>
        <v>30.31</v>
      </c>
      <c r="F62" s="1">
        <f>IFERROR(__xludf.DUMMYFUNCTION("""COMPUTED_VALUE"""),1497.0)</f>
        <v>1497</v>
      </c>
      <c r="G62" s="2" t="s">
        <v>9</v>
      </c>
    </row>
    <row r="63">
      <c r="A63" s="3">
        <f>IFERROR(__xludf.DUMMYFUNCTION("""COMPUTED_VALUE"""),44651.66666666667)</f>
        <v>44651.66667</v>
      </c>
      <c r="B63" s="1">
        <f>IFERROR(__xludf.DUMMYFUNCTION("""COMPUTED_VALUE"""),30.27)</f>
        <v>30.27</v>
      </c>
      <c r="C63" s="1">
        <f>IFERROR(__xludf.DUMMYFUNCTION("""COMPUTED_VALUE"""),30.3)</f>
        <v>30.3</v>
      </c>
      <c r="D63" s="1">
        <f>IFERROR(__xludf.DUMMYFUNCTION("""COMPUTED_VALUE"""),30.01)</f>
        <v>30.01</v>
      </c>
      <c r="E63" s="1">
        <f>IFERROR(__xludf.DUMMYFUNCTION("""COMPUTED_VALUE"""),30.01)</f>
        <v>30.01</v>
      </c>
      <c r="F63" s="1">
        <f>IFERROR(__xludf.DUMMYFUNCTION("""COMPUTED_VALUE"""),1912.0)</f>
        <v>1912</v>
      </c>
      <c r="G63" s="2" t="s">
        <v>9</v>
      </c>
    </row>
    <row r="64">
      <c r="A64" s="3">
        <f>IFERROR(__xludf.DUMMYFUNCTION("""COMPUTED_VALUE"""),44652.66666666667)</f>
        <v>44652.66667</v>
      </c>
      <c r="B64" s="1">
        <f>IFERROR(__xludf.DUMMYFUNCTION("""COMPUTED_VALUE"""),30.12)</f>
        <v>30.12</v>
      </c>
      <c r="C64" s="1">
        <f>IFERROR(__xludf.DUMMYFUNCTION("""COMPUTED_VALUE"""),30.35)</f>
        <v>30.35</v>
      </c>
      <c r="D64" s="1">
        <f>IFERROR(__xludf.DUMMYFUNCTION("""COMPUTED_VALUE"""),30.12)</f>
        <v>30.12</v>
      </c>
      <c r="E64" s="1">
        <f>IFERROR(__xludf.DUMMYFUNCTION("""COMPUTED_VALUE"""),30.35)</f>
        <v>30.35</v>
      </c>
      <c r="F64" s="1">
        <f>IFERROR(__xludf.DUMMYFUNCTION("""COMPUTED_VALUE"""),124.0)</f>
        <v>124</v>
      </c>
      <c r="G64" s="2" t="s">
        <v>9</v>
      </c>
    </row>
    <row r="65">
      <c r="A65" s="3">
        <f>IFERROR(__xludf.DUMMYFUNCTION("""COMPUTED_VALUE"""),44655.66666666667)</f>
        <v>44655.66667</v>
      </c>
      <c r="B65" s="1">
        <f>IFERROR(__xludf.DUMMYFUNCTION("""COMPUTED_VALUE"""),30.5)</f>
        <v>30.5</v>
      </c>
      <c r="C65" s="1">
        <f>IFERROR(__xludf.DUMMYFUNCTION("""COMPUTED_VALUE"""),30.84)</f>
        <v>30.84</v>
      </c>
      <c r="D65" s="1">
        <f>IFERROR(__xludf.DUMMYFUNCTION("""COMPUTED_VALUE"""),30.5)</f>
        <v>30.5</v>
      </c>
      <c r="E65" s="1">
        <f>IFERROR(__xludf.DUMMYFUNCTION("""COMPUTED_VALUE"""),30.81)</f>
        <v>30.81</v>
      </c>
      <c r="F65" s="1">
        <f>IFERROR(__xludf.DUMMYFUNCTION("""COMPUTED_VALUE"""),838.0)</f>
        <v>838</v>
      </c>
      <c r="G65" s="2" t="s">
        <v>9</v>
      </c>
    </row>
    <row r="66">
      <c r="A66" s="3">
        <f>IFERROR(__xludf.DUMMYFUNCTION("""COMPUTED_VALUE"""),44656.66666666667)</f>
        <v>44656.66667</v>
      </c>
      <c r="B66" s="1">
        <f>IFERROR(__xludf.DUMMYFUNCTION("""COMPUTED_VALUE"""),30.6)</f>
        <v>30.6</v>
      </c>
      <c r="C66" s="1">
        <f>IFERROR(__xludf.DUMMYFUNCTION("""COMPUTED_VALUE"""),30.6)</f>
        <v>30.6</v>
      </c>
      <c r="D66" s="1">
        <f>IFERROR(__xludf.DUMMYFUNCTION("""COMPUTED_VALUE"""),30.09)</f>
        <v>30.09</v>
      </c>
      <c r="E66" s="1">
        <f>IFERROR(__xludf.DUMMYFUNCTION("""COMPUTED_VALUE"""),30.09)</f>
        <v>30.09</v>
      </c>
      <c r="F66" s="1">
        <f>IFERROR(__xludf.DUMMYFUNCTION("""COMPUTED_VALUE"""),937.0)</f>
        <v>937</v>
      </c>
      <c r="G66" s="2" t="s">
        <v>9</v>
      </c>
    </row>
    <row r="67">
      <c r="A67" s="3">
        <f>IFERROR(__xludf.DUMMYFUNCTION("""COMPUTED_VALUE"""),44657.66666666667)</f>
        <v>44657.66667</v>
      </c>
      <c r="B67" s="1">
        <f>IFERROR(__xludf.DUMMYFUNCTION("""COMPUTED_VALUE"""),29.48)</f>
        <v>29.48</v>
      </c>
      <c r="C67" s="1">
        <f>IFERROR(__xludf.DUMMYFUNCTION("""COMPUTED_VALUE"""),29.53)</f>
        <v>29.53</v>
      </c>
      <c r="D67" s="1">
        <f>IFERROR(__xludf.DUMMYFUNCTION("""COMPUTED_VALUE"""),29.41)</f>
        <v>29.41</v>
      </c>
      <c r="E67" s="1">
        <f>IFERROR(__xludf.DUMMYFUNCTION("""COMPUTED_VALUE"""),29.41)</f>
        <v>29.41</v>
      </c>
      <c r="F67" s="1">
        <f>IFERROR(__xludf.DUMMYFUNCTION("""COMPUTED_VALUE"""),843.0)</f>
        <v>843</v>
      </c>
      <c r="G67" s="2" t="s">
        <v>9</v>
      </c>
    </row>
    <row r="68">
      <c r="A68" s="3">
        <f>IFERROR(__xludf.DUMMYFUNCTION("""COMPUTED_VALUE"""),44658.66666666667)</f>
        <v>44658.66667</v>
      </c>
      <c r="B68" s="1">
        <f>IFERROR(__xludf.DUMMYFUNCTION("""COMPUTED_VALUE"""),28.82)</f>
        <v>28.82</v>
      </c>
      <c r="C68" s="1">
        <f>IFERROR(__xludf.DUMMYFUNCTION("""COMPUTED_VALUE"""),29.33)</f>
        <v>29.33</v>
      </c>
      <c r="D68" s="1">
        <f>IFERROR(__xludf.DUMMYFUNCTION("""COMPUTED_VALUE"""),28.82)</f>
        <v>28.82</v>
      </c>
      <c r="E68" s="1">
        <f>IFERROR(__xludf.DUMMYFUNCTION("""COMPUTED_VALUE"""),29.32)</f>
        <v>29.32</v>
      </c>
      <c r="F68" s="1">
        <f>IFERROR(__xludf.DUMMYFUNCTION("""COMPUTED_VALUE"""),697.0)</f>
        <v>697</v>
      </c>
      <c r="G68" s="2" t="s">
        <v>9</v>
      </c>
    </row>
    <row r="69">
      <c r="A69" s="3">
        <f>IFERROR(__xludf.DUMMYFUNCTION("""COMPUTED_VALUE"""),44659.66666666667)</f>
        <v>44659.66667</v>
      </c>
      <c r="B69" s="1">
        <f>IFERROR(__xludf.DUMMYFUNCTION("""COMPUTED_VALUE"""),29.1)</f>
        <v>29.1</v>
      </c>
      <c r="C69" s="1">
        <f>IFERROR(__xludf.DUMMYFUNCTION("""COMPUTED_VALUE"""),29.26)</f>
        <v>29.26</v>
      </c>
      <c r="D69" s="1">
        <f>IFERROR(__xludf.DUMMYFUNCTION("""COMPUTED_VALUE"""),29.07)</f>
        <v>29.07</v>
      </c>
      <c r="E69" s="1">
        <f>IFERROR(__xludf.DUMMYFUNCTION("""COMPUTED_VALUE"""),29.07)</f>
        <v>29.07</v>
      </c>
      <c r="F69" s="1">
        <f>IFERROR(__xludf.DUMMYFUNCTION("""COMPUTED_VALUE"""),983.0)</f>
        <v>983</v>
      </c>
      <c r="G69" s="2" t="s">
        <v>9</v>
      </c>
    </row>
    <row r="70">
      <c r="A70" s="3">
        <f>IFERROR(__xludf.DUMMYFUNCTION("""COMPUTED_VALUE"""),44662.66666666667)</f>
        <v>44662.66667</v>
      </c>
      <c r="B70" s="1">
        <f>IFERROR(__xludf.DUMMYFUNCTION("""COMPUTED_VALUE"""),28.88)</f>
        <v>28.88</v>
      </c>
      <c r="C70" s="1">
        <f>IFERROR(__xludf.DUMMYFUNCTION("""COMPUTED_VALUE"""),28.88)</f>
        <v>28.88</v>
      </c>
      <c r="D70" s="1">
        <f>IFERROR(__xludf.DUMMYFUNCTION("""COMPUTED_VALUE"""),28.71)</f>
        <v>28.71</v>
      </c>
      <c r="E70" s="1">
        <f>IFERROR(__xludf.DUMMYFUNCTION("""COMPUTED_VALUE"""),28.71)</f>
        <v>28.71</v>
      </c>
      <c r="F70" s="1">
        <f>IFERROR(__xludf.DUMMYFUNCTION("""COMPUTED_VALUE"""),455.0)</f>
        <v>455</v>
      </c>
      <c r="G70" s="2" t="s">
        <v>9</v>
      </c>
    </row>
    <row r="71">
      <c r="A71" s="3">
        <f>IFERROR(__xludf.DUMMYFUNCTION("""COMPUTED_VALUE"""),44663.66666666667)</f>
        <v>44663.66667</v>
      </c>
      <c r="B71" s="1">
        <f>IFERROR(__xludf.DUMMYFUNCTION("""COMPUTED_VALUE"""),28.65)</f>
        <v>28.65</v>
      </c>
      <c r="C71" s="1">
        <f>IFERROR(__xludf.DUMMYFUNCTION("""COMPUTED_VALUE"""),28.65)</f>
        <v>28.65</v>
      </c>
      <c r="D71" s="1">
        <f>IFERROR(__xludf.DUMMYFUNCTION("""COMPUTED_VALUE"""),28.61)</f>
        <v>28.61</v>
      </c>
      <c r="E71" s="1">
        <f>IFERROR(__xludf.DUMMYFUNCTION("""COMPUTED_VALUE"""),28.61)</f>
        <v>28.61</v>
      </c>
      <c r="F71" s="1">
        <f>IFERROR(__xludf.DUMMYFUNCTION("""COMPUTED_VALUE"""),238.0)</f>
        <v>238</v>
      </c>
      <c r="G71" s="2" t="s">
        <v>9</v>
      </c>
    </row>
    <row r="72">
      <c r="A72" s="3">
        <f>IFERROR(__xludf.DUMMYFUNCTION("""COMPUTED_VALUE"""),44664.66666666667)</f>
        <v>44664.66667</v>
      </c>
      <c r="B72" s="1">
        <f>IFERROR(__xludf.DUMMYFUNCTION("""COMPUTED_VALUE"""),28.5)</f>
        <v>28.5</v>
      </c>
      <c r="C72" s="1">
        <f>IFERROR(__xludf.DUMMYFUNCTION("""COMPUTED_VALUE"""),29.21)</f>
        <v>29.21</v>
      </c>
      <c r="D72" s="1">
        <f>IFERROR(__xludf.DUMMYFUNCTION("""COMPUTED_VALUE"""),28.5)</f>
        <v>28.5</v>
      </c>
      <c r="E72" s="1">
        <f>IFERROR(__xludf.DUMMYFUNCTION("""COMPUTED_VALUE"""),29.21)</f>
        <v>29.21</v>
      </c>
      <c r="F72" s="1">
        <f>IFERROR(__xludf.DUMMYFUNCTION("""COMPUTED_VALUE"""),1993.0)</f>
        <v>1993</v>
      </c>
      <c r="G72" s="2" t="s">
        <v>9</v>
      </c>
    </row>
    <row r="73">
      <c r="A73" s="3">
        <f>IFERROR(__xludf.DUMMYFUNCTION("""COMPUTED_VALUE"""),44665.66666666667)</f>
        <v>44665.66667</v>
      </c>
      <c r="B73" s="1">
        <f>IFERROR(__xludf.DUMMYFUNCTION("""COMPUTED_VALUE"""),28.99)</f>
        <v>28.99</v>
      </c>
      <c r="C73" s="1">
        <f>IFERROR(__xludf.DUMMYFUNCTION("""COMPUTED_VALUE"""),29.04)</f>
        <v>29.04</v>
      </c>
      <c r="D73" s="1">
        <f>IFERROR(__xludf.DUMMYFUNCTION("""COMPUTED_VALUE"""),28.76)</f>
        <v>28.76</v>
      </c>
      <c r="E73" s="1">
        <f>IFERROR(__xludf.DUMMYFUNCTION("""COMPUTED_VALUE"""),28.76)</f>
        <v>28.76</v>
      </c>
      <c r="F73" s="1">
        <f>IFERROR(__xludf.DUMMYFUNCTION("""COMPUTED_VALUE"""),888.0)</f>
        <v>888</v>
      </c>
      <c r="G73" s="2" t="s">
        <v>9</v>
      </c>
    </row>
    <row r="74">
      <c r="A74" s="3">
        <f>IFERROR(__xludf.DUMMYFUNCTION("""COMPUTED_VALUE"""),44669.66666666667)</f>
        <v>44669.66667</v>
      </c>
      <c r="B74" s="1">
        <f>IFERROR(__xludf.DUMMYFUNCTION("""COMPUTED_VALUE"""),28.62)</f>
        <v>28.62</v>
      </c>
      <c r="C74" s="1">
        <f>IFERROR(__xludf.DUMMYFUNCTION("""COMPUTED_VALUE"""),28.62)</f>
        <v>28.62</v>
      </c>
      <c r="D74" s="1">
        <f>IFERROR(__xludf.DUMMYFUNCTION("""COMPUTED_VALUE"""),28.34)</f>
        <v>28.34</v>
      </c>
      <c r="E74" s="1">
        <f>IFERROR(__xludf.DUMMYFUNCTION("""COMPUTED_VALUE"""),28.45)</f>
        <v>28.45</v>
      </c>
      <c r="F74" s="1">
        <f>IFERROR(__xludf.DUMMYFUNCTION("""COMPUTED_VALUE"""),5851.0)</f>
        <v>5851</v>
      </c>
      <c r="G74" s="2" t="s">
        <v>9</v>
      </c>
    </row>
    <row r="75">
      <c r="A75" s="3">
        <f>IFERROR(__xludf.DUMMYFUNCTION("""COMPUTED_VALUE"""),44670.66666666667)</f>
        <v>44670.66667</v>
      </c>
      <c r="B75" s="1">
        <f>IFERROR(__xludf.DUMMYFUNCTION("""COMPUTED_VALUE"""),28.9)</f>
        <v>28.9</v>
      </c>
      <c r="C75" s="1">
        <f>IFERROR(__xludf.DUMMYFUNCTION("""COMPUTED_VALUE"""),29.26)</f>
        <v>29.26</v>
      </c>
      <c r="D75" s="1">
        <f>IFERROR(__xludf.DUMMYFUNCTION("""COMPUTED_VALUE"""),28.9)</f>
        <v>28.9</v>
      </c>
      <c r="E75" s="1">
        <f>IFERROR(__xludf.DUMMYFUNCTION("""COMPUTED_VALUE"""),29.26)</f>
        <v>29.26</v>
      </c>
      <c r="F75" s="1">
        <f>IFERROR(__xludf.DUMMYFUNCTION("""COMPUTED_VALUE"""),605.0)</f>
        <v>605</v>
      </c>
      <c r="G75" s="2" t="s">
        <v>9</v>
      </c>
    </row>
    <row r="76">
      <c r="A76" s="3">
        <f>IFERROR(__xludf.DUMMYFUNCTION("""COMPUTED_VALUE"""),44671.66666666667)</f>
        <v>44671.66667</v>
      </c>
      <c r="B76" s="1">
        <f>IFERROR(__xludf.DUMMYFUNCTION("""COMPUTED_VALUE"""),29.13)</f>
        <v>29.13</v>
      </c>
      <c r="C76" s="1">
        <f>IFERROR(__xludf.DUMMYFUNCTION("""COMPUTED_VALUE"""),29.13)</f>
        <v>29.13</v>
      </c>
      <c r="D76" s="1">
        <f>IFERROR(__xludf.DUMMYFUNCTION("""COMPUTED_VALUE"""),28.93)</f>
        <v>28.93</v>
      </c>
      <c r="E76" s="1">
        <f>IFERROR(__xludf.DUMMYFUNCTION("""COMPUTED_VALUE"""),28.93)</f>
        <v>28.93</v>
      </c>
      <c r="F76" s="1">
        <f>IFERROR(__xludf.DUMMYFUNCTION("""COMPUTED_VALUE"""),1036.0)</f>
        <v>1036</v>
      </c>
      <c r="G76" s="2" t="s">
        <v>9</v>
      </c>
    </row>
    <row r="77">
      <c r="A77" s="3">
        <f>IFERROR(__xludf.DUMMYFUNCTION("""COMPUTED_VALUE"""),44672.66666666667)</f>
        <v>44672.66667</v>
      </c>
      <c r="B77" s="1">
        <f>IFERROR(__xludf.DUMMYFUNCTION("""COMPUTED_VALUE"""),29.01)</f>
        <v>29.01</v>
      </c>
      <c r="C77" s="1">
        <f>IFERROR(__xludf.DUMMYFUNCTION("""COMPUTED_VALUE"""),29.01)</f>
        <v>29.01</v>
      </c>
      <c r="D77" s="1">
        <f>IFERROR(__xludf.DUMMYFUNCTION("""COMPUTED_VALUE"""),28.12)</f>
        <v>28.12</v>
      </c>
      <c r="E77" s="1">
        <f>IFERROR(__xludf.DUMMYFUNCTION("""COMPUTED_VALUE"""),28.17)</f>
        <v>28.17</v>
      </c>
      <c r="F77" s="1">
        <f>IFERROR(__xludf.DUMMYFUNCTION("""COMPUTED_VALUE"""),468.0)</f>
        <v>468</v>
      </c>
      <c r="G77" s="2" t="s">
        <v>9</v>
      </c>
    </row>
    <row r="78">
      <c r="A78" s="3">
        <f>IFERROR(__xludf.DUMMYFUNCTION("""COMPUTED_VALUE"""),44673.66666666667)</f>
        <v>44673.66667</v>
      </c>
      <c r="B78" s="1">
        <f>IFERROR(__xludf.DUMMYFUNCTION("""COMPUTED_VALUE"""),27.66)</f>
        <v>27.66</v>
      </c>
      <c r="C78" s="1">
        <f>IFERROR(__xludf.DUMMYFUNCTION("""COMPUTED_VALUE"""),27.66)</f>
        <v>27.66</v>
      </c>
      <c r="D78" s="1">
        <f>IFERROR(__xludf.DUMMYFUNCTION("""COMPUTED_VALUE"""),27.53)</f>
        <v>27.53</v>
      </c>
      <c r="E78" s="1">
        <f>IFERROR(__xludf.DUMMYFUNCTION("""COMPUTED_VALUE"""),27.53)</f>
        <v>27.53</v>
      </c>
      <c r="F78" s="1">
        <f>IFERROR(__xludf.DUMMYFUNCTION("""COMPUTED_VALUE"""),106.0)</f>
        <v>106</v>
      </c>
      <c r="G78" s="2" t="s">
        <v>9</v>
      </c>
    </row>
    <row r="79">
      <c r="A79" s="3">
        <f>IFERROR(__xludf.DUMMYFUNCTION("""COMPUTED_VALUE"""),44676.66666666667)</f>
        <v>44676.66667</v>
      </c>
      <c r="B79" s="1">
        <f>IFERROR(__xludf.DUMMYFUNCTION("""COMPUTED_VALUE"""),27.63)</f>
        <v>27.63</v>
      </c>
      <c r="C79" s="1">
        <f>IFERROR(__xludf.DUMMYFUNCTION("""COMPUTED_VALUE"""),27.73)</f>
        <v>27.73</v>
      </c>
      <c r="D79" s="1">
        <f>IFERROR(__xludf.DUMMYFUNCTION("""COMPUTED_VALUE"""),27.63)</f>
        <v>27.63</v>
      </c>
      <c r="E79" s="1">
        <f>IFERROR(__xludf.DUMMYFUNCTION("""COMPUTED_VALUE"""),27.73)</f>
        <v>27.73</v>
      </c>
      <c r="F79" s="1">
        <f>IFERROR(__xludf.DUMMYFUNCTION("""COMPUTED_VALUE"""),703.0)</f>
        <v>703</v>
      </c>
      <c r="G79" s="2" t="s">
        <v>9</v>
      </c>
    </row>
    <row r="80">
      <c r="A80" s="3">
        <f>IFERROR(__xludf.DUMMYFUNCTION("""COMPUTED_VALUE"""),44677.66666666667)</f>
        <v>44677.66667</v>
      </c>
      <c r="B80" s="1">
        <f>IFERROR(__xludf.DUMMYFUNCTION("""COMPUTED_VALUE"""),27.75)</f>
        <v>27.75</v>
      </c>
      <c r="C80" s="1">
        <f>IFERROR(__xludf.DUMMYFUNCTION("""COMPUTED_VALUE"""),27.75)</f>
        <v>27.75</v>
      </c>
      <c r="D80" s="1">
        <f>IFERROR(__xludf.DUMMYFUNCTION("""COMPUTED_VALUE"""),26.73)</f>
        <v>26.73</v>
      </c>
      <c r="E80" s="1">
        <f>IFERROR(__xludf.DUMMYFUNCTION("""COMPUTED_VALUE"""),26.73)</f>
        <v>26.73</v>
      </c>
      <c r="F80" s="1">
        <f>IFERROR(__xludf.DUMMYFUNCTION("""COMPUTED_VALUE"""),3438.0)</f>
        <v>3438</v>
      </c>
      <c r="G80" s="2" t="s">
        <v>9</v>
      </c>
    </row>
    <row r="81">
      <c r="A81" s="3">
        <f>IFERROR(__xludf.DUMMYFUNCTION("""COMPUTED_VALUE"""),44678.66666666667)</f>
        <v>44678.66667</v>
      </c>
      <c r="B81" s="1">
        <f>IFERROR(__xludf.DUMMYFUNCTION("""COMPUTED_VALUE"""),26.57)</f>
        <v>26.57</v>
      </c>
      <c r="C81" s="1">
        <f>IFERROR(__xludf.DUMMYFUNCTION("""COMPUTED_VALUE"""),26.84)</f>
        <v>26.84</v>
      </c>
      <c r="D81" s="1">
        <f>IFERROR(__xludf.DUMMYFUNCTION("""COMPUTED_VALUE"""),26.53)</f>
        <v>26.53</v>
      </c>
      <c r="E81" s="1">
        <f>IFERROR(__xludf.DUMMYFUNCTION("""COMPUTED_VALUE"""),26.53)</f>
        <v>26.53</v>
      </c>
      <c r="F81" s="1">
        <f>IFERROR(__xludf.DUMMYFUNCTION("""COMPUTED_VALUE"""),1021.0)</f>
        <v>1021</v>
      </c>
      <c r="G81" s="2" t="s">
        <v>9</v>
      </c>
    </row>
    <row r="82">
      <c r="A82" s="3">
        <f>IFERROR(__xludf.DUMMYFUNCTION("""COMPUTED_VALUE"""),44679.66666666667)</f>
        <v>44679.66667</v>
      </c>
      <c r="B82" s="1">
        <f>IFERROR(__xludf.DUMMYFUNCTION("""COMPUTED_VALUE"""),26.39)</f>
        <v>26.39</v>
      </c>
      <c r="C82" s="1">
        <f>IFERROR(__xludf.DUMMYFUNCTION("""COMPUTED_VALUE"""),27.15)</f>
        <v>27.15</v>
      </c>
      <c r="D82" s="1">
        <f>IFERROR(__xludf.DUMMYFUNCTION("""COMPUTED_VALUE"""),26.39)</f>
        <v>26.39</v>
      </c>
      <c r="E82" s="1">
        <f>IFERROR(__xludf.DUMMYFUNCTION("""COMPUTED_VALUE"""),27.15)</f>
        <v>27.15</v>
      </c>
      <c r="F82" s="1">
        <f>IFERROR(__xludf.DUMMYFUNCTION("""COMPUTED_VALUE"""),1455.0)</f>
        <v>1455</v>
      </c>
      <c r="G82" s="2" t="s">
        <v>9</v>
      </c>
    </row>
    <row r="83">
      <c r="A83" s="3">
        <f>IFERROR(__xludf.DUMMYFUNCTION("""COMPUTED_VALUE"""),44680.66666666667)</f>
        <v>44680.66667</v>
      </c>
      <c r="B83" s="1">
        <f>IFERROR(__xludf.DUMMYFUNCTION("""COMPUTED_VALUE"""),26.94)</f>
        <v>26.94</v>
      </c>
      <c r="C83" s="1">
        <f>IFERROR(__xludf.DUMMYFUNCTION("""COMPUTED_VALUE"""),26.94)</f>
        <v>26.94</v>
      </c>
      <c r="D83" s="1">
        <f>IFERROR(__xludf.DUMMYFUNCTION("""COMPUTED_VALUE"""),26.2)</f>
        <v>26.2</v>
      </c>
      <c r="E83" s="1">
        <f>IFERROR(__xludf.DUMMYFUNCTION("""COMPUTED_VALUE"""),26.2)</f>
        <v>26.2</v>
      </c>
      <c r="F83" s="1">
        <f>IFERROR(__xludf.DUMMYFUNCTION("""COMPUTED_VALUE"""),3484.0)</f>
        <v>3484</v>
      </c>
      <c r="G83" s="2" t="s">
        <v>9</v>
      </c>
    </row>
    <row r="84">
      <c r="A84" s="3">
        <f>IFERROR(__xludf.DUMMYFUNCTION("""COMPUTED_VALUE"""),44683.66666666667)</f>
        <v>44683.66667</v>
      </c>
      <c r="B84" s="1">
        <f>IFERROR(__xludf.DUMMYFUNCTION("""COMPUTED_VALUE"""),26.23)</f>
        <v>26.23</v>
      </c>
      <c r="C84" s="1">
        <f>IFERROR(__xludf.DUMMYFUNCTION("""COMPUTED_VALUE"""),26.51)</f>
        <v>26.51</v>
      </c>
      <c r="D84" s="1">
        <f>IFERROR(__xludf.DUMMYFUNCTION("""COMPUTED_VALUE"""),26.23)</f>
        <v>26.23</v>
      </c>
      <c r="E84" s="1">
        <f>IFERROR(__xludf.DUMMYFUNCTION("""COMPUTED_VALUE"""),26.51)</f>
        <v>26.51</v>
      </c>
      <c r="F84" s="1">
        <f>IFERROR(__xludf.DUMMYFUNCTION("""COMPUTED_VALUE"""),434.0)</f>
        <v>434</v>
      </c>
      <c r="G84" s="2" t="s">
        <v>9</v>
      </c>
    </row>
    <row r="85">
      <c r="A85" s="3">
        <f>IFERROR(__xludf.DUMMYFUNCTION("""COMPUTED_VALUE"""),44684.66666666667)</f>
        <v>44684.66667</v>
      </c>
      <c r="B85" s="1">
        <f>IFERROR(__xludf.DUMMYFUNCTION("""COMPUTED_VALUE"""),26.67)</f>
        <v>26.67</v>
      </c>
      <c r="C85" s="1">
        <f>IFERROR(__xludf.DUMMYFUNCTION("""COMPUTED_VALUE"""),26.67)</f>
        <v>26.67</v>
      </c>
      <c r="D85" s="1">
        <f>IFERROR(__xludf.DUMMYFUNCTION("""COMPUTED_VALUE"""),26.67)</f>
        <v>26.67</v>
      </c>
      <c r="E85" s="1">
        <f>IFERROR(__xludf.DUMMYFUNCTION("""COMPUTED_VALUE"""),26.67)</f>
        <v>26.67</v>
      </c>
      <c r="F85" s="1">
        <f>IFERROR(__xludf.DUMMYFUNCTION("""COMPUTED_VALUE"""),11.0)</f>
        <v>11</v>
      </c>
      <c r="G85" s="2" t="s">
        <v>9</v>
      </c>
    </row>
    <row r="86">
      <c r="A86" s="3">
        <f>IFERROR(__xludf.DUMMYFUNCTION("""COMPUTED_VALUE"""),44685.66666666667)</f>
        <v>44685.66667</v>
      </c>
      <c r="B86" s="1">
        <f>IFERROR(__xludf.DUMMYFUNCTION("""COMPUTED_VALUE"""),26.39)</f>
        <v>26.39</v>
      </c>
      <c r="C86" s="1">
        <f>IFERROR(__xludf.DUMMYFUNCTION("""COMPUTED_VALUE"""),27.22)</f>
        <v>27.22</v>
      </c>
      <c r="D86" s="1">
        <f>IFERROR(__xludf.DUMMYFUNCTION("""COMPUTED_VALUE"""),26.34)</f>
        <v>26.34</v>
      </c>
      <c r="E86" s="1">
        <f>IFERROR(__xludf.DUMMYFUNCTION("""COMPUTED_VALUE"""),27.22)</f>
        <v>27.22</v>
      </c>
      <c r="F86" s="1">
        <f>IFERROR(__xludf.DUMMYFUNCTION("""COMPUTED_VALUE"""),691.0)</f>
        <v>691</v>
      </c>
      <c r="G86" s="2" t="s">
        <v>9</v>
      </c>
    </row>
    <row r="87">
      <c r="A87" s="3">
        <f>IFERROR(__xludf.DUMMYFUNCTION("""COMPUTED_VALUE"""),44686.66666666667)</f>
        <v>44686.66667</v>
      </c>
      <c r="B87" s="1">
        <f>IFERROR(__xludf.DUMMYFUNCTION("""COMPUTED_VALUE"""),26.1)</f>
        <v>26.1</v>
      </c>
      <c r="C87" s="1">
        <f>IFERROR(__xludf.DUMMYFUNCTION("""COMPUTED_VALUE"""),26.1)</f>
        <v>26.1</v>
      </c>
      <c r="D87" s="1">
        <f>IFERROR(__xludf.DUMMYFUNCTION("""COMPUTED_VALUE"""),25.94)</f>
        <v>25.94</v>
      </c>
      <c r="E87" s="1">
        <f>IFERROR(__xludf.DUMMYFUNCTION("""COMPUTED_VALUE"""),25.94)</f>
        <v>25.94</v>
      </c>
      <c r="F87" s="1">
        <f>IFERROR(__xludf.DUMMYFUNCTION("""COMPUTED_VALUE"""),362.0)</f>
        <v>362</v>
      </c>
      <c r="G87" s="2" t="s">
        <v>9</v>
      </c>
    </row>
    <row r="88">
      <c r="A88" s="3">
        <f>IFERROR(__xludf.DUMMYFUNCTION("""COMPUTED_VALUE"""),44687.66666666667)</f>
        <v>44687.66667</v>
      </c>
      <c r="B88" s="1">
        <f>IFERROR(__xludf.DUMMYFUNCTION("""COMPUTED_VALUE"""),25.59)</f>
        <v>25.59</v>
      </c>
      <c r="C88" s="1">
        <f>IFERROR(__xludf.DUMMYFUNCTION("""COMPUTED_VALUE"""),25.59)</f>
        <v>25.59</v>
      </c>
      <c r="D88" s="1">
        <f>IFERROR(__xludf.DUMMYFUNCTION("""COMPUTED_VALUE"""),25.22)</f>
        <v>25.22</v>
      </c>
      <c r="E88" s="1">
        <f>IFERROR(__xludf.DUMMYFUNCTION("""COMPUTED_VALUE"""),25.22)</f>
        <v>25.22</v>
      </c>
      <c r="F88" s="1">
        <f>IFERROR(__xludf.DUMMYFUNCTION("""COMPUTED_VALUE"""),640.0)</f>
        <v>640</v>
      </c>
      <c r="G88" s="2" t="s">
        <v>9</v>
      </c>
    </row>
    <row r="89">
      <c r="A89" s="3">
        <f>IFERROR(__xludf.DUMMYFUNCTION("""COMPUTED_VALUE"""),44690.66666666667)</f>
        <v>44690.66667</v>
      </c>
      <c r="B89" s="1">
        <f>IFERROR(__xludf.DUMMYFUNCTION("""COMPUTED_VALUE"""),24.56)</f>
        <v>24.56</v>
      </c>
      <c r="C89" s="1">
        <f>IFERROR(__xludf.DUMMYFUNCTION("""COMPUTED_VALUE"""),24.56)</f>
        <v>24.56</v>
      </c>
      <c r="D89" s="1">
        <f>IFERROR(__xludf.DUMMYFUNCTION("""COMPUTED_VALUE"""),23.55)</f>
        <v>23.55</v>
      </c>
      <c r="E89" s="1">
        <f>IFERROR(__xludf.DUMMYFUNCTION("""COMPUTED_VALUE"""),23.55)</f>
        <v>23.55</v>
      </c>
      <c r="F89" s="1">
        <f>IFERROR(__xludf.DUMMYFUNCTION("""COMPUTED_VALUE"""),6509.0)</f>
        <v>6509</v>
      </c>
      <c r="G89" s="2" t="s">
        <v>9</v>
      </c>
    </row>
    <row r="90">
      <c r="A90" s="3">
        <f>IFERROR(__xludf.DUMMYFUNCTION("""COMPUTED_VALUE"""),44691.66666666667)</f>
        <v>44691.66667</v>
      </c>
      <c r="B90" s="1">
        <f>IFERROR(__xludf.DUMMYFUNCTION("""COMPUTED_VALUE"""),23.77)</f>
        <v>23.77</v>
      </c>
      <c r="C90" s="1">
        <f>IFERROR(__xludf.DUMMYFUNCTION("""COMPUTED_VALUE"""),23.86)</f>
        <v>23.86</v>
      </c>
      <c r="D90" s="1">
        <f>IFERROR(__xludf.DUMMYFUNCTION("""COMPUTED_VALUE"""),23.2)</f>
        <v>23.2</v>
      </c>
      <c r="E90" s="1">
        <f>IFERROR(__xludf.DUMMYFUNCTION("""COMPUTED_VALUE"""),23.74)</f>
        <v>23.74</v>
      </c>
      <c r="F90" s="1">
        <f>IFERROR(__xludf.DUMMYFUNCTION("""COMPUTED_VALUE"""),1569.0)</f>
        <v>1569</v>
      </c>
      <c r="G90" s="2" t="s">
        <v>9</v>
      </c>
    </row>
    <row r="91">
      <c r="A91" s="3">
        <f>IFERROR(__xludf.DUMMYFUNCTION("""COMPUTED_VALUE"""),44692.66666666667)</f>
        <v>44692.66667</v>
      </c>
      <c r="B91" s="1">
        <f>IFERROR(__xludf.DUMMYFUNCTION("""COMPUTED_VALUE"""),23.53)</f>
        <v>23.53</v>
      </c>
      <c r="C91" s="1">
        <f>IFERROR(__xludf.DUMMYFUNCTION("""COMPUTED_VALUE"""),23.85)</f>
        <v>23.85</v>
      </c>
      <c r="D91" s="1">
        <f>IFERROR(__xludf.DUMMYFUNCTION("""COMPUTED_VALUE"""),23.09)</f>
        <v>23.09</v>
      </c>
      <c r="E91" s="1">
        <f>IFERROR(__xludf.DUMMYFUNCTION("""COMPUTED_VALUE"""),23.09)</f>
        <v>23.09</v>
      </c>
      <c r="F91" s="1">
        <f>IFERROR(__xludf.DUMMYFUNCTION("""COMPUTED_VALUE"""),881.0)</f>
        <v>881</v>
      </c>
      <c r="G91" s="2" t="s">
        <v>9</v>
      </c>
    </row>
    <row r="92">
      <c r="A92" s="3">
        <f>IFERROR(__xludf.DUMMYFUNCTION("""COMPUTED_VALUE"""),44693.66666666667)</f>
        <v>44693.66667</v>
      </c>
      <c r="B92" s="1">
        <f>IFERROR(__xludf.DUMMYFUNCTION("""COMPUTED_VALUE"""),23.68)</f>
        <v>23.68</v>
      </c>
      <c r="C92" s="1">
        <f>IFERROR(__xludf.DUMMYFUNCTION("""COMPUTED_VALUE"""),23.72)</f>
        <v>23.72</v>
      </c>
      <c r="D92" s="1">
        <f>IFERROR(__xludf.DUMMYFUNCTION("""COMPUTED_VALUE"""),23.04)</f>
        <v>23.04</v>
      </c>
      <c r="E92" s="1">
        <f>IFERROR(__xludf.DUMMYFUNCTION("""COMPUTED_VALUE"""),23.42)</f>
        <v>23.42</v>
      </c>
      <c r="F92" s="1">
        <f>IFERROR(__xludf.DUMMYFUNCTION("""COMPUTED_VALUE"""),6314.0)</f>
        <v>6314</v>
      </c>
      <c r="G92" s="2" t="s">
        <v>9</v>
      </c>
    </row>
    <row r="93">
      <c r="A93" s="3">
        <f>IFERROR(__xludf.DUMMYFUNCTION("""COMPUTED_VALUE"""),44694.66666666667)</f>
        <v>44694.66667</v>
      </c>
      <c r="B93" s="1">
        <f>IFERROR(__xludf.DUMMYFUNCTION("""COMPUTED_VALUE"""),24.46)</f>
        <v>24.46</v>
      </c>
      <c r="C93" s="1">
        <f>IFERROR(__xludf.DUMMYFUNCTION("""COMPUTED_VALUE"""),24.72)</f>
        <v>24.72</v>
      </c>
      <c r="D93" s="1">
        <f>IFERROR(__xludf.DUMMYFUNCTION("""COMPUTED_VALUE"""),24.46)</f>
        <v>24.46</v>
      </c>
      <c r="E93" s="1">
        <f>IFERROR(__xludf.DUMMYFUNCTION("""COMPUTED_VALUE"""),24.63)</f>
        <v>24.63</v>
      </c>
      <c r="F93" s="1">
        <f>IFERROR(__xludf.DUMMYFUNCTION("""COMPUTED_VALUE"""),872.0)</f>
        <v>872</v>
      </c>
      <c r="G93" s="2" t="s">
        <v>9</v>
      </c>
    </row>
    <row r="94">
      <c r="A94" s="3">
        <f>IFERROR(__xludf.DUMMYFUNCTION("""COMPUTED_VALUE"""),44697.66666666667)</f>
        <v>44697.66667</v>
      </c>
      <c r="B94" s="1">
        <f>IFERROR(__xludf.DUMMYFUNCTION("""COMPUTED_VALUE"""),24.58)</f>
        <v>24.58</v>
      </c>
      <c r="C94" s="1">
        <f>IFERROR(__xludf.DUMMYFUNCTION("""COMPUTED_VALUE"""),24.58)</f>
        <v>24.58</v>
      </c>
      <c r="D94" s="1">
        <f>IFERROR(__xludf.DUMMYFUNCTION("""COMPUTED_VALUE"""),24.06)</f>
        <v>24.06</v>
      </c>
      <c r="E94" s="1">
        <f>IFERROR(__xludf.DUMMYFUNCTION("""COMPUTED_VALUE"""),24.06)</f>
        <v>24.06</v>
      </c>
      <c r="F94" s="1">
        <f>IFERROR(__xludf.DUMMYFUNCTION("""COMPUTED_VALUE"""),560.0)</f>
        <v>560</v>
      </c>
      <c r="G94" s="2" t="s">
        <v>9</v>
      </c>
    </row>
    <row r="95">
      <c r="A95" s="3">
        <f>IFERROR(__xludf.DUMMYFUNCTION("""COMPUTED_VALUE"""),44698.66666666667)</f>
        <v>44698.66667</v>
      </c>
      <c r="B95" s="1">
        <f>IFERROR(__xludf.DUMMYFUNCTION("""COMPUTED_VALUE"""),24.75)</f>
        <v>24.75</v>
      </c>
      <c r="C95" s="1">
        <f>IFERROR(__xludf.DUMMYFUNCTION("""COMPUTED_VALUE"""),24.75)</f>
        <v>24.75</v>
      </c>
      <c r="D95" s="1">
        <f>IFERROR(__xludf.DUMMYFUNCTION("""COMPUTED_VALUE"""),24.75)</f>
        <v>24.75</v>
      </c>
      <c r="E95" s="1">
        <f>IFERROR(__xludf.DUMMYFUNCTION("""COMPUTED_VALUE"""),24.75)</f>
        <v>24.75</v>
      </c>
      <c r="F95" s="1">
        <f>IFERROR(__xludf.DUMMYFUNCTION("""COMPUTED_VALUE"""),197.0)</f>
        <v>197</v>
      </c>
      <c r="G95" s="2" t="s">
        <v>9</v>
      </c>
    </row>
    <row r="96">
      <c r="A96" s="3">
        <f>IFERROR(__xludf.DUMMYFUNCTION("""COMPUTED_VALUE"""),44699.66666666667)</f>
        <v>44699.66667</v>
      </c>
      <c r="B96" s="1">
        <f>IFERROR(__xludf.DUMMYFUNCTION("""COMPUTED_VALUE"""),24.02)</f>
        <v>24.02</v>
      </c>
      <c r="C96" s="1">
        <f>IFERROR(__xludf.DUMMYFUNCTION("""COMPUTED_VALUE"""),24.02)</f>
        <v>24.02</v>
      </c>
      <c r="D96" s="1">
        <f>IFERROR(__xludf.DUMMYFUNCTION("""COMPUTED_VALUE"""),23.71)</f>
        <v>23.71</v>
      </c>
      <c r="E96" s="1">
        <f>IFERROR(__xludf.DUMMYFUNCTION("""COMPUTED_VALUE"""),23.71)</f>
        <v>23.71</v>
      </c>
      <c r="F96" s="1">
        <f>IFERROR(__xludf.DUMMYFUNCTION("""COMPUTED_VALUE"""),1625.0)</f>
        <v>1625</v>
      </c>
      <c r="G96" s="2" t="s">
        <v>9</v>
      </c>
    </row>
    <row r="97">
      <c r="A97" s="3">
        <f>IFERROR(__xludf.DUMMYFUNCTION("""COMPUTED_VALUE"""),44700.66666666667)</f>
        <v>44700.66667</v>
      </c>
      <c r="B97" s="1">
        <f>IFERROR(__xludf.DUMMYFUNCTION("""COMPUTED_VALUE"""),24.2)</f>
        <v>24.2</v>
      </c>
      <c r="C97" s="1">
        <f>IFERROR(__xludf.DUMMYFUNCTION("""COMPUTED_VALUE"""),24.2)</f>
        <v>24.2</v>
      </c>
      <c r="D97" s="1">
        <f>IFERROR(__xludf.DUMMYFUNCTION("""COMPUTED_VALUE"""),24.2)</f>
        <v>24.2</v>
      </c>
      <c r="E97" s="1">
        <f>IFERROR(__xludf.DUMMYFUNCTION("""COMPUTED_VALUE"""),24.2)</f>
        <v>24.2</v>
      </c>
      <c r="F97" s="1">
        <f>IFERROR(__xludf.DUMMYFUNCTION("""COMPUTED_VALUE"""),13.0)</f>
        <v>13</v>
      </c>
      <c r="G97" s="2" t="s">
        <v>9</v>
      </c>
    </row>
    <row r="98">
      <c r="A98" s="3">
        <f>IFERROR(__xludf.DUMMYFUNCTION("""COMPUTED_VALUE"""),44701.66666666667)</f>
        <v>44701.66667</v>
      </c>
      <c r="B98" s="1">
        <f>IFERROR(__xludf.DUMMYFUNCTION("""COMPUTED_VALUE"""),23.94)</f>
        <v>23.94</v>
      </c>
      <c r="C98" s="1">
        <f>IFERROR(__xludf.DUMMYFUNCTION("""COMPUTED_VALUE"""),24.15)</f>
        <v>24.15</v>
      </c>
      <c r="D98" s="1">
        <f>IFERROR(__xludf.DUMMYFUNCTION("""COMPUTED_VALUE"""),23.55)</f>
        <v>23.55</v>
      </c>
      <c r="E98" s="1">
        <f>IFERROR(__xludf.DUMMYFUNCTION("""COMPUTED_VALUE"""),24.15)</f>
        <v>24.15</v>
      </c>
      <c r="F98" s="1">
        <f>IFERROR(__xludf.DUMMYFUNCTION("""COMPUTED_VALUE"""),2421.0)</f>
        <v>2421</v>
      </c>
      <c r="G98" s="2" t="s">
        <v>9</v>
      </c>
    </row>
    <row r="99">
      <c r="A99" s="3">
        <f>IFERROR(__xludf.DUMMYFUNCTION("""COMPUTED_VALUE"""),44704.66666666667)</f>
        <v>44704.66667</v>
      </c>
      <c r="B99" s="1">
        <f>IFERROR(__xludf.DUMMYFUNCTION("""COMPUTED_VALUE"""),24.26)</f>
        <v>24.26</v>
      </c>
      <c r="C99" s="1">
        <f>IFERROR(__xludf.DUMMYFUNCTION("""COMPUTED_VALUE"""),24.26)</f>
        <v>24.26</v>
      </c>
      <c r="D99" s="1">
        <f>IFERROR(__xludf.DUMMYFUNCTION("""COMPUTED_VALUE"""),24.26)</f>
        <v>24.26</v>
      </c>
      <c r="E99" s="1">
        <f>IFERROR(__xludf.DUMMYFUNCTION("""COMPUTED_VALUE"""),24.26)</f>
        <v>24.26</v>
      </c>
      <c r="F99" s="1">
        <f>IFERROR(__xludf.DUMMYFUNCTION("""COMPUTED_VALUE"""),15.0)</f>
        <v>15</v>
      </c>
      <c r="G99" s="2" t="s">
        <v>9</v>
      </c>
    </row>
    <row r="100">
      <c r="A100" s="3">
        <f>IFERROR(__xludf.DUMMYFUNCTION("""COMPUTED_VALUE"""),44705.66666666667)</f>
        <v>44705.66667</v>
      </c>
      <c r="B100" s="1">
        <f>IFERROR(__xludf.DUMMYFUNCTION("""COMPUTED_VALUE"""),23.27)</f>
        <v>23.27</v>
      </c>
      <c r="C100" s="1">
        <f>IFERROR(__xludf.DUMMYFUNCTION("""COMPUTED_VALUE"""),23.28)</f>
        <v>23.28</v>
      </c>
      <c r="D100" s="1">
        <f>IFERROR(__xludf.DUMMYFUNCTION("""COMPUTED_VALUE"""),23.27)</f>
        <v>23.27</v>
      </c>
      <c r="E100" s="1">
        <f>IFERROR(__xludf.DUMMYFUNCTION("""COMPUTED_VALUE"""),23.28)</f>
        <v>23.28</v>
      </c>
      <c r="F100" s="1">
        <f>IFERROR(__xludf.DUMMYFUNCTION("""COMPUTED_VALUE"""),1459.0)</f>
        <v>1459</v>
      </c>
      <c r="G100" s="2" t="s">
        <v>9</v>
      </c>
    </row>
    <row r="101">
      <c r="A101" s="3">
        <f>IFERROR(__xludf.DUMMYFUNCTION("""COMPUTED_VALUE"""),44706.66666666667)</f>
        <v>44706.66667</v>
      </c>
      <c r="B101" s="1">
        <f>IFERROR(__xludf.DUMMYFUNCTION("""COMPUTED_VALUE"""),23.83)</f>
        <v>23.83</v>
      </c>
      <c r="C101" s="1">
        <f>IFERROR(__xludf.DUMMYFUNCTION("""COMPUTED_VALUE"""),23.93)</f>
        <v>23.93</v>
      </c>
      <c r="D101" s="1">
        <f>IFERROR(__xludf.DUMMYFUNCTION("""COMPUTED_VALUE"""),23.71)</f>
        <v>23.71</v>
      </c>
      <c r="E101" s="1">
        <f>IFERROR(__xludf.DUMMYFUNCTION("""COMPUTED_VALUE"""),23.93)</f>
        <v>23.93</v>
      </c>
      <c r="F101" s="1">
        <f>IFERROR(__xludf.DUMMYFUNCTION("""COMPUTED_VALUE"""),572.0)</f>
        <v>572</v>
      </c>
      <c r="G101" s="2" t="s">
        <v>9</v>
      </c>
    </row>
    <row r="102">
      <c r="A102" s="3">
        <f>IFERROR(__xludf.DUMMYFUNCTION("""COMPUTED_VALUE"""),44707.66666666667)</f>
        <v>44707.66667</v>
      </c>
      <c r="B102" s="1">
        <f>IFERROR(__xludf.DUMMYFUNCTION("""COMPUTED_VALUE"""),23.82)</f>
        <v>23.82</v>
      </c>
      <c r="C102" s="1">
        <f>IFERROR(__xludf.DUMMYFUNCTION("""COMPUTED_VALUE"""),24.66)</f>
        <v>24.66</v>
      </c>
      <c r="D102" s="1">
        <f>IFERROR(__xludf.DUMMYFUNCTION("""COMPUTED_VALUE"""),23.82)</f>
        <v>23.82</v>
      </c>
      <c r="E102" s="1">
        <f>IFERROR(__xludf.DUMMYFUNCTION("""COMPUTED_VALUE"""),24.66)</f>
        <v>24.66</v>
      </c>
      <c r="F102" s="1">
        <f>IFERROR(__xludf.DUMMYFUNCTION("""COMPUTED_VALUE"""),6998.0)</f>
        <v>6998</v>
      </c>
      <c r="G102" s="2" t="s">
        <v>9</v>
      </c>
    </row>
    <row r="103">
      <c r="A103" s="3">
        <f>IFERROR(__xludf.DUMMYFUNCTION("""COMPUTED_VALUE"""),44708.66666666667)</f>
        <v>44708.66667</v>
      </c>
      <c r="B103" s="1">
        <f>IFERROR(__xludf.DUMMYFUNCTION("""COMPUTED_VALUE"""),25.4)</f>
        <v>25.4</v>
      </c>
      <c r="C103" s="1">
        <f>IFERROR(__xludf.DUMMYFUNCTION("""COMPUTED_VALUE"""),25.64)</f>
        <v>25.64</v>
      </c>
      <c r="D103" s="1">
        <f>IFERROR(__xludf.DUMMYFUNCTION("""COMPUTED_VALUE"""),25.4)</f>
        <v>25.4</v>
      </c>
      <c r="E103" s="1">
        <f>IFERROR(__xludf.DUMMYFUNCTION("""COMPUTED_VALUE"""),25.64)</f>
        <v>25.64</v>
      </c>
      <c r="F103" s="1">
        <f>IFERROR(__xludf.DUMMYFUNCTION("""COMPUTED_VALUE"""),617.0)</f>
        <v>617</v>
      </c>
      <c r="G103" s="2" t="s">
        <v>9</v>
      </c>
    </row>
    <row r="104">
      <c r="A104" s="3">
        <f>IFERROR(__xludf.DUMMYFUNCTION("""COMPUTED_VALUE"""),44712.66666666667)</f>
        <v>44712.66667</v>
      </c>
      <c r="B104" s="1">
        <f>IFERROR(__xludf.DUMMYFUNCTION("""COMPUTED_VALUE"""),25.56)</f>
        <v>25.56</v>
      </c>
      <c r="C104" s="1">
        <f>IFERROR(__xludf.DUMMYFUNCTION("""COMPUTED_VALUE"""),25.56)</f>
        <v>25.56</v>
      </c>
      <c r="D104" s="1">
        <f>IFERROR(__xludf.DUMMYFUNCTION("""COMPUTED_VALUE"""),25.24)</f>
        <v>25.24</v>
      </c>
      <c r="E104" s="1">
        <f>IFERROR(__xludf.DUMMYFUNCTION("""COMPUTED_VALUE"""),25.24)</f>
        <v>25.24</v>
      </c>
      <c r="F104" s="1">
        <f>IFERROR(__xludf.DUMMYFUNCTION("""COMPUTED_VALUE"""),1483.0)</f>
        <v>1483</v>
      </c>
      <c r="G104" s="2" t="s">
        <v>9</v>
      </c>
    </row>
    <row r="105">
      <c r="A105" s="3">
        <f>IFERROR(__xludf.DUMMYFUNCTION("""COMPUTED_VALUE"""),44713.66666666667)</f>
        <v>44713.66667</v>
      </c>
      <c r="B105" s="1">
        <f>IFERROR(__xludf.DUMMYFUNCTION("""COMPUTED_VALUE"""),25.07)</f>
        <v>25.07</v>
      </c>
      <c r="C105" s="1">
        <f>IFERROR(__xludf.DUMMYFUNCTION("""COMPUTED_VALUE"""),25.07)</f>
        <v>25.07</v>
      </c>
      <c r="D105" s="1">
        <f>IFERROR(__xludf.DUMMYFUNCTION("""COMPUTED_VALUE"""),24.81)</f>
        <v>24.81</v>
      </c>
      <c r="E105" s="1">
        <f>IFERROR(__xludf.DUMMYFUNCTION("""COMPUTED_VALUE"""),24.88)</f>
        <v>24.88</v>
      </c>
      <c r="F105" s="1">
        <f>IFERROR(__xludf.DUMMYFUNCTION("""COMPUTED_VALUE"""),871.0)</f>
        <v>871</v>
      </c>
      <c r="G105" s="2" t="s">
        <v>9</v>
      </c>
    </row>
    <row r="106">
      <c r="A106" s="3">
        <f>IFERROR(__xludf.DUMMYFUNCTION("""COMPUTED_VALUE"""),44714.66666666667)</f>
        <v>44714.66667</v>
      </c>
      <c r="B106" s="1">
        <f>IFERROR(__xludf.DUMMYFUNCTION("""COMPUTED_VALUE"""),24.78)</f>
        <v>24.78</v>
      </c>
      <c r="C106" s="1">
        <f>IFERROR(__xludf.DUMMYFUNCTION("""COMPUTED_VALUE"""),25.82)</f>
        <v>25.82</v>
      </c>
      <c r="D106" s="1">
        <f>IFERROR(__xludf.DUMMYFUNCTION("""COMPUTED_VALUE"""),24.74)</f>
        <v>24.74</v>
      </c>
      <c r="E106" s="1">
        <f>IFERROR(__xludf.DUMMYFUNCTION("""COMPUTED_VALUE"""),25.82)</f>
        <v>25.82</v>
      </c>
      <c r="F106" s="1">
        <f>IFERROR(__xludf.DUMMYFUNCTION("""COMPUTED_VALUE"""),937.0)</f>
        <v>937</v>
      </c>
      <c r="G106" s="2" t="s">
        <v>9</v>
      </c>
    </row>
    <row r="107">
      <c r="A107" s="3">
        <f>IFERROR(__xludf.DUMMYFUNCTION("""COMPUTED_VALUE"""),44715.66666666667)</f>
        <v>44715.66667</v>
      </c>
      <c r="B107" s="1">
        <f>IFERROR(__xludf.DUMMYFUNCTION("""COMPUTED_VALUE"""),25.3)</f>
        <v>25.3</v>
      </c>
      <c r="C107" s="1">
        <f>IFERROR(__xludf.DUMMYFUNCTION("""COMPUTED_VALUE"""),25.3)</f>
        <v>25.3</v>
      </c>
      <c r="D107" s="1">
        <f>IFERROR(__xludf.DUMMYFUNCTION("""COMPUTED_VALUE"""),25.3)</f>
        <v>25.3</v>
      </c>
      <c r="E107" s="1">
        <f>IFERROR(__xludf.DUMMYFUNCTION("""COMPUTED_VALUE"""),25.3)</f>
        <v>25.3</v>
      </c>
      <c r="F107" s="1">
        <f>IFERROR(__xludf.DUMMYFUNCTION("""COMPUTED_VALUE"""),108.0)</f>
        <v>108</v>
      </c>
      <c r="G107" s="2" t="s">
        <v>9</v>
      </c>
    </row>
    <row r="108">
      <c r="A108" s="3">
        <f>IFERROR(__xludf.DUMMYFUNCTION("""COMPUTED_VALUE"""),44718.66666666667)</f>
        <v>44718.66667</v>
      </c>
      <c r="B108" s="1">
        <f>IFERROR(__xludf.DUMMYFUNCTION("""COMPUTED_VALUE"""),25.25)</f>
        <v>25.25</v>
      </c>
      <c r="C108" s="1">
        <f>IFERROR(__xludf.DUMMYFUNCTION("""COMPUTED_VALUE"""),25.29)</f>
        <v>25.29</v>
      </c>
      <c r="D108" s="1">
        <f>IFERROR(__xludf.DUMMYFUNCTION("""COMPUTED_VALUE"""),25.25)</f>
        <v>25.25</v>
      </c>
      <c r="E108" s="1">
        <f>IFERROR(__xludf.DUMMYFUNCTION("""COMPUTED_VALUE"""),25.29)</f>
        <v>25.29</v>
      </c>
      <c r="F108" s="1">
        <f>IFERROR(__xludf.DUMMYFUNCTION("""COMPUTED_VALUE"""),34588.0)</f>
        <v>34588</v>
      </c>
      <c r="G108" s="2" t="s">
        <v>9</v>
      </c>
    </row>
    <row r="109">
      <c r="A109" s="3">
        <f>IFERROR(__xludf.DUMMYFUNCTION("""COMPUTED_VALUE"""),44719.66666666667)</f>
        <v>44719.66667</v>
      </c>
      <c r="B109" s="1">
        <f>IFERROR(__xludf.DUMMYFUNCTION("""COMPUTED_VALUE"""),25.38)</f>
        <v>25.38</v>
      </c>
      <c r="C109" s="1">
        <f>IFERROR(__xludf.DUMMYFUNCTION("""COMPUTED_VALUE"""),25.67)</f>
        <v>25.67</v>
      </c>
      <c r="D109" s="1">
        <f>IFERROR(__xludf.DUMMYFUNCTION("""COMPUTED_VALUE"""),25.38)</f>
        <v>25.38</v>
      </c>
      <c r="E109" s="1">
        <f>IFERROR(__xludf.DUMMYFUNCTION("""COMPUTED_VALUE"""),25.67)</f>
        <v>25.67</v>
      </c>
      <c r="F109" s="1">
        <f>IFERROR(__xludf.DUMMYFUNCTION("""COMPUTED_VALUE"""),582.0)</f>
        <v>582</v>
      </c>
      <c r="G109" s="2" t="s">
        <v>9</v>
      </c>
    </row>
    <row r="110">
      <c r="A110" s="3">
        <f>IFERROR(__xludf.DUMMYFUNCTION("""COMPUTED_VALUE"""),44720.66666666667)</f>
        <v>44720.66667</v>
      </c>
      <c r="B110" s="1">
        <f>IFERROR(__xludf.DUMMYFUNCTION("""COMPUTED_VALUE"""),25.93)</f>
        <v>25.93</v>
      </c>
      <c r="C110" s="1">
        <f>IFERROR(__xludf.DUMMYFUNCTION("""COMPUTED_VALUE"""),25.96)</f>
        <v>25.96</v>
      </c>
      <c r="D110" s="1">
        <f>IFERROR(__xludf.DUMMYFUNCTION("""COMPUTED_VALUE"""),25.44)</f>
        <v>25.44</v>
      </c>
      <c r="E110" s="1">
        <f>IFERROR(__xludf.DUMMYFUNCTION("""COMPUTED_VALUE"""),25.46)</f>
        <v>25.46</v>
      </c>
      <c r="F110" s="1">
        <f>IFERROR(__xludf.DUMMYFUNCTION("""COMPUTED_VALUE"""),7370.0)</f>
        <v>7370</v>
      </c>
      <c r="G110" s="2" t="s">
        <v>9</v>
      </c>
    </row>
    <row r="111">
      <c r="A111" s="3">
        <f>IFERROR(__xludf.DUMMYFUNCTION("""COMPUTED_VALUE"""),44721.66666666667)</f>
        <v>44721.66667</v>
      </c>
      <c r="B111" s="1">
        <f>IFERROR(__xludf.DUMMYFUNCTION("""COMPUTED_VALUE"""),25.08)</f>
        <v>25.08</v>
      </c>
      <c r="C111" s="1">
        <f>IFERROR(__xludf.DUMMYFUNCTION("""COMPUTED_VALUE"""),25.08)</f>
        <v>25.08</v>
      </c>
      <c r="D111" s="1">
        <f>IFERROR(__xludf.DUMMYFUNCTION("""COMPUTED_VALUE"""),24.58)</f>
        <v>24.58</v>
      </c>
      <c r="E111" s="1">
        <f>IFERROR(__xludf.DUMMYFUNCTION("""COMPUTED_VALUE"""),24.58)</f>
        <v>24.58</v>
      </c>
      <c r="F111" s="1">
        <f>IFERROR(__xludf.DUMMYFUNCTION("""COMPUTED_VALUE"""),3734.0)</f>
        <v>3734</v>
      </c>
      <c r="G111" s="2" t="s">
        <v>9</v>
      </c>
    </row>
    <row r="112">
      <c r="A112" s="3">
        <f>IFERROR(__xludf.DUMMYFUNCTION("""COMPUTED_VALUE"""),44722.66666666667)</f>
        <v>44722.66667</v>
      </c>
      <c r="B112" s="1">
        <f>IFERROR(__xludf.DUMMYFUNCTION("""COMPUTED_VALUE"""),23.63)</f>
        <v>23.63</v>
      </c>
      <c r="C112" s="1">
        <f>IFERROR(__xludf.DUMMYFUNCTION("""COMPUTED_VALUE"""),23.73)</f>
        <v>23.73</v>
      </c>
      <c r="D112" s="1">
        <f>IFERROR(__xludf.DUMMYFUNCTION("""COMPUTED_VALUE"""),23.63)</f>
        <v>23.63</v>
      </c>
      <c r="E112" s="1">
        <f>IFERROR(__xludf.DUMMYFUNCTION("""COMPUTED_VALUE"""),23.73)</f>
        <v>23.73</v>
      </c>
      <c r="F112" s="1">
        <f>IFERROR(__xludf.DUMMYFUNCTION("""COMPUTED_VALUE"""),497.0)</f>
        <v>497</v>
      </c>
      <c r="G112" s="2" t="s">
        <v>9</v>
      </c>
    </row>
    <row r="113">
      <c r="A113" s="3">
        <f>IFERROR(__xludf.DUMMYFUNCTION("""COMPUTED_VALUE"""),44725.66666666667)</f>
        <v>44725.66667</v>
      </c>
      <c r="B113" s="1">
        <f>IFERROR(__xludf.DUMMYFUNCTION("""COMPUTED_VALUE"""),22.72)</f>
        <v>22.72</v>
      </c>
      <c r="C113" s="1">
        <f>IFERROR(__xludf.DUMMYFUNCTION("""COMPUTED_VALUE"""),22.95)</f>
        <v>22.95</v>
      </c>
      <c r="D113" s="1">
        <f>IFERROR(__xludf.DUMMYFUNCTION("""COMPUTED_VALUE"""),22.22)</f>
        <v>22.22</v>
      </c>
      <c r="E113" s="1">
        <f>IFERROR(__xludf.DUMMYFUNCTION("""COMPUTED_VALUE"""),22.25)</f>
        <v>22.25</v>
      </c>
      <c r="F113" s="1">
        <f>IFERROR(__xludf.DUMMYFUNCTION("""COMPUTED_VALUE"""),3467.0)</f>
        <v>3467</v>
      </c>
      <c r="G113" s="2" t="s">
        <v>9</v>
      </c>
    </row>
    <row r="114">
      <c r="A114" s="3">
        <f>IFERROR(__xludf.DUMMYFUNCTION("""COMPUTED_VALUE"""),44726.66666666667)</f>
        <v>44726.66667</v>
      </c>
      <c r="B114" s="1">
        <f>IFERROR(__xludf.DUMMYFUNCTION("""COMPUTED_VALUE"""),22.22)</f>
        <v>22.22</v>
      </c>
      <c r="C114" s="1">
        <f>IFERROR(__xludf.DUMMYFUNCTION("""COMPUTED_VALUE"""),22.3)</f>
        <v>22.3</v>
      </c>
      <c r="D114" s="1">
        <f>IFERROR(__xludf.DUMMYFUNCTION("""COMPUTED_VALUE"""),22.21)</f>
        <v>22.21</v>
      </c>
      <c r="E114" s="1">
        <f>IFERROR(__xludf.DUMMYFUNCTION("""COMPUTED_VALUE"""),22.22)</f>
        <v>22.22</v>
      </c>
      <c r="F114" s="1">
        <f>IFERROR(__xludf.DUMMYFUNCTION("""COMPUTED_VALUE"""),967.0)</f>
        <v>967</v>
      </c>
      <c r="G114" s="2" t="s">
        <v>9</v>
      </c>
    </row>
    <row r="115">
      <c r="A115" s="3">
        <f>IFERROR(__xludf.DUMMYFUNCTION("""COMPUTED_VALUE"""),44727.66666666667)</f>
        <v>44727.66667</v>
      </c>
      <c r="B115" s="1">
        <f>IFERROR(__xludf.DUMMYFUNCTION("""COMPUTED_VALUE"""),22.73)</f>
        <v>22.73</v>
      </c>
      <c r="C115" s="1">
        <f>IFERROR(__xludf.DUMMYFUNCTION("""COMPUTED_VALUE"""),22.87)</f>
        <v>22.87</v>
      </c>
      <c r="D115" s="1">
        <f>IFERROR(__xludf.DUMMYFUNCTION("""COMPUTED_VALUE"""),22.58)</f>
        <v>22.58</v>
      </c>
      <c r="E115" s="1">
        <f>IFERROR(__xludf.DUMMYFUNCTION("""COMPUTED_VALUE"""),22.87)</f>
        <v>22.87</v>
      </c>
      <c r="F115" s="1">
        <f>IFERROR(__xludf.DUMMYFUNCTION("""COMPUTED_VALUE"""),3205.0)</f>
        <v>3205</v>
      </c>
      <c r="G115" s="2" t="s">
        <v>9</v>
      </c>
    </row>
    <row r="116">
      <c r="A116" s="3">
        <f>IFERROR(__xludf.DUMMYFUNCTION("""COMPUTED_VALUE"""),44728.66666666667)</f>
        <v>44728.66667</v>
      </c>
      <c r="B116" s="1">
        <f>IFERROR(__xludf.DUMMYFUNCTION("""COMPUTED_VALUE"""),22.12)</f>
        <v>22.12</v>
      </c>
      <c r="C116" s="1">
        <f>IFERROR(__xludf.DUMMYFUNCTION("""COMPUTED_VALUE"""),22.12)</f>
        <v>22.12</v>
      </c>
      <c r="D116" s="1">
        <f>IFERROR(__xludf.DUMMYFUNCTION("""COMPUTED_VALUE"""),21.68)</f>
        <v>21.68</v>
      </c>
      <c r="E116" s="1">
        <f>IFERROR(__xludf.DUMMYFUNCTION("""COMPUTED_VALUE"""),21.68)</f>
        <v>21.68</v>
      </c>
      <c r="F116" s="1">
        <f>IFERROR(__xludf.DUMMYFUNCTION("""COMPUTED_VALUE"""),283.0)</f>
        <v>283</v>
      </c>
      <c r="G116" s="2" t="s">
        <v>9</v>
      </c>
    </row>
    <row r="117">
      <c r="A117" s="3">
        <f>IFERROR(__xludf.DUMMYFUNCTION("""COMPUTED_VALUE"""),44729.66666666667)</f>
        <v>44729.66667</v>
      </c>
      <c r="B117" s="1">
        <f>IFERROR(__xludf.DUMMYFUNCTION("""COMPUTED_VALUE"""),22.22)</f>
        <v>22.22</v>
      </c>
      <c r="C117" s="1">
        <f>IFERROR(__xludf.DUMMYFUNCTION("""COMPUTED_VALUE"""),22.35)</f>
        <v>22.35</v>
      </c>
      <c r="D117" s="1">
        <f>IFERROR(__xludf.DUMMYFUNCTION("""COMPUTED_VALUE"""),22.18)</f>
        <v>22.18</v>
      </c>
      <c r="E117" s="1">
        <f>IFERROR(__xludf.DUMMYFUNCTION("""COMPUTED_VALUE"""),22.24)</f>
        <v>22.24</v>
      </c>
      <c r="F117" s="1">
        <f>IFERROR(__xludf.DUMMYFUNCTION("""COMPUTED_VALUE"""),4004.0)</f>
        <v>4004</v>
      </c>
      <c r="G117" s="2" t="s">
        <v>9</v>
      </c>
    </row>
    <row r="118">
      <c r="A118" s="3">
        <f>IFERROR(__xludf.DUMMYFUNCTION("""COMPUTED_VALUE"""),44733.66666666667)</f>
        <v>44733.66667</v>
      </c>
      <c r="B118" s="1">
        <f>IFERROR(__xludf.DUMMYFUNCTION("""COMPUTED_VALUE"""),22.93)</f>
        <v>22.93</v>
      </c>
      <c r="C118" s="1">
        <f>IFERROR(__xludf.DUMMYFUNCTION("""COMPUTED_VALUE"""),22.93)</f>
        <v>22.93</v>
      </c>
      <c r="D118" s="1">
        <f>IFERROR(__xludf.DUMMYFUNCTION("""COMPUTED_VALUE"""),22.7)</f>
        <v>22.7</v>
      </c>
      <c r="E118" s="1">
        <f>IFERROR(__xludf.DUMMYFUNCTION("""COMPUTED_VALUE"""),22.7)</f>
        <v>22.7</v>
      </c>
      <c r="F118" s="1">
        <f>IFERROR(__xludf.DUMMYFUNCTION("""COMPUTED_VALUE"""),575.0)</f>
        <v>575</v>
      </c>
      <c r="G118" s="2" t="s">
        <v>9</v>
      </c>
    </row>
    <row r="119">
      <c r="A119" s="3">
        <f>IFERROR(__xludf.DUMMYFUNCTION("""COMPUTED_VALUE"""),44734.66666666667)</f>
        <v>44734.66667</v>
      </c>
      <c r="B119" s="1">
        <f>IFERROR(__xludf.DUMMYFUNCTION("""COMPUTED_VALUE"""),22.94)</f>
        <v>22.94</v>
      </c>
      <c r="C119" s="1">
        <f>IFERROR(__xludf.DUMMYFUNCTION("""COMPUTED_VALUE"""),22.95)</f>
        <v>22.95</v>
      </c>
      <c r="D119" s="1">
        <f>IFERROR(__xludf.DUMMYFUNCTION("""COMPUTED_VALUE"""),22.77)</f>
        <v>22.77</v>
      </c>
      <c r="E119" s="1">
        <f>IFERROR(__xludf.DUMMYFUNCTION("""COMPUTED_VALUE"""),22.77)</f>
        <v>22.77</v>
      </c>
      <c r="F119" s="1">
        <f>IFERROR(__xludf.DUMMYFUNCTION("""COMPUTED_VALUE"""),813.0)</f>
        <v>813</v>
      </c>
      <c r="G119" s="2" t="s">
        <v>9</v>
      </c>
    </row>
    <row r="120">
      <c r="A120" s="3">
        <f>IFERROR(__xludf.DUMMYFUNCTION("""COMPUTED_VALUE"""),44735.66666666667)</f>
        <v>44735.66667</v>
      </c>
      <c r="B120" s="1">
        <f>IFERROR(__xludf.DUMMYFUNCTION("""COMPUTED_VALUE"""),23.13)</f>
        <v>23.13</v>
      </c>
      <c r="C120" s="1">
        <f>IFERROR(__xludf.DUMMYFUNCTION("""COMPUTED_VALUE"""),23.52)</f>
        <v>23.52</v>
      </c>
      <c r="D120" s="1">
        <f>IFERROR(__xludf.DUMMYFUNCTION("""COMPUTED_VALUE"""),23.07)</f>
        <v>23.07</v>
      </c>
      <c r="E120" s="1">
        <f>IFERROR(__xludf.DUMMYFUNCTION("""COMPUTED_VALUE"""),23.52)</f>
        <v>23.52</v>
      </c>
      <c r="F120" s="1">
        <f>IFERROR(__xludf.DUMMYFUNCTION("""COMPUTED_VALUE"""),402.0)</f>
        <v>402</v>
      </c>
      <c r="G120" s="2" t="s">
        <v>9</v>
      </c>
    </row>
    <row r="121">
      <c r="A121" s="3">
        <f>IFERROR(__xludf.DUMMYFUNCTION("""COMPUTED_VALUE"""),44736.66666666667)</f>
        <v>44736.66667</v>
      </c>
      <c r="B121" s="1">
        <f>IFERROR(__xludf.DUMMYFUNCTION("""COMPUTED_VALUE"""),24.25)</f>
        <v>24.25</v>
      </c>
      <c r="C121" s="1">
        <f>IFERROR(__xludf.DUMMYFUNCTION("""COMPUTED_VALUE"""),24.46)</f>
        <v>24.46</v>
      </c>
      <c r="D121" s="1">
        <f>IFERROR(__xludf.DUMMYFUNCTION("""COMPUTED_VALUE"""),24.23)</f>
        <v>24.23</v>
      </c>
      <c r="E121" s="1">
        <f>IFERROR(__xludf.DUMMYFUNCTION("""COMPUTED_VALUE"""),24.46)</f>
        <v>24.46</v>
      </c>
      <c r="F121" s="1">
        <f>IFERROR(__xludf.DUMMYFUNCTION("""COMPUTED_VALUE"""),522.0)</f>
        <v>522</v>
      </c>
      <c r="G121" s="2" t="s">
        <v>9</v>
      </c>
    </row>
    <row r="122">
      <c r="A122" s="3">
        <f>IFERROR(__xludf.DUMMYFUNCTION("""COMPUTED_VALUE"""),44739.66666666667)</f>
        <v>44739.66667</v>
      </c>
      <c r="B122" s="1">
        <f>IFERROR(__xludf.DUMMYFUNCTION("""COMPUTED_VALUE"""),24.08)</f>
        <v>24.08</v>
      </c>
      <c r="C122" s="1">
        <f>IFERROR(__xludf.DUMMYFUNCTION("""COMPUTED_VALUE"""),24.25)</f>
        <v>24.25</v>
      </c>
      <c r="D122" s="1">
        <f>IFERROR(__xludf.DUMMYFUNCTION("""COMPUTED_VALUE"""),24.08)</f>
        <v>24.08</v>
      </c>
      <c r="E122" s="1">
        <f>IFERROR(__xludf.DUMMYFUNCTION("""COMPUTED_VALUE"""),24.25)</f>
        <v>24.25</v>
      </c>
      <c r="F122" s="1">
        <f>IFERROR(__xludf.DUMMYFUNCTION("""COMPUTED_VALUE"""),353.0)</f>
        <v>353</v>
      </c>
      <c r="G122" s="2" t="s">
        <v>9</v>
      </c>
    </row>
    <row r="123">
      <c r="A123" s="3">
        <f>IFERROR(__xludf.DUMMYFUNCTION("""COMPUTED_VALUE"""),44740.66666666667)</f>
        <v>44740.66667</v>
      </c>
      <c r="B123" s="1">
        <f>IFERROR(__xludf.DUMMYFUNCTION("""COMPUTED_VALUE"""),23.81)</f>
        <v>23.81</v>
      </c>
      <c r="C123" s="1">
        <f>IFERROR(__xludf.DUMMYFUNCTION("""COMPUTED_VALUE"""),23.81)</f>
        <v>23.81</v>
      </c>
      <c r="D123" s="1">
        <f>IFERROR(__xludf.DUMMYFUNCTION("""COMPUTED_VALUE"""),23.5)</f>
        <v>23.5</v>
      </c>
      <c r="E123" s="1">
        <f>IFERROR(__xludf.DUMMYFUNCTION("""COMPUTED_VALUE"""),23.51)</f>
        <v>23.51</v>
      </c>
      <c r="F123" s="1">
        <f>IFERROR(__xludf.DUMMYFUNCTION("""COMPUTED_VALUE"""),470.0)</f>
        <v>470</v>
      </c>
      <c r="G123" s="2" t="s">
        <v>9</v>
      </c>
    </row>
    <row r="124">
      <c r="A124" s="3">
        <f>IFERROR(__xludf.DUMMYFUNCTION("""COMPUTED_VALUE"""),44741.66666666667)</f>
        <v>44741.66667</v>
      </c>
      <c r="B124" s="1">
        <f>IFERROR(__xludf.DUMMYFUNCTION("""COMPUTED_VALUE"""),23.17)</f>
        <v>23.17</v>
      </c>
      <c r="C124" s="1">
        <f>IFERROR(__xludf.DUMMYFUNCTION("""COMPUTED_VALUE"""),23.21)</f>
        <v>23.21</v>
      </c>
      <c r="D124" s="1">
        <f>IFERROR(__xludf.DUMMYFUNCTION("""COMPUTED_VALUE"""),23.15)</f>
        <v>23.15</v>
      </c>
      <c r="E124" s="1">
        <f>IFERROR(__xludf.DUMMYFUNCTION("""COMPUTED_VALUE"""),23.17)</f>
        <v>23.17</v>
      </c>
      <c r="F124" s="1">
        <f>IFERROR(__xludf.DUMMYFUNCTION("""COMPUTED_VALUE"""),442.0)</f>
        <v>442</v>
      </c>
      <c r="G124" s="2" t="s">
        <v>9</v>
      </c>
    </row>
    <row r="125">
      <c r="A125" s="3">
        <f>IFERROR(__xludf.DUMMYFUNCTION("""COMPUTED_VALUE"""),44742.66666666667)</f>
        <v>44742.66667</v>
      </c>
      <c r="B125" s="1">
        <f>IFERROR(__xludf.DUMMYFUNCTION("""COMPUTED_VALUE"""),22.7)</f>
        <v>22.7</v>
      </c>
      <c r="C125" s="1">
        <f>IFERROR(__xludf.DUMMYFUNCTION("""COMPUTED_VALUE"""),22.74)</f>
        <v>22.74</v>
      </c>
      <c r="D125" s="1">
        <f>IFERROR(__xludf.DUMMYFUNCTION("""COMPUTED_VALUE"""),22.7)</f>
        <v>22.7</v>
      </c>
      <c r="E125" s="1">
        <f>IFERROR(__xludf.DUMMYFUNCTION("""COMPUTED_VALUE"""),22.74)</f>
        <v>22.74</v>
      </c>
      <c r="F125" s="1">
        <f>IFERROR(__xludf.DUMMYFUNCTION("""COMPUTED_VALUE"""),479.0)</f>
        <v>479</v>
      </c>
      <c r="G125" s="2" t="s">
        <v>9</v>
      </c>
    </row>
    <row r="126">
      <c r="A126" s="3">
        <f>IFERROR(__xludf.DUMMYFUNCTION("""COMPUTED_VALUE"""),44743.66666666667)</f>
        <v>44743.66667</v>
      </c>
      <c r="B126" s="1">
        <f>IFERROR(__xludf.DUMMYFUNCTION("""COMPUTED_VALUE"""),23.16)</f>
        <v>23.16</v>
      </c>
      <c r="C126" s="1">
        <f>IFERROR(__xludf.DUMMYFUNCTION("""COMPUTED_VALUE"""),23.16)</f>
        <v>23.16</v>
      </c>
      <c r="D126" s="1">
        <f>IFERROR(__xludf.DUMMYFUNCTION("""COMPUTED_VALUE"""),23.16)</f>
        <v>23.16</v>
      </c>
      <c r="E126" s="1">
        <f>IFERROR(__xludf.DUMMYFUNCTION("""COMPUTED_VALUE"""),23.16)</f>
        <v>23.16</v>
      </c>
      <c r="F126" s="1">
        <f>IFERROR(__xludf.DUMMYFUNCTION("""COMPUTED_VALUE"""),182.0)</f>
        <v>182</v>
      </c>
      <c r="G126" s="2" t="s">
        <v>9</v>
      </c>
    </row>
    <row r="127">
      <c r="A127" s="3">
        <f>IFERROR(__xludf.DUMMYFUNCTION("""COMPUTED_VALUE"""),44747.66666666667)</f>
        <v>44747.66667</v>
      </c>
      <c r="B127" s="1">
        <f>IFERROR(__xludf.DUMMYFUNCTION("""COMPUTED_VALUE"""),23.81)</f>
        <v>23.81</v>
      </c>
      <c r="C127" s="1">
        <f>IFERROR(__xludf.DUMMYFUNCTION("""COMPUTED_VALUE"""),23.81)</f>
        <v>23.81</v>
      </c>
      <c r="D127" s="1">
        <f>IFERROR(__xludf.DUMMYFUNCTION("""COMPUTED_VALUE"""),23.81)</f>
        <v>23.81</v>
      </c>
      <c r="E127" s="1">
        <f>IFERROR(__xludf.DUMMYFUNCTION("""COMPUTED_VALUE"""),23.81)</f>
        <v>23.81</v>
      </c>
      <c r="F127" s="1">
        <f>IFERROR(__xludf.DUMMYFUNCTION("""COMPUTED_VALUE"""),217.0)</f>
        <v>217</v>
      </c>
      <c r="G127" s="2" t="s">
        <v>9</v>
      </c>
    </row>
    <row r="128">
      <c r="A128" s="3">
        <f>IFERROR(__xludf.DUMMYFUNCTION("""COMPUTED_VALUE"""),44748.66666666667)</f>
        <v>44748.66667</v>
      </c>
      <c r="B128" s="1">
        <f>IFERROR(__xludf.DUMMYFUNCTION("""COMPUTED_VALUE"""),23.59)</f>
        <v>23.59</v>
      </c>
      <c r="C128" s="1">
        <f>IFERROR(__xludf.DUMMYFUNCTION("""COMPUTED_VALUE"""),23.59)</f>
        <v>23.59</v>
      </c>
      <c r="D128" s="1">
        <f>IFERROR(__xludf.DUMMYFUNCTION("""COMPUTED_VALUE"""),23.59)</f>
        <v>23.59</v>
      </c>
      <c r="E128" s="1">
        <f>IFERROR(__xludf.DUMMYFUNCTION("""COMPUTED_VALUE"""),23.59)</f>
        <v>23.59</v>
      </c>
      <c r="F128" s="1">
        <f>IFERROR(__xludf.DUMMYFUNCTION("""COMPUTED_VALUE"""),216.0)</f>
        <v>216</v>
      </c>
      <c r="G128" s="2" t="s">
        <v>9</v>
      </c>
    </row>
    <row r="129">
      <c r="A129" s="3">
        <f>IFERROR(__xludf.DUMMYFUNCTION("""COMPUTED_VALUE"""),44749.66666666667)</f>
        <v>44749.66667</v>
      </c>
      <c r="B129" s="1">
        <f>IFERROR(__xludf.DUMMYFUNCTION("""COMPUTED_VALUE"""),24.32)</f>
        <v>24.32</v>
      </c>
      <c r="C129" s="1">
        <f>IFERROR(__xludf.DUMMYFUNCTION("""COMPUTED_VALUE"""),24.32)</f>
        <v>24.32</v>
      </c>
      <c r="D129" s="1">
        <f>IFERROR(__xludf.DUMMYFUNCTION("""COMPUTED_VALUE"""),24.32)</f>
        <v>24.32</v>
      </c>
      <c r="E129" s="1">
        <f>IFERROR(__xludf.DUMMYFUNCTION("""COMPUTED_VALUE"""),24.32)</f>
        <v>24.32</v>
      </c>
      <c r="F129" s="1">
        <f>IFERROR(__xludf.DUMMYFUNCTION("""COMPUTED_VALUE"""),48.0)</f>
        <v>48</v>
      </c>
      <c r="G129" s="2" t="s">
        <v>9</v>
      </c>
    </row>
    <row r="130">
      <c r="A130" s="3">
        <f>IFERROR(__xludf.DUMMYFUNCTION("""COMPUTED_VALUE"""),44750.66666666667)</f>
        <v>44750.66667</v>
      </c>
      <c r="B130" s="1">
        <f>IFERROR(__xludf.DUMMYFUNCTION("""COMPUTED_VALUE"""),24.2)</f>
        <v>24.2</v>
      </c>
      <c r="C130" s="1">
        <f>IFERROR(__xludf.DUMMYFUNCTION("""COMPUTED_VALUE"""),24.3)</f>
        <v>24.3</v>
      </c>
      <c r="D130" s="1">
        <f>IFERROR(__xludf.DUMMYFUNCTION("""COMPUTED_VALUE"""),24.19)</f>
        <v>24.19</v>
      </c>
      <c r="E130" s="1">
        <f>IFERROR(__xludf.DUMMYFUNCTION("""COMPUTED_VALUE"""),24.3)</f>
        <v>24.3</v>
      </c>
      <c r="F130" s="1">
        <f>IFERROR(__xludf.DUMMYFUNCTION("""COMPUTED_VALUE"""),458.0)</f>
        <v>458</v>
      </c>
      <c r="G130" s="2" t="s">
        <v>9</v>
      </c>
    </row>
    <row r="131">
      <c r="A131" s="3">
        <f>IFERROR(__xludf.DUMMYFUNCTION("""COMPUTED_VALUE"""),44753.66666666667)</f>
        <v>44753.66667</v>
      </c>
      <c r="B131" s="1">
        <f>IFERROR(__xludf.DUMMYFUNCTION("""COMPUTED_VALUE"""),23.62)</f>
        <v>23.62</v>
      </c>
      <c r="C131" s="1">
        <f>IFERROR(__xludf.DUMMYFUNCTION("""COMPUTED_VALUE"""),23.62)</f>
        <v>23.62</v>
      </c>
      <c r="D131" s="1">
        <f>IFERROR(__xludf.DUMMYFUNCTION("""COMPUTED_VALUE"""),23.62)</f>
        <v>23.62</v>
      </c>
      <c r="E131" s="1">
        <f>IFERROR(__xludf.DUMMYFUNCTION("""COMPUTED_VALUE"""),23.62)</f>
        <v>23.62</v>
      </c>
      <c r="F131" s="1">
        <f>IFERROR(__xludf.DUMMYFUNCTION("""COMPUTED_VALUE"""),21.0)</f>
        <v>21</v>
      </c>
      <c r="G131" s="2" t="s">
        <v>9</v>
      </c>
    </row>
    <row r="132">
      <c r="A132" s="3">
        <f>IFERROR(__xludf.DUMMYFUNCTION("""COMPUTED_VALUE"""),44754.66666666667)</f>
        <v>44754.66667</v>
      </c>
      <c r="B132" s="1">
        <f>IFERROR(__xludf.DUMMYFUNCTION("""COMPUTED_VALUE"""),23.65)</f>
        <v>23.65</v>
      </c>
      <c r="C132" s="1">
        <f>IFERROR(__xludf.DUMMYFUNCTION("""COMPUTED_VALUE"""),23.65)</f>
        <v>23.65</v>
      </c>
      <c r="D132" s="1">
        <f>IFERROR(__xludf.DUMMYFUNCTION("""COMPUTED_VALUE"""),23.41)</f>
        <v>23.41</v>
      </c>
      <c r="E132" s="1">
        <f>IFERROR(__xludf.DUMMYFUNCTION("""COMPUTED_VALUE"""),23.41)</f>
        <v>23.41</v>
      </c>
      <c r="F132" s="1">
        <f>IFERROR(__xludf.DUMMYFUNCTION("""COMPUTED_VALUE"""),799.0)</f>
        <v>799</v>
      </c>
      <c r="G132" s="2" t="s">
        <v>9</v>
      </c>
    </row>
    <row r="133">
      <c r="A133" s="3">
        <f>IFERROR(__xludf.DUMMYFUNCTION("""COMPUTED_VALUE"""),44755.66666666667)</f>
        <v>44755.66667</v>
      </c>
      <c r="B133" s="1">
        <f>IFERROR(__xludf.DUMMYFUNCTION("""COMPUTED_VALUE"""),23.24)</f>
        <v>23.24</v>
      </c>
      <c r="C133" s="1">
        <f>IFERROR(__xludf.DUMMYFUNCTION("""COMPUTED_VALUE"""),23.31)</f>
        <v>23.31</v>
      </c>
      <c r="D133" s="1">
        <f>IFERROR(__xludf.DUMMYFUNCTION("""COMPUTED_VALUE"""),23.24)</f>
        <v>23.24</v>
      </c>
      <c r="E133" s="1">
        <f>IFERROR(__xludf.DUMMYFUNCTION("""COMPUTED_VALUE"""),23.31)</f>
        <v>23.31</v>
      </c>
      <c r="F133" s="1">
        <f>IFERROR(__xludf.DUMMYFUNCTION("""COMPUTED_VALUE"""),244.0)</f>
        <v>244</v>
      </c>
      <c r="G133" s="2" t="s">
        <v>9</v>
      </c>
    </row>
    <row r="134">
      <c r="A134" s="3">
        <f>IFERROR(__xludf.DUMMYFUNCTION("""COMPUTED_VALUE"""),44756.66666666667)</f>
        <v>44756.66667</v>
      </c>
      <c r="B134" s="1">
        <f>IFERROR(__xludf.DUMMYFUNCTION("""COMPUTED_VALUE"""),22.77)</f>
        <v>22.77</v>
      </c>
      <c r="C134" s="1">
        <f>IFERROR(__xludf.DUMMYFUNCTION("""COMPUTED_VALUE"""),22.92)</f>
        <v>22.92</v>
      </c>
      <c r="D134" s="1">
        <f>IFERROR(__xludf.DUMMYFUNCTION("""COMPUTED_VALUE"""),22.77)</f>
        <v>22.77</v>
      </c>
      <c r="E134" s="1">
        <f>IFERROR(__xludf.DUMMYFUNCTION("""COMPUTED_VALUE"""),22.92)</f>
        <v>22.92</v>
      </c>
      <c r="F134" s="1">
        <f>IFERROR(__xludf.DUMMYFUNCTION("""COMPUTED_VALUE"""),2419.0)</f>
        <v>2419</v>
      </c>
      <c r="G134" s="2" t="s">
        <v>9</v>
      </c>
    </row>
    <row r="135">
      <c r="A135" s="3">
        <f>IFERROR(__xludf.DUMMYFUNCTION("""COMPUTED_VALUE"""),44757.66666666667)</f>
        <v>44757.66667</v>
      </c>
      <c r="B135" s="1">
        <f>IFERROR(__xludf.DUMMYFUNCTION("""COMPUTED_VALUE"""),23.06)</f>
        <v>23.06</v>
      </c>
      <c r="C135" s="1">
        <f>IFERROR(__xludf.DUMMYFUNCTION("""COMPUTED_VALUE"""),23.61)</f>
        <v>23.61</v>
      </c>
      <c r="D135" s="1">
        <f>IFERROR(__xludf.DUMMYFUNCTION("""COMPUTED_VALUE"""),23.04)</f>
        <v>23.04</v>
      </c>
      <c r="E135" s="1">
        <f>IFERROR(__xludf.DUMMYFUNCTION("""COMPUTED_VALUE"""),23.52)</f>
        <v>23.52</v>
      </c>
      <c r="F135" s="1">
        <f>IFERROR(__xludf.DUMMYFUNCTION("""COMPUTED_VALUE"""),2044.0)</f>
        <v>2044</v>
      </c>
      <c r="G135" s="2" t="s">
        <v>9</v>
      </c>
    </row>
    <row r="136">
      <c r="A136" s="3">
        <f>IFERROR(__xludf.DUMMYFUNCTION("""COMPUTED_VALUE"""),44760.66666666667)</f>
        <v>44760.66667</v>
      </c>
      <c r="B136" s="1">
        <f>IFERROR(__xludf.DUMMYFUNCTION("""COMPUTED_VALUE"""),23.54)</f>
        <v>23.54</v>
      </c>
      <c r="C136" s="1">
        <f>IFERROR(__xludf.DUMMYFUNCTION("""COMPUTED_VALUE"""),23.54)</f>
        <v>23.54</v>
      </c>
      <c r="D136" s="1">
        <f>IFERROR(__xludf.DUMMYFUNCTION("""COMPUTED_VALUE"""),23.54)</f>
        <v>23.54</v>
      </c>
      <c r="E136" s="1">
        <f>IFERROR(__xludf.DUMMYFUNCTION("""COMPUTED_VALUE"""),23.54)</f>
        <v>23.54</v>
      </c>
      <c r="F136" s="1">
        <f>IFERROR(__xludf.DUMMYFUNCTION("""COMPUTED_VALUE"""),235.0)</f>
        <v>235</v>
      </c>
      <c r="G136" s="2" t="s">
        <v>9</v>
      </c>
    </row>
    <row r="137">
      <c r="A137" s="3">
        <f>IFERROR(__xludf.DUMMYFUNCTION("""COMPUTED_VALUE"""),44761.66666666667)</f>
        <v>44761.66667</v>
      </c>
      <c r="B137" s="1">
        <f>IFERROR(__xludf.DUMMYFUNCTION("""COMPUTED_VALUE"""),24.01)</f>
        <v>24.01</v>
      </c>
      <c r="C137" s="1">
        <f>IFERROR(__xludf.DUMMYFUNCTION("""COMPUTED_VALUE"""),24.18)</f>
        <v>24.18</v>
      </c>
      <c r="D137" s="1">
        <f>IFERROR(__xludf.DUMMYFUNCTION("""COMPUTED_VALUE"""),23.98)</f>
        <v>23.98</v>
      </c>
      <c r="E137" s="1">
        <f>IFERROR(__xludf.DUMMYFUNCTION("""COMPUTED_VALUE"""),24.18)</f>
        <v>24.18</v>
      </c>
      <c r="F137" s="1">
        <f>IFERROR(__xludf.DUMMYFUNCTION("""COMPUTED_VALUE"""),1303.0)</f>
        <v>1303</v>
      </c>
      <c r="G137" s="2" t="s">
        <v>9</v>
      </c>
    </row>
    <row r="138">
      <c r="A138" s="3">
        <f>IFERROR(__xludf.DUMMYFUNCTION("""COMPUTED_VALUE"""),44762.66666666667)</f>
        <v>44762.66667</v>
      </c>
      <c r="B138" s="1">
        <f>IFERROR(__xludf.DUMMYFUNCTION("""COMPUTED_VALUE"""),24.85)</f>
        <v>24.85</v>
      </c>
      <c r="C138" s="1">
        <f>IFERROR(__xludf.DUMMYFUNCTION("""COMPUTED_VALUE"""),24.85)</f>
        <v>24.85</v>
      </c>
      <c r="D138" s="1">
        <f>IFERROR(__xludf.DUMMYFUNCTION("""COMPUTED_VALUE"""),24.85)</f>
        <v>24.85</v>
      </c>
      <c r="E138" s="1">
        <f>IFERROR(__xludf.DUMMYFUNCTION("""COMPUTED_VALUE"""),24.85)</f>
        <v>24.85</v>
      </c>
      <c r="F138" s="1">
        <f>IFERROR(__xludf.DUMMYFUNCTION("""COMPUTED_VALUE"""),7.0)</f>
        <v>7</v>
      </c>
      <c r="G138" s="2" t="s">
        <v>9</v>
      </c>
    </row>
    <row r="139">
      <c r="A139" s="3">
        <f>IFERROR(__xludf.DUMMYFUNCTION("""COMPUTED_VALUE"""),44763.66666666667)</f>
        <v>44763.66667</v>
      </c>
      <c r="B139" s="1">
        <f>IFERROR(__xludf.DUMMYFUNCTION("""COMPUTED_VALUE"""),25.05)</f>
        <v>25.05</v>
      </c>
      <c r="C139" s="1">
        <f>IFERROR(__xludf.DUMMYFUNCTION("""COMPUTED_VALUE"""),25.15)</f>
        <v>25.15</v>
      </c>
      <c r="D139" s="1">
        <f>IFERROR(__xludf.DUMMYFUNCTION("""COMPUTED_VALUE"""),25.05)</f>
        <v>25.05</v>
      </c>
      <c r="E139" s="1">
        <f>IFERROR(__xludf.DUMMYFUNCTION("""COMPUTED_VALUE"""),25.15)</f>
        <v>25.15</v>
      </c>
      <c r="F139" s="1">
        <f>IFERROR(__xludf.DUMMYFUNCTION("""COMPUTED_VALUE"""),528.0)</f>
        <v>528</v>
      </c>
      <c r="G139" s="2" t="s">
        <v>9</v>
      </c>
    </row>
    <row r="140">
      <c r="A140" s="3">
        <f>IFERROR(__xludf.DUMMYFUNCTION("""COMPUTED_VALUE"""),44764.66666666667)</f>
        <v>44764.66667</v>
      </c>
      <c r="B140" s="1">
        <f>IFERROR(__xludf.DUMMYFUNCTION("""COMPUTED_VALUE"""),24.51)</f>
        <v>24.51</v>
      </c>
      <c r="C140" s="1">
        <f>IFERROR(__xludf.DUMMYFUNCTION("""COMPUTED_VALUE"""),24.51)</f>
        <v>24.51</v>
      </c>
      <c r="D140" s="1">
        <f>IFERROR(__xludf.DUMMYFUNCTION("""COMPUTED_VALUE"""),24.51)</f>
        <v>24.51</v>
      </c>
      <c r="E140" s="1">
        <f>IFERROR(__xludf.DUMMYFUNCTION("""COMPUTED_VALUE"""),24.51)</f>
        <v>24.51</v>
      </c>
      <c r="F140" s="1">
        <f>IFERROR(__xludf.DUMMYFUNCTION("""COMPUTED_VALUE"""),200.0)</f>
        <v>200</v>
      </c>
      <c r="G140" s="2" t="s">
        <v>9</v>
      </c>
    </row>
    <row r="141">
      <c r="A141" s="3">
        <f>IFERROR(__xludf.DUMMYFUNCTION("""COMPUTED_VALUE"""),44767.66666666667)</f>
        <v>44767.66667</v>
      </c>
      <c r="B141" s="1">
        <f>IFERROR(__xludf.DUMMYFUNCTION("""COMPUTED_VALUE"""),24.42)</f>
        <v>24.42</v>
      </c>
      <c r="C141" s="1">
        <f>IFERROR(__xludf.DUMMYFUNCTION("""COMPUTED_VALUE"""),24.53)</f>
        <v>24.53</v>
      </c>
      <c r="D141" s="1">
        <f>IFERROR(__xludf.DUMMYFUNCTION("""COMPUTED_VALUE"""),24.42)</f>
        <v>24.42</v>
      </c>
      <c r="E141" s="1">
        <f>IFERROR(__xludf.DUMMYFUNCTION("""COMPUTED_VALUE"""),24.46)</f>
        <v>24.46</v>
      </c>
      <c r="F141" s="1">
        <f>IFERROR(__xludf.DUMMYFUNCTION("""COMPUTED_VALUE"""),6120.0)</f>
        <v>6120</v>
      </c>
      <c r="G141" s="2" t="s">
        <v>9</v>
      </c>
    </row>
    <row r="142">
      <c r="A142" s="3">
        <f>IFERROR(__xludf.DUMMYFUNCTION("""COMPUTED_VALUE"""),44768.66666666667)</f>
        <v>44768.66667</v>
      </c>
      <c r="B142" s="1">
        <f>IFERROR(__xludf.DUMMYFUNCTION("""COMPUTED_VALUE"""),23.94)</f>
        <v>23.94</v>
      </c>
      <c r="C142" s="1">
        <f>IFERROR(__xludf.DUMMYFUNCTION("""COMPUTED_VALUE"""),23.94)</f>
        <v>23.94</v>
      </c>
      <c r="D142" s="1">
        <f>IFERROR(__xludf.DUMMYFUNCTION("""COMPUTED_VALUE"""),23.9)</f>
        <v>23.9</v>
      </c>
      <c r="E142" s="1">
        <f>IFERROR(__xludf.DUMMYFUNCTION("""COMPUTED_VALUE"""),23.9)</f>
        <v>23.9</v>
      </c>
      <c r="F142" s="1">
        <f>IFERROR(__xludf.DUMMYFUNCTION("""COMPUTED_VALUE"""),216.0)</f>
        <v>216</v>
      </c>
      <c r="G142" s="2" t="s">
        <v>9</v>
      </c>
    </row>
    <row r="143">
      <c r="A143" s="3">
        <f>IFERROR(__xludf.DUMMYFUNCTION("""COMPUTED_VALUE"""),44769.66666666667)</f>
        <v>44769.66667</v>
      </c>
      <c r="B143" s="1">
        <f>IFERROR(__xludf.DUMMYFUNCTION("""COMPUTED_VALUE"""),24.3)</f>
        <v>24.3</v>
      </c>
      <c r="C143" s="1">
        <f>IFERROR(__xludf.DUMMYFUNCTION("""COMPUTED_VALUE"""),24.77)</f>
        <v>24.77</v>
      </c>
      <c r="D143" s="1">
        <f>IFERROR(__xludf.DUMMYFUNCTION("""COMPUTED_VALUE"""),24.24)</f>
        <v>24.24</v>
      </c>
      <c r="E143" s="1">
        <f>IFERROR(__xludf.DUMMYFUNCTION("""COMPUTED_VALUE"""),24.74)</f>
        <v>24.74</v>
      </c>
      <c r="F143" s="1">
        <f>IFERROR(__xludf.DUMMYFUNCTION("""COMPUTED_VALUE"""),1050.0)</f>
        <v>1050</v>
      </c>
      <c r="G143" s="2" t="s">
        <v>9</v>
      </c>
    </row>
    <row r="144">
      <c r="A144" s="3">
        <f>IFERROR(__xludf.DUMMYFUNCTION("""COMPUTED_VALUE"""),44770.66666666667)</f>
        <v>44770.66667</v>
      </c>
      <c r="B144" s="1">
        <f>IFERROR(__xludf.DUMMYFUNCTION("""COMPUTED_VALUE"""),25.12)</f>
        <v>25.12</v>
      </c>
      <c r="C144" s="1">
        <f>IFERROR(__xludf.DUMMYFUNCTION("""COMPUTED_VALUE"""),25.12)</f>
        <v>25.12</v>
      </c>
      <c r="D144" s="1">
        <f>IFERROR(__xludf.DUMMYFUNCTION("""COMPUTED_VALUE"""),25.12)</f>
        <v>25.12</v>
      </c>
      <c r="E144" s="1">
        <f>IFERROR(__xludf.DUMMYFUNCTION("""COMPUTED_VALUE"""),25.12)</f>
        <v>25.12</v>
      </c>
      <c r="F144" s="1">
        <f>IFERROR(__xludf.DUMMYFUNCTION("""COMPUTED_VALUE"""),24.0)</f>
        <v>24</v>
      </c>
      <c r="G144" s="2" t="s">
        <v>9</v>
      </c>
    </row>
    <row r="145">
      <c r="A145" s="3">
        <f>IFERROR(__xludf.DUMMYFUNCTION("""COMPUTED_VALUE"""),44771.66666666667)</f>
        <v>44771.66667</v>
      </c>
      <c r="B145" s="1">
        <f>IFERROR(__xludf.DUMMYFUNCTION("""COMPUTED_VALUE"""),25.33)</f>
        <v>25.33</v>
      </c>
      <c r="C145" s="1">
        <f>IFERROR(__xludf.DUMMYFUNCTION("""COMPUTED_VALUE"""),25.34)</f>
        <v>25.34</v>
      </c>
      <c r="D145" s="1">
        <f>IFERROR(__xludf.DUMMYFUNCTION("""COMPUTED_VALUE"""),25.33)</f>
        <v>25.33</v>
      </c>
      <c r="E145" s="1">
        <f>IFERROR(__xludf.DUMMYFUNCTION("""COMPUTED_VALUE"""),25.34)</f>
        <v>25.34</v>
      </c>
      <c r="F145" s="1">
        <f>IFERROR(__xludf.DUMMYFUNCTION("""COMPUTED_VALUE"""),809.0)</f>
        <v>809</v>
      </c>
      <c r="G145" s="2" t="s">
        <v>9</v>
      </c>
    </row>
    <row r="146">
      <c r="A146" s="3">
        <f>IFERROR(__xludf.DUMMYFUNCTION("""COMPUTED_VALUE"""),44774.66666666667)</f>
        <v>44774.66667</v>
      </c>
      <c r="B146" s="1">
        <f>IFERROR(__xludf.DUMMYFUNCTION("""COMPUTED_VALUE"""),25.39)</f>
        <v>25.39</v>
      </c>
      <c r="C146" s="1">
        <f>IFERROR(__xludf.DUMMYFUNCTION("""COMPUTED_VALUE"""),25.39)</f>
        <v>25.39</v>
      </c>
      <c r="D146" s="1">
        <f>IFERROR(__xludf.DUMMYFUNCTION("""COMPUTED_VALUE"""),25.32)</f>
        <v>25.32</v>
      </c>
      <c r="E146" s="1">
        <f>IFERROR(__xludf.DUMMYFUNCTION("""COMPUTED_VALUE"""),25.32)</f>
        <v>25.32</v>
      </c>
      <c r="F146" s="1">
        <f>IFERROR(__xludf.DUMMYFUNCTION("""COMPUTED_VALUE"""),302.0)</f>
        <v>302</v>
      </c>
      <c r="G146" s="2" t="s">
        <v>9</v>
      </c>
    </row>
    <row r="147">
      <c r="A147" s="3">
        <f>IFERROR(__xludf.DUMMYFUNCTION("""COMPUTED_VALUE"""),44775.66666666667)</f>
        <v>44775.66667</v>
      </c>
      <c r="B147" s="1">
        <f>IFERROR(__xludf.DUMMYFUNCTION("""COMPUTED_VALUE"""),25.7)</f>
        <v>25.7</v>
      </c>
      <c r="C147" s="1">
        <f>IFERROR(__xludf.DUMMYFUNCTION("""COMPUTED_VALUE"""),25.7)</f>
        <v>25.7</v>
      </c>
      <c r="D147" s="1">
        <f>IFERROR(__xludf.DUMMYFUNCTION("""COMPUTED_VALUE"""),25.54)</f>
        <v>25.54</v>
      </c>
      <c r="E147" s="1">
        <f>IFERROR(__xludf.DUMMYFUNCTION("""COMPUTED_VALUE"""),25.54)</f>
        <v>25.54</v>
      </c>
      <c r="F147" s="1">
        <f>IFERROR(__xludf.DUMMYFUNCTION("""COMPUTED_VALUE"""),535.0)</f>
        <v>535</v>
      </c>
      <c r="G147" s="2" t="s">
        <v>9</v>
      </c>
    </row>
    <row r="148">
      <c r="A148" s="3">
        <f>IFERROR(__xludf.DUMMYFUNCTION("""COMPUTED_VALUE"""),44776.66666666667)</f>
        <v>44776.66667</v>
      </c>
      <c r="B148" s="1">
        <f>IFERROR(__xludf.DUMMYFUNCTION("""COMPUTED_VALUE"""),26.06)</f>
        <v>26.06</v>
      </c>
      <c r="C148" s="1">
        <f>IFERROR(__xludf.DUMMYFUNCTION("""COMPUTED_VALUE"""),26.2)</f>
        <v>26.2</v>
      </c>
      <c r="D148" s="1">
        <f>IFERROR(__xludf.DUMMYFUNCTION("""COMPUTED_VALUE"""),26.04)</f>
        <v>26.04</v>
      </c>
      <c r="E148" s="1">
        <f>IFERROR(__xludf.DUMMYFUNCTION("""COMPUTED_VALUE"""),26.2)</f>
        <v>26.2</v>
      </c>
      <c r="F148" s="1">
        <f>IFERROR(__xludf.DUMMYFUNCTION("""COMPUTED_VALUE"""),604.0)</f>
        <v>604</v>
      </c>
      <c r="G148" s="2" t="s">
        <v>9</v>
      </c>
    </row>
    <row r="149">
      <c r="A149" s="3">
        <f>IFERROR(__xludf.DUMMYFUNCTION("""COMPUTED_VALUE"""),44777.66666666667)</f>
        <v>44777.66667</v>
      </c>
      <c r="B149" s="1">
        <f>IFERROR(__xludf.DUMMYFUNCTION("""COMPUTED_VALUE"""),26.32)</f>
        <v>26.32</v>
      </c>
      <c r="C149" s="1">
        <f>IFERROR(__xludf.DUMMYFUNCTION("""COMPUTED_VALUE"""),26.36)</f>
        <v>26.36</v>
      </c>
      <c r="D149" s="1">
        <f>IFERROR(__xludf.DUMMYFUNCTION("""COMPUTED_VALUE"""),26.32)</f>
        <v>26.32</v>
      </c>
      <c r="E149" s="1">
        <f>IFERROR(__xludf.DUMMYFUNCTION("""COMPUTED_VALUE"""),26.36)</f>
        <v>26.36</v>
      </c>
      <c r="F149" s="1">
        <f>IFERROR(__xludf.DUMMYFUNCTION("""COMPUTED_VALUE"""),820.0)</f>
        <v>820</v>
      </c>
      <c r="G149" s="2" t="s">
        <v>9</v>
      </c>
    </row>
    <row r="150">
      <c r="A150" s="3">
        <f>IFERROR(__xludf.DUMMYFUNCTION("""COMPUTED_VALUE"""),44778.66666666667)</f>
        <v>44778.66667</v>
      </c>
      <c r="B150" s="1">
        <f>IFERROR(__xludf.DUMMYFUNCTION("""COMPUTED_VALUE"""),26.24)</f>
        <v>26.24</v>
      </c>
      <c r="C150" s="1">
        <f>IFERROR(__xludf.DUMMYFUNCTION("""COMPUTED_VALUE"""),26.6)</f>
        <v>26.6</v>
      </c>
      <c r="D150" s="1">
        <f>IFERROR(__xludf.DUMMYFUNCTION("""COMPUTED_VALUE"""),26.24)</f>
        <v>26.24</v>
      </c>
      <c r="E150" s="1">
        <f>IFERROR(__xludf.DUMMYFUNCTION("""COMPUTED_VALUE"""),26.6)</f>
        <v>26.6</v>
      </c>
      <c r="F150" s="1">
        <f>IFERROR(__xludf.DUMMYFUNCTION("""COMPUTED_VALUE"""),1563.0)</f>
        <v>1563</v>
      </c>
      <c r="G150" s="2" t="s">
        <v>9</v>
      </c>
    </row>
    <row r="151">
      <c r="A151" s="3">
        <f>IFERROR(__xludf.DUMMYFUNCTION("""COMPUTED_VALUE"""),44781.66666666667)</f>
        <v>44781.66667</v>
      </c>
      <c r="B151" s="1">
        <f>IFERROR(__xludf.DUMMYFUNCTION("""COMPUTED_VALUE"""),26.74)</f>
        <v>26.74</v>
      </c>
      <c r="C151" s="1">
        <f>IFERROR(__xludf.DUMMYFUNCTION("""COMPUTED_VALUE"""),26.74)</f>
        <v>26.74</v>
      </c>
      <c r="D151" s="1">
        <f>IFERROR(__xludf.DUMMYFUNCTION("""COMPUTED_VALUE"""),26.74)</f>
        <v>26.74</v>
      </c>
      <c r="E151" s="1">
        <f>IFERROR(__xludf.DUMMYFUNCTION("""COMPUTED_VALUE"""),26.74)</f>
        <v>26.74</v>
      </c>
      <c r="F151" s="1">
        <f>IFERROR(__xludf.DUMMYFUNCTION("""COMPUTED_VALUE"""),165.0)</f>
        <v>165</v>
      </c>
      <c r="G151" s="2" t="s">
        <v>9</v>
      </c>
    </row>
    <row r="152">
      <c r="A152" s="3">
        <f>IFERROR(__xludf.DUMMYFUNCTION("""COMPUTED_VALUE"""),44782.66666666667)</f>
        <v>44782.66667</v>
      </c>
      <c r="B152" s="1">
        <f>IFERROR(__xludf.DUMMYFUNCTION("""COMPUTED_VALUE"""),26.2)</f>
        <v>26.2</v>
      </c>
      <c r="C152" s="1">
        <f>IFERROR(__xludf.DUMMYFUNCTION("""COMPUTED_VALUE"""),26.2)</f>
        <v>26.2</v>
      </c>
      <c r="D152" s="1">
        <f>IFERROR(__xludf.DUMMYFUNCTION("""COMPUTED_VALUE"""),26.2)</f>
        <v>26.2</v>
      </c>
      <c r="E152" s="1">
        <f>IFERROR(__xludf.DUMMYFUNCTION("""COMPUTED_VALUE"""),26.2)</f>
        <v>26.2</v>
      </c>
      <c r="F152" s="1">
        <f>IFERROR(__xludf.DUMMYFUNCTION("""COMPUTED_VALUE"""),120.0)</f>
        <v>120</v>
      </c>
      <c r="G152" s="2" t="s">
        <v>9</v>
      </c>
    </row>
    <row r="153">
      <c r="A153" s="3">
        <f>IFERROR(__xludf.DUMMYFUNCTION("""COMPUTED_VALUE"""),44783.66666666667)</f>
        <v>44783.66667</v>
      </c>
      <c r="B153" s="1">
        <f>IFERROR(__xludf.DUMMYFUNCTION("""COMPUTED_VALUE"""),27.2)</f>
        <v>27.2</v>
      </c>
      <c r="C153" s="1">
        <f>IFERROR(__xludf.DUMMYFUNCTION("""COMPUTED_VALUE"""),27.26)</f>
        <v>27.26</v>
      </c>
      <c r="D153" s="1">
        <f>IFERROR(__xludf.DUMMYFUNCTION("""COMPUTED_VALUE"""),27.2)</f>
        <v>27.2</v>
      </c>
      <c r="E153" s="1">
        <f>IFERROR(__xludf.DUMMYFUNCTION("""COMPUTED_VALUE"""),27.26)</f>
        <v>27.26</v>
      </c>
      <c r="F153" s="1">
        <f>IFERROR(__xludf.DUMMYFUNCTION("""COMPUTED_VALUE"""),448.0)</f>
        <v>448</v>
      </c>
      <c r="G153" s="2" t="s">
        <v>9</v>
      </c>
    </row>
    <row r="154">
      <c r="A154" s="3">
        <f>IFERROR(__xludf.DUMMYFUNCTION("""COMPUTED_VALUE"""),44784.66666666667)</f>
        <v>44784.66667</v>
      </c>
      <c r="B154" s="1">
        <f>IFERROR(__xludf.DUMMYFUNCTION("""COMPUTED_VALUE"""),27.5)</f>
        <v>27.5</v>
      </c>
      <c r="C154" s="1">
        <f>IFERROR(__xludf.DUMMYFUNCTION("""COMPUTED_VALUE"""),27.5)</f>
        <v>27.5</v>
      </c>
      <c r="D154" s="1">
        <f>IFERROR(__xludf.DUMMYFUNCTION("""COMPUTED_VALUE"""),27.15)</f>
        <v>27.15</v>
      </c>
      <c r="E154" s="1">
        <f>IFERROR(__xludf.DUMMYFUNCTION("""COMPUTED_VALUE"""),27.15)</f>
        <v>27.15</v>
      </c>
      <c r="F154" s="1">
        <f>IFERROR(__xludf.DUMMYFUNCTION("""COMPUTED_VALUE"""),1454.0)</f>
        <v>1454</v>
      </c>
      <c r="G154" s="2" t="s">
        <v>9</v>
      </c>
    </row>
    <row r="155">
      <c r="A155" s="3">
        <f>IFERROR(__xludf.DUMMYFUNCTION("""COMPUTED_VALUE"""),44785.66666666667)</f>
        <v>44785.66667</v>
      </c>
      <c r="B155" s="1">
        <f>IFERROR(__xludf.DUMMYFUNCTION("""COMPUTED_VALUE"""),27.48)</f>
        <v>27.48</v>
      </c>
      <c r="C155" s="1">
        <f>IFERROR(__xludf.DUMMYFUNCTION("""COMPUTED_VALUE"""),27.68)</f>
        <v>27.68</v>
      </c>
      <c r="D155" s="1">
        <f>IFERROR(__xludf.DUMMYFUNCTION("""COMPUTED_VALUE"""),27.48)</f>
        <v>27.48</v>
      </c>
      <c r="E155" s="1">
        <f>IFERROR(__xludf.DUMMYFUNCTION("""COMPUTED_VALUE"""),27.68)</f>
        <v>27.68</v>
      </c>
      <c r="F155" s="1">
        <f>IFERROR(__xludf.DUMMYFUNCTION("""COMPUTED_VALUE"""),432.0)</f>
        <v>432</v>
      </c>
      <c r="G155" s="2" t="s">
        <v>9</v>
      </c>
    </row>
    <row r="156">
      <c r="A156" s="3">
        <f>IFERROR(__xludf.DUMMYFUNCTION("""COMPUTED_VALUE"""),44788.66666666667)</f>
        <v>44788.66667</v>
      </c>
      <c r="B156" s="1">
        <f>IFERROR(__xludf.DUMMYFUNCTION("""COMPUTED_VALUE"""),27.68)</f>
        <v>27.68</v>
      </c>
      <c r="C156" s="1">
        <f>IFERROR(__xludf.DUMMYFUNCTION("""COMPUTED_VALUE"""),27.71)</f>
        <v>27.71</v>
      </c>
      <c r="D156" s="1">
        <f>IFERROR(__xludf.DUMMYFUNCTION("""COMPUTED_VALUE"""),27.68)</f>
        <v>27.68</v>
      </c>
      <c r="E156" s="1">
        <f>IFERROR(__xludf.DUMMYFUNCTION("""COMPUTED_VALUE"""),27.71)</f>
        <v>27.71</v>
      </c>
      <c r="F156" s="1">
        <f>IFERROR(__xludf.DUMMYFUNCTION("""COMPUTED_VALUE"""),218.0)</f>
        <v>218</v>
      </c>
      <c r="G156" s="2" t="s">
        <v>9</v>
      </c>
    </row>
    <row r="157">
      <c r="A157" s="3">
        <f>IFERROR(__xludf.DUMMYFUNCTION("""COMPUTED_VALUE"""),44789.66666666667)</f>
        <v>44789.66667</v>
      </c>
      <c r="B157" s="1">
        <f>IFERROR(__xludf.DUMMYFUNCTION("""COMPUTED_VALUE"""),27.68)</f>
        <v>27.68</v>
      </c>
      <c r="C157" s="1">
        <f>IFERROR(__xludf.DUMMYFUNCTION("""COMPUTED_VALUE"""),27.69)</f>
        <v>27.69</v>
      </c>
      <c r="D157" s="1">
        <f>IFERROR(__xludf.DUMMYFUNCTION("""COMPUTED_VALUE"""),27.68)</f>
        <v>27.68</v>
      </c>
      <c r="E157" s="1">
        <f>IFERROR(__xludf.DUMMYFUNCTION("""COMPUTED_VALUE"""),27.69)</f>
        <v>27.69</v>
      </c>
      <c r="F157" s="1">
        <f>IFERROR(__xludf.DUMMYFUNCTION("""COMPUTED_VALUE"""),106.0)</f>
        <v>106</v>
      </c>
      <c r="G157" s="2" t="s">
        <v>9</v>
      </c>
    </row>
    <row r="158">
      <c r="A158" s="3">
        <f>IFERROR(__xludf.DUMMYFUNCTION("""COMPUTED_VALUE"""),44790.66666666667)</f>
        <v>44790.66667</v>
      </c>
      <c r="B158" s="1">
        <f>IFERROR(__xludf.DUMMYFUNCTION("""COMPUTED_VALUE"""),27.06)</f>
        <v>27.06</v>
      </c>
      <c r="C158" s="1">
        <f>IFERROR(__xludf.DUMMYFUNCTION("""COMPUTED_VALUE"""),27.06)</f>
        <v>27.06</v>
      </c>
      <c r="D158" s="1">
        <f>IFERROR(__xludf.DUMMYFUNCTION("""COMPUTED_VALUE"""),27.06)</f>
        <v>27.06</v>
      </c>
      <c r="E158" s="1">
        <f>IFERROR(__xludf.DUMMYFUNCTION("""COMPUTED_VALUE"""),27.06)</f>
        <v>27.06</v>
      </c>
      <c r="F158" s="1">
        <f>IFERROR(__xludf.DUMMYFUNCTION("""COMPUTED_VALUE"""),182.0)</f>
        <v>182</v>
      </c>
      <c r="G158" s="2" t="s">
        <v>9</v>
      </c>
    </row>
    <row r="159">
      <c r="A159" s="3">
        <f>IFERROR(__xludf.DUMMYFUNCTION("""COMPUTED_VALUE"""),44791.66666666667)</f>
        <v>44791.66667</v>
      </c>
      <c r="B159" s="1">
        <f>IFERROR(__xludf.DUMMYFUNCTION("""COMPUTED_VALUE"""),26.79)</f>
        <v>26.79</v>
      </c>
      <c r="C159" s="1">
        <f>IFERROR(__xludf.DUMMYFUNCTION("""COMPUTED_VALUE"""),26.99)</f>
        <v>26.99</v>
      </c>
      <c r="D159" s="1">
        <f>IFERROR(__xludf.DUMMYFUNCTION("""COMPUTED_VALUE"""),26.79)</f>
        <v>26.79</v>
      </c>
      <c r="E159" s="1">
        <f>IFERROR(__xludf.DUMMYFUNCTION("""COMPUTED_VALUE"""),26.99)</f>
        <v>26.99</v>
      </c>
      <c r="F159" s="1">
        <f>IFERROR(__xludf.DUMMYFUNCTION("""COMPUTED_VALUE"""),758.0)</f>
        <v>758</v>
      </c>
      <c r="G159" s="2" t="s">
        <v>9</v>
      </c>
    </row>
    <row r="160">
      <c r="A160" s="3">
        <f>IFERROR(__xludf.DUMMYFUNCTION("""COMPUTED_VALUE"""),44792.66666666667)</f>
        <v>44792.66667</v>
      </c>
      <c r="B160" s="1">
        <f>IFERROR(__xludf.DUMMYFUNCTION("""COMPUTED_VALUE"""),26.23)</f>
        <v>26.23</v>
      </c>
      <c r="C160" s="1">
        <f>IFERROR(__xludf.DUMMYFUNCTION("""COMPUTED_VALUE"""),26.23)</f>
        <v>26.23</v>
      </c>
      <c r="D160" s="1">
        <f>IFERROR(__xludf.DUMMYFUNCTION("""COMPUTED_VALUE"""),26.23)</f>
        <v>26.23</v>
      </c>
      <c r="E160" s="1">
        <f>IFERROR(__xludf.DUMMYFUNCTION("""COMPUTED_VALUE"""),26.23)</f>
        <v>26.23</v>
      </c>
      <c r="F160" s="1">
        <f>IFERROR(__xludf.DUMMYFUNCTION("""COMPUTED_VALUE"""),15.0)</f>
        <v>15</v>
      </c>
      <c r="G160" s="2" t="s">
        <v>9</v>
      </c>
    </row>
    <row r="161">
      <c r="A161" s="3">
        <f>IFERROR(__xludf.DUMMYFUNCTION("""COMPUTED_VALUE"""),44795.66666666667)</f>
        <v>44795.66667</v>
      </c>
      <c r="B161" s="1">
        <f>IFERROR(__xludf.DUMMYFUNCTION("""COMPUTED_VALUE"""),25.7)</f>
        <v>25.7</v>
      </c>
      <c r="C161" s="1">
        <f>IFERROR(__xludf.DUMMYFUNCTION("""COMPUTED_VALUE"""),25.7)</f>
        <v>25.7</v>
      </c>
      <c r="D161" s="1">
        <f>IFERROR(__xludf.DUMMYFUNCTION("""COMPUTED_VALUE"""),25.58)</f>
        <v>25.58</v>
      </c>
      <c r="E161" s="1">
        <f>IFERROR(__xludf.DUMMYFUNCTION("""COMPUTED_VALUE"""),25.58)</f>
        <v>25.58</v>
      </c>
      <c r="F161" s="1">
        <f>IFERROR(__xludf.DUMMYFUNCTION("""COMPUTED_VALUE"""),726.0)</f>
        <v>726</v>
      </c>
      <c r="G161" s="2" t="s">
        <v>9</v>
      </c>
    </row>
    <row r="162">
      <c r="A162" s="3">
        <f>IFERROR(__xludf.DUMMYFUNCTION("""COMPUTED_VALUE"""),44796.66666666667)</f>
        <v>44796.66667</v>
      </c>
      <c r="B162" s="1">
        <f>IFERROR(__xludf.DUMMYFUNCTION("""COMPUTED_VALUE"""),25.61)</f>
        <v>25.61</v>
      </c>
      <c r="C162" s="1">
        <f>IFERROR(__xludf.DUMMYFUNCTION("""COMPUTED_VALUE"""),25.63)</f>
        <v>25.63</v>
      </c>
      <c r="D162" s="1">
        <f>IFERROR(__xludf.DUMMYFUNCTION("""COMPUTED_VALUE"""),25.52)</f>
        <v>25.52</v>
      </c>
      <c r="E162" s="1">
        <f>IFERROR(__xludf.DUMMYFUNCTION("""COMPUTED_VALUE"""),25.52)</f>
        <v>25.52</v>
      </c>
      <c r="F162" s="1">
        <f>IFERROR(__xludf.DUMMYFUNCTION("""COMPUTED_VALUE"""),6552.0)</f>
        <v>6552</v>
      </c>
      <c r="G162" s="2" t="s">
        <v>9</v>
      </c>
    </row>
    <row r="163">
      <c r="A163" s="3">
        <f>IFERROR(__xludf.DUMMYFUNCTION("""COMPUTED_VALUE"""),44797.66666666667)</f>
        <v>44797.66667</v>
      </c>
      <c r="B163" s="1">
        <f>IFERROR(__xludf.DUMMYFUNCTION("""COMPUTED_VALUE"""),25.8)</f>
        <v>25.8</v>
      </c>
      <c r="C163" s="1">
        <f>IFERROR(__xludf.DUMMYFUNCTION("""COMPUTED_VALUE"""),25.87)</f>
        <v>25.87</v>
      </c>
      <c r="D163" s="1">
        <f>IFERROR(__xludf.DUMMYFUNCTION("""COMPUTED_VALUE"""),25.8)</f>
        <v>25.8</v>
      </c>
      <c r="E163" s="1">
        <f>IFERROR(__xludf.DUMMYFUNCTION("""COMPUTED_VALUE"""),25.87)</f>
        <v>25.87</v>
      </c>
      <c r="F163" s="1">
        <f>IFERROR(__xludf.DUMMYFUNCTION("""COMPUTED_VALUE"""),485.0)</f>
        <v>485</v>
      </c>
      <c r="G163" s="2" t="s">
        <v>9</v>
      </c>
    </row>
    <row r="164">
      <c r="A164" s="3">
        <f>IFERROR(__xludf.DUMMYFUNCTION("""COMPUTED_VALUE"""),44798.66666666667)</f>
        <v>44798.66667</v>
      </c>
      <c r="B164" s="1">
        <f>IFERROR(__xludf.DUMMYFUNCTION("""COMPUTED_VALUE"""),26.13)</f>
        <v>26.13</v>
      </c>
      <c r="C164" s="1">
        <f>IFERROR(__xludf.DUMMYFUNCTION("""COMPUTED_VALUE"""),26.26)</f>
        <v>26.26</v>
      </c>
      <c r="D164" s="1">
        <f>IFERROR(__xludf.DUMMYFUNCTION("""COMPUTED_VALUE"""),26.01)</f>
        <v>26.01</v>
      </c>
      <c r="E164" s="1">
        <f>IFERROR(__xludf.DUMMYFUNCTION("""COMPUTED_VALUE"""),26.26)</f>
        <v>26.26</v>
      </c>
      <c r="F164" s="1">
        <f>IFERROR(__xludf.DUMMYFUNCTION("""COMPUTED_VALUE"""),1397.0)</f>
        <v>1397</v>
      </c>
      <c r="G164" s="2" t="s">
        <v>9</v>
      </c>
    </row>
    <row r="165">
      <c r="A165" s="3">
        <f>IFERROR(__xludf.DUMMYFUNCTION("""COMPUTED_VALUE"""),44799.66666666667)</f>
        <v>44799.66667</v>
      </c>
      <c r="B165" s="1">
        <f>IFERROR(__xludf.DUMMYFUNCTION("""COMPUTED_VALUE"""),25.33)</f>
        <v>25.33</v>
      </c>
      <c r="C165" s="1">
        <f>IFERROR(__xludf.DUMMYFUNCTION("""COMPUTED_VALUE"""),25.33)</f>
        <v>25.33</v>
      </c>
      <c r="D165" s="1">
        <f>IFERROR(__xludf.DUMMYFUNCTION("""COMPUTED_VALUE"""),25.29)</f>
        <v>25.29</v>
      </c>
      <c r="E165" s="1">
        <f>IFERROR(__xludf.DUMMYFUNCTION("""COMPUTED_VALUE"""),25.29)</f>
        <v>25.29</v>
      </c>
      <c r="F165" s="1">
        <f>IFERROR(__xludf.DUMMYFUNCTION("""COMPUTED_VALUE"""),115.0)</f>
        <v>115</v>
      </c>
      <c r="G165" s="2" t="s">
        <v>9</v>
      </c>
    </row>
    <row r="166">
      <c r="A166" s="3">
        <f>IFERROR(__xludf.DUMMYFUNCTION("""COMPUTED_VALUE"""),44802.66666666667)</f>
        <v>44802.66667</v>
      </c>
      <c r="B166" s="1">
        <f>IFERROR(__xludf.DUMMYFUNCTION("""COMPUTED_VALUE"""),25.04)</f>
        <v>25.04</v>
      </c>
      <c r="C166" s="1">
        <f>IFERROR(__xludf.DUMMYFUNCTION("""COMPUTED_VALUE"""),25.04)</f>
        <v>25.04</v>
      </c>
      <c r="D166" s="1">
        <f>IFERROR(__xludf.DUMMYFUNCTION("""COMPUTED_VALUE"""),25.02)</f>
        <v>25.02</v>
      </c>
      <c r="E166" s="1">
        <f>IFERROR(__xludf.DUMMYFUNCTION("""COMPUTED_VALUE"""),25.02)</f>
        <v>25.02</v>
      </c>
      <c r="F166" s="1">
        <f>IFERROR(__xludf.DUMMYFUNCTION("""COMPUTED_VALUE"""),445.0)</f>
        <v>445</v>
      </c>
      <c r="G166" s="2" t="s">
        <v>9</v>
      </c>
    </row>
    <row r="167">
      <c r="A167" s="3">
        <f>IFERROR(__xludf.DUMMYFUNCTION("""COMPUTED_VALUE"""),44803.66666666667)</f>
        <v>44803.66667</v>
      </c>
      <c r="B167" s="1">
        <f>IFERROR(__xludf.DUMMYFUNCTION("""COMPUTED_VALUE"""),25.1)</f>
        <v>25.1</v>
      </c>
      <c r="C167" s="1">
        <f>IFERROR(__xludf.DUMMYFUNCTION("""COMPUTED_VALUE"""),25.1)</f>
        <v>25.1</v>
      </c>
      <c r="D167" s="1">
        <f>IFERROR(__xludf.DUMMYFUNCTION("""COMPUTED_VALUE"""),24.64)</f>
        <v>24.64</v>
      </c>
      <c r="E167" s="1">
        <f>IFERROR(__xludf.DUMMYFUNCTION("""COMPUTED_VALUE"""),24.75)</f>
        <v>24.75</v>
      </c>
      <c r="F167" s="1">
        <f>IFERROR(__xludf.DUMMYFUNCTION("""COMPUTED_VALUE"""),730.0)</f>
        <v>730</v>
      </c>
      <c r="G167" s="2" t="s">
        <v>9</v>
      </c>
    </row>
    <row r="168">
      <c r="A168" s="3">
        <f>IFERROR(__xludf.DUMMYFUNCTION("""COMPUTED_VALUE"""),44804.66666666667)</f>
        <v>44804.66667</v>
      </c>
      <c r="B168" s="1">
        <f>IFERROR(__xludf.DUMMYFUNCTION("""COMPUTED_VALUE"""),24.85)</f>
        <v>24.85</v>
      </c>
      <c r="C168" s="1">
        <f>IFERROR(__xludf.DUMMYFUNCTION("""COMPUTED_VALUE"""),24.85)</f>
        <v>24.85</v>
      </c>
      <c r="D168" s="1">
        <f>IFERROR(__xludf.DUMMYFUNCTION("""COMPUTED_VALUE"""),24.79)</f>
        <v>24.79</v>
      </c>
      <c r="E168" s="1">
        <f>IFERROR(__xludf.DUMMYFUNCTION("""COMPUTED_VALUE"""),24.79)</f>
        <v>24.79</v>
      </c>
      <c r="F168" s="1">
        <f>IFERROR(__xludf.DUMMYFUNCTION("""COMPUTED_VALUE"""),411.0)</f>
        <v>411</v>
      </c>
      <c r="G168" s="2" t="s">
        <v>9</v>
      </c>
    </row>
    <row r="169">
      <c r="A169" s="3">
        <f>IFERROR(__xludf.DUMMYFUNCTION("""COMPUTED_VALUE"""),44805.66666666667)</f>
        <v>44805.66667</v>
      </c>
      <c r="B169" s="1">
        <f>IFERROR(__xludf.DUMMYFUNCTION("""COMPUTED_VALUE"""),24.29)</f>
        <v>24.29</v>
      </c>
      <c r="C169" s="1">
        <f>IFERROR(__xludf.DUMMYFUNCTION("""COMPUTED_VALUE"""),24.29)</f>
        <v>24.29</v>
      </c>
      <c r="D169" s="1">
        <f>IFERROR(__xludf.DUMMYFUNCTION("""COMPUTED_VALUE"""),24.29)</f>
        <v>24.29</v>
      </c>
      <c r="E169" s="1">
        <f>IFERROR(__xludf.DUMMYFUNCTION("""COMPUTED_VALUE"""),24.29)</f>
        <v>24.29</v>
      </c>
      <c r="F169" s="1">
        <f>IFERROR(__xludf.DUMMYFUNCTION("""COMPUTED_VALUE"""),5.0)</f>
        <v>5</v>
      </c>
      <c r="G169" s="2" t="s">
        <v>9</v>
      </c>
    </row>
    <row r="170">
      <c r="A170" s="3">
        <f>IFERROR(__xludf.DUMMYFUNCTION("""COMPUTED_VALUE"""),44806.66666666667)</f>
        <v>44806.66667</v>
      </c>
      <c r="B170" s="1">
        <f>IFERROR(__xludf.DUMMYFUNCTION("""COMPUTED_VALUE"""),24.12)</f>
        <v>24.12</v>
      </c>
      <c r="C170" s="1">
        <f>IFERROR(__xludf.DUMMYFUNCTION("""COMPUTED_VALUE"""),24.12)</f>
        <v>24.12</v>
      </c>
      <c r="D170" s="1">
        <f>IFERROR(__xludf.DUMMYFUNCTION("""COMPUTED_VALUE"""),24.12)</f>
        <v>24.12</v>
      </c>
      <c r="E170" s="1">
        <f>IFERROR(__xludf.DUMMYFUNCTION("""COMPUTED_VALUE"""),24.12)</f>
        <v>24.12</v>
      </c>
      <c r="F170" s="1">
        <f>IFERROR(__xludf.DUMMYFUNCTION("""COMPUTED_VALUE"""),117.0)</f>
        <v>117</v>
      </c>
      <c r="G170" s="2" t="s">
        <v>9</v>
      </c>
    </row>
    <row r="171">
      <c r="A171" s="3">
        <f>IFERROR(__xludf.DUMMYFUNCTION("""COMPUTED_VALUE"""),44810.66666666667)</f>
        <v>44810.66667</v>
      </c>
      <c r="B171" s="1">
        <f>IFERROR(__xludf.DUMMYFUNCTION("""COMPUTED_VALUE"""),24.02)</f>
        <v>24.02</v>
      </c>
      <c r="C171" s="1">
        <f>IFERROR(__xludf.DUMMYFUNCTION("""COMPUTED_VALUE"""),24.02)</f>
        <v>24.02</v>
      </c>
      <c r="D171" s="1">
        <f>IFERROR(__xludf.DUMMYFUNCTION("""COMPUTED_VALUE"""),24.02)</f>
        <v>24.02</v>
      </c>
      <c r="E171" s="1">
        <f>IFERROR(__xludf.DUMMYFUNCTION("""COMPUTED_VALUE"""),24.02)</f>
        <v>24.02</v>
      </c>
      <c r="F171" s="1">
        <f>IFERROR(__xludf.DUMMYFUNCTION("""COMPUTED_VALUE"""),21.0)</f>
        <v>21</v>
      </c>
      <c r="G171" s="2" t="s">
        <v>9</v>
      </c>
    </row>
    <row r="172">
      <c r="A172" s="3">
        <f>IFERROR(__xludf.DUMMYFUNCTION("""COMPUTED_VALUE"""),44811.66666666667)</f>
        <v>44811.66667</v>
      </c>
      <c r="B172" s="1">
        <f>IFERROR(__xludf.DUMMYFUNCTION("""COMPUTED_VALUE"""),24.64)</f>
        <v>24.64</v>
      </c>
      <c r="C172" s="1">
        <f>IFERROR(__xludf.DUMMYFUNCTION("""COMPUTED_VALUE"""),24.64)</f>
        <v>24.64</v>
      </c>
      <c r="D172" s="1">
        <f>IFERROR(__xludf.DUMMYFUNCTION("""COMPUTED_VALUE"""),24.64)</f>
        <v>24.64</v>
      </c>
      <c r="E172" s="1">
        <f>IFERROR(__xludf.DUMMYFUNCTION("""COMPUTED_VALUE"""),24.64)</f>
        <v>24.64</v>
      </c>
      <c r="F172" s="1">
        <f>IFERROR(__xludf.DUMMYFUNCTION("""COMPUTED_VALUE"""),5.0)</f>
        <v>5</v>
      </c>
      <c r="G172" s="2" t="s">
        <v>9</v>
      </c>
    </row>
    <row r="173">
      <c r="A173" s="3">
        <f>IFERROR(__xludf.DUMMYFUNCTION("""COMPUTED_VALUE"""),44812.66666666667)</f>
        <v>44812.66667</v>
      </c>
      <c r="B173" s="1">
        <f>IFERROR(__xludf.DUMMYFUNCTION("""COMPUTED_VALUE"""),25.16)</f>
        <v>25.16</v>
      </c>
      <c r="C173" s="1">
        <f>IFERROR(__xludf.DUMMYFUNCTION("""COMPUTED_VALUE"""),25.16)</f>
        <v>25.16</v>
      </c>
      <c r="D173" s="1">
        <f>IFERROR(__xludf.DUMMYFUNCTION("""COMPUTED_VALUE"""),25.16)</f>
        <v>25.16</v>
      </c>
      <c r="E173" s="1">
        <f>IFERROR(__xludf.DUMMYFUNCTION("""COMPUTED_VALUE"""),25.16)</f>
        <v>25.16</v>
      </c>
      <c r="F173" s="1">
        <f>IFERROR(__xludf.DUMMYFUNCTION("""COMPUTED_VALUE"""),38.0)</f>
        <v>38</v>
      </c>
      <c r="G173" s="2" t="s">
        <v>9</v>
      </c>
    </row>
    <row r="174">
      <c r="A174" s="3">
        <f>IFERROR(__xludf.DUMMYFUNCTION("""COMPUTED_VALUE"""),44813.66666666667)</f>
        <v>44813.66667</v>
      </c>
      <c r="B174" s="1">
        <f>IFERROR(__xludf.DUMMYFUNCTION("""COMPUTED_VALUE"""),25.87)</f>
        <v>25.87</v>
      </c>
      <c r="C174" s="1">
        <f>IFERROR(__xludf.DUMMYFUNCTION("""COMPUTED_VALUE"""),25.87)</f>
        <v>25.87</v>
      </c>
      <c r="D174" s="1">
        <f>IFERROR(__xludf.DUMMYFUNCTION("""COMPUTED_VALUE"""),25.87)</f>
        <v>25.87</v>
      </c>
      <c r="E174" s="1">
        <f>IFERROR(__xludf.DUMMYFUNCTION("""COMPUTED_VALUE"""),25.87)</f>
        <v>25.87</v>
      </c>
      <c r="F174" s="1">
        <f>IFERROR(__xludf.DUMMYFUNCTION("""COMPUTED_VALUE"""),75.0)</f>
        <v>75</v>
      </c>
      <c r="G174" s="2" t="s">
        <v>9</v>
      </c>
    </row>
    <row r="175">
      <c r="A175" s="3">
        <f>IFERROR(__xludf.DUMMYFUNCTION("""COMPUTED_VALUE"""),44816.66666666667)</f>
        <v>44816.66667</v>
      </c>
      <c r="B175" s="1">
        <f>IFERROR(__xludf.DUMMYFUNCTION("""COMPUTED_VALUE"""),26.14)</f>
        <v>26.14</v>
      </c>
      <c r="C175" s="1">
        <f>IFERROR(__xludf.DUMMYFUNCTION("""COMPUTED_VALUE"""),26.16)</f>
        <v>26.16</v>
      </c>
      <c r="D175" s="1">
        <f>IFERROR(__xludf.DUMMYFUNCTION("""COMPUTED_VALUE"""),26.14)</f>
        <v>26.14</v>
      </c>
      <c r="E175" s="1">
        <f>IFERROR(__xludf.DUMMYFUNCTION("""COMPUTED_VALUE"""),26.16)</f>
        <v>26.16</v>
      </c>
      <c r="F175" s="1">
        <f>IFERROR(__xludf.DUMMYFUNCTION("""COMPUTED_VALUE"""),405.0)</f>
        <v>405</v>
      </c>
      <c r="G175" s="2" t="s">
        <v>9</v>
      </c>
    </row>
    <row r="176">
      <c r="A176" s="3">
        <f>IFERROR(__xludf.DUMMYFUNCTION("""COMPUTED_VALUE"""),44817.66666666667)</f>
        <v>44817.66667</v>
      </c>
      <c r="B176" s="1">
        <f>IFERROR(__xludf.DUMMYFUNCTION("""COMPUTED_VALUE"""),25.01)</f>
        <v>25.01</v>
      </c>
      <c r="C176" s="1">
        <f>IFERROR(__xludf.DUMMYFUNCTION("""COMPUTED_VALUE"""),25.01)</f>
        <v>25.01</v>
      </c>
      <c r="D176" s="1">
        <f>IFERROR(__xludf.DUMMYFUNCTION("""COMPUTED_VALUE"""),25.01)</f>
        <v>25.01</v>
      </c>
      <c r="E176" s="1">
        <f>IFERROR(__xludf.DUMMYFUNCTION("""COMPUTED_VALUE"""),25.01)</f>
        <v>25.01</v>
      </c>
      <c r="F176" s="1">
        <f>IFERROR(__xludf.DUMMYFUNCTION("""COMPUTED_VALUE"""),138.0)</f>
        <v>138</v>
      </c>
      <c r="G176" s="2" t="s">
        <v>9</v>
      </c>
    </row>
    <row r="177">
      <c r="A177" s="3">
        <f>IFERROR(__xludf.DUMMYFUNCTION("""COMPUTED_VALUE"""),44818.66666666667)</f>
        <v>44818.66667</v>
      </c>
      <c r="B177" s="1">
        <f>IFERROR(__xludf.DUMMYFUNCTION("""COMPUTED_VALUE"""),25.12)</f>
        <v>25.12</v>
      </c>
      <c r="C177" s="1">
        <f>IFERROR(__xludf.DUMMYFUNCTION("""COMPUTED_VALUE"""),25.12)</f>
        <v>25.12</v>
      </c>
      <c r="D177" s="1">
        <f>IFERROR(__xludf.DUMMYFUNCTION("""COMPUTED_VALUE"""),25.12)</f>
        <v>25.12</v>
      </c>
      <c r="E177" s="1">
        <f>IFERROR(__xludf.DUMMYFUNCTION("""COMPUTED_VALUE"""),25.12)</f>
        <v>25.12</v>
      </c>
      <c r="F177" s="1">
        <f>IFERROR(__xludf.DUMMYFUNCTION("""COMPUTED_VALUE"""),65.0)</f>
        <v>65</v>
      </c>
      <c r="G177" s="2" t="s">
        <v>9</v>
      </c>
    </row>
    <row r="178">
      <c r="A178" s="3">
        <f>IFERROR(__xludf.DUMMYFUNCTION("""COMPUTED_VALUE"""),44819.66666666667)</f>
        <v>44819.66667</v>
      </c>
      <c r="B178" s="1">
        <f>IFERROR(__xludf.DUMMYFUNCTION("""COMPUTED_VALUE"""),25.05)</f>
        <v>25.05</v>
      </c>
      <c r="C178" s="1">
        <f>IFERROR(__xludf.DUMMYFUNCTION("""COMPUTED_VALUE"""),25.05)</f>
        <v>25.05</v>
      </c>
      <c r="D178" s="1">
        <f>IFERROR(__xludf.DUMMYFUNCTION("""COMPUTED_VALUE"""),25.05)</f>
        <v>25.05</v>
      </c>
      <c r="E178" s="1">
        <f>IFERROR(__xludf.DUMMYFUNCTION("""COMPUTED_VALUE"""),25.05)</f>
        <v>25.05</v>
      </c>
      <c r="F178" s="1">
        <f>IFERROR(__xludf.DUMMYFUNCTION("""COMPUTED_VALUE"""),127.0)</f>
        <v>127</v>
      </c>
      <c r="G178" s="2" t="s">
        <v>9</v>
      </c>
    </row>
    <row r="179">
      <c r="A179" s="3">
        <f>IFERROR(__xludf.DUMMYFUNCTION("""COMPUTED_VALUE"""),44820.66666666667)</f>
        <v>44820.66667</v>
      </c>
      <c r="B179" s="1">
        <f>IFERROR(__xludf.DUMMYFUNCTION("""COMPUTED_VALUE"""),24.45)</f>
        <v>24.45</v>
      </c>
      <c r="C179" s="1">
        <f>IFERROR(__xludf.DUMMYFUNCTION("""COMPUTED_VALUE"""),24.45)</f>
        <v>24.45</v>
      </c>
      <c r="D179" s="1">
        <f>IFERROR(__xludf.DUMMYFUNCTION("""COMPUTED_VALUE"""),24.45)</f>
        <v>24.45</v>
      </c>
      <c r="E179" s="1">
        <f>IFERROR(__xludf.DUMMYFUNCTION("""COMPUTED_VALUE"""),24.45)</f>
        <v>24.45</v>
      </c>
      <c r="F179" s="1">
        <f>IFERROR(__xludf.DUMMYFUNCTION("""COMPUTED_VALUE"""),15.0)</f>
        <v>15</v>
      </c>
      <c r="G179" s="2" t="s">
        <v>9</v>
      </c>
    </row>
    <row r="180">
      <c r="A180" s="3">
        <f>IFERROR(__xludf.DUMMYFUNCTION("""COMPUTED_VALUE"""),44823.66666666667)</f>
        <v>44823.66667</v>
      </c>
      <c r="B180" s="1">
        <f>IFERROR(__xludf.DUMMYFUNCTION("""COMPUTED_VALUE"""),24.48)</f>
        <v>24.48</v>
      </c>
      <c r="C180" s="1">
        <f>IFERROR(__xludf.DUMMYFUNCTION("""COMPUTED_VALUE"""),24.48)</f>
        <v>24.48</v>
      </c>
      <c r="D180" s="1">
        <f>IFERROR(__xludf.DUMMYFUNCTION("""COMPUTED_VALUE"""),24.48)</f>
        <v>24.48</v>
      </c>
      <c r="E180" s="1">
        <f>IFERROR(__xludf.DUMMYFUNCTION("""COMPUTED_VALUE"""),24.48)</f>
        <v>24.48</v>
      </c>
      <c r="F180" s="1">
        <f>IFERROR(__xludf.DUMMYFUNCTION("""COMPUTED_VALUE"""),2.0)</f>
        <v>2</v>
      </c>
      <c r="G180" s="2" t="s">
        <v>9</v>
      </c>
    </row>
    <row r="181">
      <c r="A181" s="3">
        <f>IFERROR(__xludf.DUMMYFUNCTION("""COMPUTED_VALUE"""),44824.66666666667)</f>
        <v>44824.66667</v>
      </c>
      <c r="B181" s="1">
        <f>IFERROR(__xludf.DUMMYFUNCTION("""COMPUTED_VALUE"""),24.03)</f>
        <v>24.03</v>
      </c>
      <c r="C181" s="1">
        <f>IFERROR(__xludf.DUMMYFUNCTION("""COMPUTED_VALUE"""),24.03)</f>
        <v>24.03</v>
      </c>
      <c r="D181" s="1">
        <f>IFERROR(__xludf.DUMMYFUNCTION("""COMPUTED_VALUE"""),24.03)</f>
        <v>24.03</v>
      </c>
      <c r="E181" s="1">
        <f>IFERROR(__xludf.DUMMYFUNCTION("""COMPUTED_VALUE"""),24.03)</f>
        <v>24.03</v>
      </c>
      <c r="F181" s="1">
        <f>IFERROR(__xludf.DUMMYFUNCTION("""COMPUTED_VALUE"""),71.0)</f>
        <v>71</v>
      </c>
      <c r="G181" s="2" t="s">
        <v>9</v>
      </c>
    </row>
    <row r="182">
      <c r="A182" s="3">
        <f>IFERROR(__xludf.DUMMYFUNCTION("""COMPUTED_VALUE"""),44825.66666666667)</f>
        <v>44825.66667</v>
      </c>
      <c r="B182" s="1">
        <f>IFERROR(__xludf.DUMMYFUNCTION("""COMPUTED_VALUE"""),24.24)</f>
        <v>24.24</v>
      </c>
      <c r="C182" s="1">
        <f>IFERROR(__xludf.DUMMYFUNCTION("""COMPUTED_VALUE"""),24.43)</f>
        <v>24.43</v>
      </c>
      <c r="D182" s="1">
        <f>IFERROR(__xludf.DUMMYFUNCTION("""COMPUTED_VALUE"""),23.7)</f>
        <v>23.7</v>
      </c>
      <c r="E182" s="1">
        <f>IFERROR(__xludf.DUMMYFUNCTION("""COMPUTED_VALUE"""),23.7)</f>
        <v>23.7</v>
      </c>
      <c r="F182" s="1">
        <f>IFERROR(__xludf.DUMMYFUNCTION("""COMPUTED_VALUE"""),10453.0)</f>
        <v>10453</v>
      </c>
      <c r="G182" s="2" t="s">
        <v>9</v>
      </c>
    </row>
    <row r="183">
      <c r="A183" s="3">
        <f>IFERROR(__xludf.DUMMYFUNCTION("""COMPUTED_VALUE"""),44826.66666666667)</f>
        <v>44826.66667</v>
      </c>
      <c r="B183" s="1">
        <f>IFERROR(__xludf.DUMMYFUNCTION("""COMPUTED_VALUE"""),23.0)</f>
        <v>23</v>
      </c>
      <c r="C183" s="1">
        <f>IFERROR(__xludf.DUMMYFUNCTION("""COMPUTED_VALUE"""),23.05)</f>
        <v>23.05</v>
      </c>
      <c r="D183" s="1">
        <f>IFERROR(__xludf.DUMMYFUNCTION("""COMPUTED_VALUE"""),23.0)</f>
        <v>23</v>
      </c>
      <c r="E183" s="1">
        <f>IFERROR(__xludf.DUMMYFUNCTION("""COMPUTED_VALUE"""),23.05)</f>
        <v>23.05</v>
      </c>
      <c r="F183" s="1">
        <f>IFERROR(__xludf.DUMMYFUNCTION("""COMPUTED_VALUE"""),1029.0)</f>
        <v>1029</v>
      </c>
      <c r="G183" s="2" t="s">
        <v>9</v>
      </c>
    </row>
    <row r="184">
      <c r="A184" s="3">
        <f>IFERROR(__xludf.DUMMYFUNCTION("""COMPUTED_VALUE"""),44827.66666666667)</f>
        <v>44827.66667</v>
      </c>
      <c r="B184" s="1">
        <f>IFERROR(__xludf.DUMMYFUNCTION("""COMPUTED_VALUE"""),22.42)</f>
        <v>22.42</v>
      </c>
      <c r="C184" s="1">
        <f>IFERROR(__xludf.DUMMYFUNCTION("""COMPUTED_VALUE"""),22.54)</f>
        <v>22.54</v>
      </c>
      <c r="D184" s="1">
        <f>IFERROR(__xludf.DUMMYFUNCTION("""COMPUTED_VALUE"""),22.42)</f>
        <v>22.42</v>
      </c>
      <c r="E184" s="1">
        <f>IFERROR(__xludf.DUMMYFUNCTION("""COMPUTED_VALUE"""),22.54)</f>
        <v>22.54</v>
      </c>
      <c r="F184" s="1">
        <f>IFERROR(__xludf.DUMMYFUNCTION("""COMPUTED_VALUE"""),1253.0)</f>
        <v>1253</v>
      </c>
      <c r="G184" s="2" t="s">
        <v>9</v>
      </c>
    </row>
    <row r="185">
      <c r="A185" s="3">
        <f>IFERROR(__xludf.DUMMYFUNCTION("""COMPUTED_VALUE"""),44830.66666666667)</f>
        <v>44830.66667</v>
      </c>
      <c r="B185" s="1">
        <f>IFERROR(__xludf.DUMMYFUNCTION("""COMPUTED_VALUE"""),22.39)</f>
        <v>22.39</v>
      </c>
      <c r="C185" s="1">
        <f>IFERROR(__xludf.DUMMYFUNCTION("""COMPUTED_VALUE"""),22.39)</f>
        <v>22.39</v>
      </c>
      <c r="D185" s="1">
        <f>IFERROR(__xludf.DUMMYFUNCTION("""COMPUTED_VALUE"""),22.25)</f>
        <v>22.25</v>
      </c>
      <c r="E185" s="1">
        <f>IFERROR(__xludf.DUMMYFUNCTION("""COMPUTED_VALUE"""),22.25)</f>
        <v>22.25</v>
      </c>
      <c r="F185" s="1">
        <f>IFERROR(__xludf.DUMMYFUNCTION("""COMPUTED_VALUE"""),104.0)</f>
        <v>104</v>
      </c>
      <c r="G185" s="2" t="s">
        <v>9</v>
      </c>
    </row>
    <row r="186">
      <c r="A186" s="3">
        <f>IFERROR(__xludf.DUMMYFUNCTION("""COMPUTED_VALUE"""),44831.66666666667)</f>
        <v>44831.66667</v>
      </c>
      <c r="B186" s="1">
        <f>IFERROR(__xludf.DUMMYFUNCTION("""COMPUTED_VALUE"""),22.36)</f>
        <v>22.36</v>
      </c>
      <c r="C186" s="1">
        <f>IFERROR(__xludf.DUMMYFUNCTION("""COMPUTED_VALUE"""),22.36)</f>
        <v>22.36</v>
      </c>
      <c r="D186" s="1">
        <f>IFERROR(__xludf.DUMMYFUNCTION("""COMPUTED_VALUE"""),22.36)</f>
        <v>22.36</v>
      </c>
      <c r="E186" s="1">
        <f>IFERROR(__xludf.DUMMYFUNCTION("""COMPUTED_VALUE"""),22.36)</f>
        <v>22.36</v>
      </c>
      <c r="F186" s="1">
        <f>IFERROR(__xludf.DUMMYFUNCTION("""COMPUTED_VALUE"""),105.0)</f>
        <v>105</v>
      </c>
      <c r="G186" s="2" t="s">
        <v>9</v>
      </c>
    </row>
    <row r="187">
      <c r="A187" s="3">
        <f>IFERROR(__xludf.DUMMYFUNCTION("""COMPUTED_VALUE"""),44832.66666666667)</f>
        <v>44832.66667</v>
      </c>
      <c r="B187" s="1">
        <f>IFERROR(__xludf.DUMMYFUNCTION("""COMPUTED_VALUE"""),22.63)</f>
        <v>22.63</v>
      </c>
      <c r="C187" s="1">
        <f>IFERROR(__xludf.DUMMYFUNCTION("""COMPUTED_VALUE"""),23.12)</f>
        <v>23.12</v>
      </c>
      <c r="D187" s="1">
        <f>IFERROR(__xludf.DUMMYFUNCTION("""COMPUTED_VALUE"""),22.63)</f>
        <v>22.63</v>
      </c>
      <c r="E187" s="1">
        <f>IFERROR(__xludf.DUMMYFUNCTION("""COMPUTED_VALUE"""),23.12)</f>
        <v>23.12</v>
      </c>
      <c r="F187" s="1">
        <f>IFERROR(__xludf.DUMMYFUNCTION("""COMPUTED_VALUE"""),143.0)</f>
        <v>143</v>
      </c>
      <c r="G187" s="2" t="s">
        <v>9</v>
      </c>
    </row>
    <row r="188">
      <c r="A188" s="3">
        <f>IFERROR(__xludf.DUMMYFUNCTION("""COMPUTED_VALUE"""),44833.66666666667)</f>
        <v>44833.66667</v>
      </c>
      <c r="B188" s="1">
        <f>IFERROR(__xludf.DUMMYFUNCTION("""COMPUTED_VALUE"""),22.48)</f>
        <v>22.48</v>
      </c>
      <c r="C188" s="1">
        <f>IFERROR(__xludf.DUMMYFUNCTION("""COMPUTED_VALUE"""),22.52)</f>
        <v>22.52</v>
      </c>
      <c r="D188" s="1">
        <f>IFERROR(__xludf.DUMMYFUNCTION("""COMPUTED_VALUE"""),22.4)</f>
        <v>22.4</v>
      </c>
      <c r="E188" s="1">
        <f>IFERROR(__xludf.DUMMYFUNCTION("""COMPUTED_VALUE"""),22.52)</f>
        <v>22.52</v>
      </c>
      <c r="F188" s="1">
        <f>IFERROR(__xludf.DUMMYFUNCTION("""COMPUTED_VALUE"""),774.0)</f>
        <v>774</v>
      </c>
      <c r="G188" s="2" t="s">
        <v>9</v>
      </c>
    </row>
    <row r="189">
      <c r="A189" s="3">
        <f>IFERROR(__xludf.DUMMYFUNCTION("""COMPUTED_VALUE"""),44834.66666666667)</f>
        <v>44834.66667</v>
      </c>
      <c r="B189" s="1">
        <f>IFERROR(__xludf.DUMMYFUNCTION("""COMPUTED_VALUE"""),22.48)</f>
        <v>22.48</v>
      </c>
      <c r="C189" s="1">
        <f>IFERROR(__xludf.DUMMYFUNCTION("""COMPUTED_VALUE"""),22.48)</f>
        <v>22.48</v>
      </c>
      <c r="D189" s="1">
        <f>IFERROR(__xludf.DUMMYFUNCTION("""COMPUTED_VALUE"""),22.41)</f>
        <v>22.41</v>
      </c>
      <c r="E189" s="1">
        <f>IFERROR(__xludf.DUMMYFUNCTION("""COMPUTED_VALUE"""),22.41)</f>
        <v>22.41</v>
      </c>
      <c r="F189" s="1">
        <f>IFERROR(__xludf.DUMMYFUNCTION("""COMPUTED_VALUE"""),232.0)</f>
        <v>232</v>
      </c>
      <c r="G189" s="2" t="s">
        <v>9</v>
      </c>
    </row>
    <row r="190">
      <c r="A190" s="3">
        <f>IFERROR(__xludf.DUMMYFUNCTION("""COMPUTED_VALUE"""),44837.66666666667)</f>
        <v>44837.66667</v>
      </c>
      <c r="B190" s="1">
        <f>IFERROR(__xludf.DUMMYFUNCTION("""COMPUTED_VALUE"""),22.68)</f>
        <v>22.68</v>
      </c>
      <c r="C190" s="1">
        <f>IFERROR(__xludf.DUMMYFUNCTION("""COMPUTED_VALUE"""),23.04)</f>
        <v>23.04</v>
      </c>
      <c r="D190" s="1">
        <f>IFERROR(__xludf.DUMMYFUNCTION("""COMPUTED_VALUE"""),22.68)</f>
        <v>22.68</v>
      </c>
      <c r="E190" s="1">
        <f>IFERROR(__xludf.DUMMYFUNCTION("""COMPUTED_VALUE"""),22.92)</f>
        <v>22.92</v>
      </c>
      <c r="F190" s="1">
        <f>IFERROR(__xludf.DUMMYFUNCTION("""COMPUTED_VALUE"""),2759.0)</f>
        <v>2759</v>
      </c>
      <c r="G190" s="2" t="s">
        <v>9</v>
      </c>
    </row>
    <row r="191">
      <c r="A191" s="3">
        <f>IFERROR(__xludf.DUMMYFUNCTION("""COMPUTED_VALUE"""),44838.66666666667)</f>
        <v>44838.66667</v>
      </c>
      <c r="B191" s="1">
        <f>IFERROR(__xludf.DUMMYFUNCTION("""COMPUTED_VALUE"""),23.91)</f>
        <v>23.91</v>
      </c>
      <c r="C191" s="1">
        <f>IFERROR(__xludf.DUMMYFUNCTION("""COMPUTED_VALUE"""),23.91)</f>
        <v>23.91</v>
      </c>
      <c r="D191" s="1">
        <f>IFERROR(__xludf.DUMMYFUNCTION("""COMPUTED_VALUE"""),23.89)</f>
        <v>23.89</v>
      </c>
      <c r="E191" s="1">
        <f>IFERROR(__xludf.DUMMYFUNCTION("""COMPUTED_VALUE"""),23.89)</f>
        <v>23.89</v>
      </c>
      <c r="F191" s="1">
        <f>IFERROR(__xludf.DUMMYFUNCTION("""COMPUTED_VALUE"""),249.0)</f>
        <v>249</v>
      </c>
      <c r="G191" s="2" t="s">
        <v>9</v>
      </c>
    </row>
    <row r="192">
      <c r="A192" s="3">
        <f>IFERROR(__xludf.DUMMYFUNCTION("""COMPUTED_VALUE"""),44839.66666666667)</f>
        <v>44839.66667</v>
      </c>
      <c r="B192" s="1">
        <f>IFERROR(__xludf.DUMMYFUNCTION("""COMPUTED_VALUE"""),23.79)</f>
        <v>23.79</v>
      </c>
      <c r="C192" s="1">
        <f>IFERROR(__xludf.DUMMYFUNCTION("""COMPUTED_VALUE"""),23.79)</f>
        <v>23.79</v>
      </c>
      <c r="D192" s="1">
        <f>IFERROR(__xludf.DUMMYFUNCTION("""COMPUTED_VALUE"""),23.79)</f>
        <v>23.79</v>
      </c>
      <c r="E192" s="1">
        <f>IFERROR(__xludf.DUMMYFUNCTION("""COMPUTED_VALUE"""),23.79)</f>
        <v>23.79</v>
      </c>
      <c r="F192" s="1">
        <f>IFERROR(__xludf.DUMMYFUNCTION("""COMPUTED_VALUE"""),227.0)</f>
        <v>227</v>
      </c>
      <c r="G192" s="2" t="s">
        <v>9</v>
      </c>
    </row>
    <row r="193">
      <c r="A193" s="3">
        <f>IFERROR(__xludf.DUMMYFUNCTION("""COMPUTED_VALUE"""),44840.66666666667)</f>
        <v>44840.66667</v>
      </c>
      <c r="B193" s="1">
        <f>IFERROR(__xludf.DUMMYFUNCTION("""COMPUTED_VALUE"""),23.71)</f>
        <v>23.71</v>
      </c>
      <c r="C193" s="1">
        <f>IFERROR(__xludf.DUMMYFUNCTION("""COMPUTED_VALUE"""),23.71)</f>
        <v>23.71</v>
      </c>
      <c r="D193" s="1">
        <f>IFERROR(__xludf.DUMMYFUNCTION("""COMPUTED_VALUE"""),23.71)</f>
        <v>23.71</v>
      </c>
      <c r="E193" s="1">
        <f>IFERROR(__xludf.DUMMYFUNCTION("""COMPUTED_VALUE"""),23.71)</f>
        <v>23.71</v>
      </c>
      <c r="F193" s="1">
        <f>IFERROR(__xludf.DUMMYFUNCTION("""COMPUTED_VALUE"""),8.0)</f>
        <v>8</v>
      </c>
      <c r="G193" s="2" t="s">
        <v>9</v>
      </c>
    </row>
    <row r="194">
      <c r="A194" s="3">
        <f>IFERROR(__xludf.DUMMYFUNCTION("""COMPUTED_VALUE"""),44841.66666666667)</f>
        <v>44841.66667</v>
      </c>
      <c r="B194" s="1">
        <f>IFERROR(__xludf.DUMMYFUNCTION("""COMPUTED_VALUE"""),22.74)</f>
        <v>22.74</v>
      </c>
      <c r="C194" s="1">
        <f>IFERROR(__xludf.DUMMYFUNCTION("""COMPUTED_VALUE"""),22.74)</f>
        <v>22.74</v>
      </c>
      <c r="D194" s="1">
        <f>IFERROR(__xludf.DUMMYFUNCTION("""COMPUTED_VALUE"""),22.73)</f>
        <v>22.73</v>
      </c>
      <c r="E194" s="1">
        <f>IFERROR(__xludf.DUMMYFUNCTION("""COMPUTED_VALUE"""),22.73)</f>
        <v>22.73</v>
      </c>
      <c r="F194" s="1">
        <f>IFERROR(__xludf.DUMMYFUNCTION("""COMPUTED_VALUE"""),1716.0)</f>
        <v>1716</v>
      </c>
      <c r="G194" s="2" t="s">
        <v>9</v>
      </c>
    </row>
    <row r="195">
      <c r="A195" s="3">
        <f>IFERROR(__xludf.DUMMYFUNCTION("""COMPUTED_VALUE"""),44844.66666666667)</f>
        <v>44844.66667</v>
      </c>
      <c r="B195" s="1">
        <f>IFERROR(__xludf.DUMMYFUNCTION("""COMPUTED_VALUE"""),22.36)</f>
        <v>22.36</v>
      </c>
      <c r="C195" s="1">
        <f>IFERROR(__xludf.DUMMYFUNCTION("""COMPUTED_VALUE"""),22.36)</f>
        <v>22.36</v>
      </c>
      <c r="D195" s="1">
        <f>IFERROR(__xludf.DUMMYFUNCTION("""COMPUTED_VALUE"""),22.36)</f>
        <v>22.36</v>
      </c>
      <c r="E195" s="1">
        <f>IFERROR(__xludf.DUMMYFUNCTION("""COMPUTED_VALUE"""),22.36)</f>
        <v>22.36</v>
      </c>
      <c r="F195" s="1">
        <f>IFERROR(__xludf.DUMMYFUNCTION("""COMPUTED_VALUE"""),28.0)</f>
        <v>28</v>
      </c>
      <c r="G195" s="2" t="s">
        <v>9</v>
      </c>
    </row>
    <row r="196">
      <c r="A196" s="3">
        <f>IFERROR(__xludf.DUMMYFUNCTION("""COMPUTED_VALUE"""),44845.66666666667)</f>
        <v>44845.66667</v>
      </c>
      <c r="B196" s="1">
        <f>IFERROR(__xludf.DUMMYFUNCTION("""COMPUTED_VALUE"""),22.09)</f>
        <v>22.09</v>
      </c>
      <c r="C196" s="1">
        <f>IFERROR(__xludf.DUMMYFUNCTION("""COMPUTED_VALUE"""),22.09)</f>
        <v>22.09</v>
      </c>
      <c r="D196" s="1">
        <f>IFERROR(__xludf.DUMMYFUNCTION("""COMPUTED_VALUE"""),22.09)</f>
        <v>22.09</v>
      </c>
      <c r="E196" s="1">
        <f>IFERROR(__xludf.DUMMYFUNCTION("""COMPUTED_VALUE"""),22.09)</f>
        <v>22.09</v>
      </c>
      <c r="F196" s="1">
        <f>IFERROR(__xludf.DUMMYFUNCTION("""COMPUTED_VALUE"""),3.0)</f>
        <v>3</v>
      </c>
      <c r="G196" s="2" t="s">
        <v>9</v>
      </c>
    </row>
    <row r="197">
      <c r="A197" s="3">
        <f>IFERROR(__xludf.DUMMYFUNCTION("""COMPUTED_VALUE"""),44846.66666666667)</f>
        <v>44846.66667</v>
      </c>
      <c r="B197" s="1">
        <f>IFERROR(__xludf.DUMMYFUNCTION("""COMPUTED_VALUE"""),22.2)</f>
        <v>22.2</v>
      </c>
      <c r="C197" s="1">
        <f>IFERROR(__xludf.DUMMYFUNCTION("""COMPUTED_VALUE"""),22.2)</f>
        <v>22.2</v>
      </c>
      <c r="D197" s="1">
        <f>IFERROR(__xludf.DUMMYFUNCTION("""COMPUTED_VALUE"""),22.2)</f>
        <v>22.2</v>
      </c>
      <c r="E197" s="1">
        <f>IFERROR(__xludf.DUMMYFUNCTION("""COMPUTED_VALUE"""),22.2)</f>
        <v>22.2</v>
      </c>
      <c r="F197" s="1">
        <f>IFERROR(__xludf.DUMMYFUNCTION("""COMPUTED_VALUE"""),27.0)</f>
        <v>27</v>
      </c>
      <c r="G197" s="2" t="s">
        <v>9</v>
      </c>
    </row>
    <row r="198">
      <c r="A198" s="3">
        <f>IFERROR(__xludf.DUMMYFUNCTION("""COMPUTED_VALUE"""),44847.66666666667)</f>
        <v>44847.66667</v>
      </c>
      <c r="B198" s="1">
        <f>IFERROR(__xludf.DUMMYFUNCTION("""COMPUTED_VALUE"""),21.54)</f>
        <v>21.54</v>
      </c>
      <c r="C198" s="1">
        <f>IFERROR(__xludf.DUMMYFUNCTION("""COMPUTED_VALUE"""),22.46)</f>
        <v>22.46</v>
      </c>
      <c r="D198" s="1">
        <f>IFERROR(__xludf.DUMMYFUNCTION("""COMPUTED_VALUE"""),21.54)</f>
        <v>21.54</v>
      </c>
      <c r="E198" s="1">
        <f>IFERROR(__xludf.DUMMYFUNCTION("""COMPUTED_VALUE"""),22.45)</f>
        <v>22.45</v>
      </c>
      <c r="F198" s="1">
        <f>IFERROR(__xludf.DUMMYFUNCTION("""COMPUTED_VALUE"""),9171.0)</f>
        <v>9171</v>
      </c>
      <c r="G198" s="2" t="s">
        <v>9</v>
      </c>
    </row>
    <row r="199">
      <c r="A199" s="3">
        <f>IFERROR(__xludf.DUMMYFUNCTION("""COMPUTED_VALUE"""),44848.66666666667)</f>
        <v>44848.66667</v>
      </c>
      <c r="B199" s="1">
        <f>IFERROR(__xludf.DUMMYFUNCTION("""COMPUTED_VALUE"""),21.78)</f>
        <v>21.78</v>
      </c>
      <c r="C199" s="1">
        <f>IFERROR(__xludf.DUMMYFUNCTION("""COMPUTED_VALUE"""),21.78)</f>
        <v>21.78</v>
      </c>
      <c r="D199" s="1">
        <f>IFERROR(__xludf.DUMMYFUNCTION("""COMPUTED_VALUE"""),21.72)</f>
        <v>21.72</v>
      </c>
      <c r="E199" s="1">
        <f>IFERROR(__xludf.DUMMYFUNCTION("""COMPUTED_VALUE"""),21.72)</f>
        <v>21.72</v>
      </c>
      <c r="F199" s="1">
        <f>IFERROR(__xludf.DUMMYFUNCTION("""COMPUTED_VALUE"""),2084.0)</f>
        <v>2084</v>
      </c>
      <c r="G199" s="2" t="s">
        <v>9</v>
      </c>
    </row>
    <row r="200">
      <c r="A200" s="3">
        <f>IFERROR(__xludf.DUMMYFUNCTION("""COMPUTED_VALUE"""),44851.66666666667)</f>
        <v>44851.66667</v>
      </c>
      <c r="B200" s="1">
        <f>IFERROR(__xludf.DUMMYFUNCTION("""COMPUTED_VALUE"""),22.66)</f>
        <v>22.66</v>
      </c>
      <c r="C200" s="1">
        <f>IFERROR(__xludf.DUMMYFUNCTION("""COMPUTED_VALUE"""),22.66)</f>
        <v>22.66</v>
      </c>
      <c r="D200" s="1">
        <f>IFERROR(__xludf.DUMMYFUNCTION("""COMPUTED_VALUE"""),22.56)</f>
        <v>22.56</v>
      </c>
      <c r="E200" s="1">
        <f>IFERROR(__xludf.DUMMYFUNCTION("""COMPUTED_VALUE"""),22.56)</f>
        <v>22.56</v>
      </c>
      <c r="F200" s="1">
        <f>IFERROR(__xludf.DUMMYFUNCTION("""COMPUTED_VALUE"""),2703.0)</f>
        <v>2703</v>
      </c>
      <c r="G200" s="2" t="s">
        <v>9</v>
      </c>
    </row>
    <row r="201">
      <c r="A201" s="3">
        <f>IFERROR(__xludf.DUMMYFUNCTION("""COMPUTED_VALUE"""),44852.66666666667)</f>
        <v>44852.66667</v>
      </c>
      <c r="B201" s="1">
        <f>IFERROR(__xludf.DUMMYFUNCTION("""COMPUTED_VALUE"""),22.86)</f>
        <v>22.86</v>
      </c>
      <c r="C201" s="1">
        <f>IFERROR(__xludf.DUMMYFUNCTION("""COMPUTED_VALUE"""),22.86)</f>
        <v>22.86</v>
      </c>
      <c r="D201" s="1">
        <f>IFERROR(__xludf.DUMMYFUNCTION("""COMPUTED_VALUE"""),22.86)</f>
        <v>22.86</v>
      </c>
      <c r="E201" s="1">
        <f>IFERROR(__xludf.DUMMYFUNCTION("""COMPUTED_VALUE"""),22.86)</f>
        <v>22.86</v>
      </c>
      <c r="F201" s="1">
        <f>IFERROR(__xludf.DUMMYFUNCTION("""COMPUTED_VALUE"""),100.0)</f>
        <v>100</v>
      </c>
      <c r="G201" s="2" t="s">
        <v>9</v>
      </c>
    </row>
    <row r="202">
      <c r="A202" s="3">
        <f>IFERROR(__xludf.DUMMYFUNCTION("""COMPUTED_VALUE"""),44853.66666666667)</f>
        <v>44853.66667</v>
      </c>
      <c r="B202" s="1">
        <f>IFERROR(__xludf.DUMMYFUNCTION("""COMPUTED_VALUE"""),22.45)</f>
        <v>22.45</v>
      </c>
      <c r="C202" s="1">
        <f>IFERROR(__xludf.DUMMYFUNCTION("""COMPUTED_VALUE"""),22.45)</f>
        <v>22.45</v>
      </c>
      <c r="D202" s="1">
        <f>IFERROR(__xludf.DUMMYFUNCTION("""COMPUTED_VALUE"""),22.45)</f>
        <v>22.45</v>
      </c>
      <c r="E202" s="1">
        <f>IFERROR(__xludf.DUMMYFUNCTION("""COMPUTED_VALUE"""),22.45)</f>
        <v>22.45</v>
      </c>
      <c r="F202" s="1">
        <f>IFERROR(__xludf.DUMMYFUNCTION("""COMPUTED_VALUE"""),26.0)</f>
        <v>26</v>
      </c>
      <c r="G202" s="2" t="s">
        <v>9</v>
      </c>
    </row>
    <row r="203">
      <c r="A203" s="3">
        <f>IFERROR(__xludf.DUMMYFUNCTION("""COMPUTED_VALUE"""),44854.66666666667)</f>
        <v>44854.66667</v>
      </c>
      <c r="B203" s="1">
        <f>IFERROR(__xludf.DUMMYFUNCTION("""COMPUTED_VALUE"""),22.45)</f>
        <v>22.45</v>
      </c>
      <c r="C203" s="1">
        <f>IFERROR(__xludf.DUMMYFUNCTION("""COMPUTED_VALUE"""),22.45)</f>
        <v>22.45</v>
      </c>
      <c r="D203" s="1">
        <f>IFERROR(__xludf.DUMMYFUNCTION("""COMPUTED_VALUE"""),22.45)</f>
        <v>22.45</v>
      </c>
      <c r="E203" s="1">
        <f>IFERROR(__xludf.DUMMYFUNCTION("""COMPUTED_VALUE"""),22.45)</f>
        <v>22.45</v>
      </c>
      <c r="F203" s="1">
        <f>IFERROR(__xludf.DUMMYFUNCTION("""COMPUTED_VALUE"""),252.0)</f>
        <v>252</v>
      </c>
      <c r="G203" s="2" t="s">
        <v>9</v>
      </c>
    </row>
    <row r="204">
      <c r="A204" s="3">
        <f>IFERROR(__xludf.DUMMYFUNCTION("""COMPUTED_VALUE"""),44855.66666666667)</f>
        <v>44855.66667</v>
      </c>
      <c r="B204" s="1">
        <f>IFERROR(__xludf.DUMMYFUNCTION("""COMPUTED_VALUE"""),22.56)</f>
        <v>22.56</v>
      </c>
      <c r="C204" s="1">
        <f>IFERROR(__xludf.DUMMYFUNCTION("""COMPUTED_VALUE"""),22.85)</f>
        <v>22.85</v>
      </c>
      <c r="D204" s="1">
        <f>IFERROR(__xludf.DUMMYFUNCTION("""COMPUTED_VALUE"""),22.56)</f>
        <v>22.56</v>
      </c>
      <c r="E204" s="1">
        <f>IFERROR(__xludf.DUMMYFUNCTION("""COMPUTED_VALUE"""),22.85)</f>
        <v>22.85</v>
      </c>
      <c r="F204" s="1">
        <f>IFERROR(__xludf.DUMMYFUNCTION("""COMPUTED_VALUE"""),261.0)</f>
        <v>261</v>
      </c>
      <c r="G204" s="2" t="s">
        <v>9</v>
      </c>
    </row>
    <row r="205">
      <c r="A205" s="3">
        <f>IFERROR(__xludf.DUMMYFUNCTION("""COMPUTED_VALUE"""),44858.66666666667)</f>
        <v>44858.66667</v>
      </c>
      <c r="B205" s="1">
        <f>IFERROR(__xludf.DUMMYFUNCTION("""COMPUTED_VALUE"""),22.83)</f>
        <v>22.83</v>
      </c>
      <c r="C205" s="1">
        <f>IFERROR(__xludf.DUMMYFUNCTION("""COMPUTED_VALUE"""),22.83)</f>
        <v>22.83</v>
      </c>
      <c r="D205" s="1">
        <f>IFERROR(__xludf.DUMMYFUNCTION("""COMPUTED_VALUE"""),22.83)</f>
        <v>22.83</v>
      </c>
      <c r="E205" s="1">
        <f>IFERROR(__xludf.DUMMYFUNCTION("""COMPUTED_VALUE"""),22.83)</f>
        <v>22.83</v>
      </c>
      <c r="F205" s="1">
        <f>IFERROR(__xludf.DUMMYFUNCTION("""COMPUTED_VALUE"""),94.0)</f>
        <v>94</v>
      </c>
      <c r="G205" s="2" t="s">
        <v>9</v>
      </c>
    </row>
    <row r="206">
      <c r="A206" s="3">
        <f>IFERROR(__xludf.DUMMYFUNCTION("""COMPUTED_VALUE"""),44859.66666666667)</f>
        <v>44859.66667</v>
      </c>
      <c r="B206" s="1">
        <f>IFERROR(__xludf.DUMMYFUNCTION("""COMPUTED_VALUE"""),23.82)</f>
        <v>23.82</v>
      </c>
      <c r="C206" s="1">
        <f>IFERROR(__xludf.DUMMYFUNCTION("""COMPUTED_VALUE"""),23.82)</f>
        <v>23.82</v>
      </c>
      <c r="D206" s="1">
        <f>IFERROR(__xludf.DUMMYFUNCTION("""COMPUTED_VALUE"""),23.82)</f>
        <v>23.82</v>
      </c>
      <c r="E206" s="1">
        <f>IFERROR(__xludf.DUMMYFUNCTION("""COMPUTED_VALUE"""),23.82)</f>
        <v>23.82</v>
      </c>
      <c r="F206" s="1">
        <f>IFERROR(__xludf.DUMMYFUNCTION("""COMPUTED_VALUE"""),39.0)</f>
        <v>39</v>
      </c>
      <c r="G206" s="2" t="s">
        <v>9</v>
      </c>
    </row>
    <row r="207">
      <c r="A207" s="3">
        <f>IFERROR(__xludf.DUMMYFUNCTION("""COMPUTED_VALUE"""),44860.66666666667)</f>
        <v>44860.66667</v>
      </c>
      <c r="B207" s="1">
        <f>IFERROR(__xludf.DUMMYFUNCTION("""COMPUTED_VALUE"""),23.93)</f>
        <v>23.93</v>
      </c>
      <c r="C207" s="1">
        <f>IFERROR(__xludf.DUMMYFUNCTION("""COMPUTED_VALUE"""),24.28)</f>
        <v>24.28</v>
      </c>
      <c r="D207" s="1">
        <f>IFERROR(__xludf.DUMMYFUNCTION("""COMPUTED_VALUE"""),23.73)</f>
        <v>23.73</v>
      </c>
      <c r="E207" s="1">
        <f>IFERROR(__xludf.DUMMYFUNCTION("""COMPUTED_VALUE"""),23.73)</f>
        <v>23.73</v>
      </c>
      <c r="F207" s="1">
        <f>IFERROR(__xludf.DUMMYFUNCTION("""COMPUTED_VALUE"""),7837.0)</f>
        <v>7837</v>
      </c>
      <c r="G207" s="2" t="s">
        <v>9</v>
      </c>
    </row>
    <row r="208">
      <c r="A208" s="3">
        <f>IFERROR(__xludf.DUMMYFUNCTION("""COMPUTED_VALUE"""),44861.66666666667)</f>
        <v>44861.66667</v>
      </c>
      <c r="B208" s="1">
        <f>IFERROR(__xludf.DUMMYFUNCTION("""COMPUTED_VALUE"""),23.61)</f>
        <v>23.61</v>
      </c>
      <c r="C208" s="1">
        <f>IFERROR(__xludf.DUMMYFUNCTION("""COMPUTED_VALUE"""),23.61)</f>
        <v>23.61</v>
      </c>
      <c r="D208" s="1">
        <f>IFERROR(__xludf.DUMMYFUNCTION("""COMPUTED_VALUE"""),23.61)</f>
        <v>23.61</v>
      </c>
      <c r="E208" s="1">
        <f>IFERROR(__xludf.DUMMYFUNCTION("""COMPUTED_VALUE"""),23.61)</f>
        <v>23.61</v>
      </c>
      <c r="F208" s="1">
        <f>IFERROR(__xludf.DUMMYFUNCTION("""COMPUTED_VALUE"""),36.0)</f>
        <v>36</v>
      </c>
      <c r="G208" s="2" t="s">
        <v>9</v>
      </c>
    </row>
    <row r="209">
      <c r="A209" s="3">
        <f>IFERROR(__xludf.DUMMYFUNCTION("""COMPUTED_VALUE"""),44862.66666666667)</f>
        <v>44862.66667</v>
      </c>
      <c r="B209" s="1">
        <f>IFERROR(__xludf.DUMMYFUNCTION("""COMPUTED_VALUE"""),23.96)</f>
        <v>23.96</v>
      </c>
      <c r="C209" s="1">
        <f>IFERROR(__xludf.DUMMYFUNCTION("""COMPUTED_VALUE"""),23.96)</f>
        <v>23.96</v>
      </c>
      <c r="D209" s="1">
        <f>IFERROR(__xludf.DUMMYFUNCTION("""COMPUTED_VALUE"""),23.96)</f>
        <v>23.96</v>
      </c>
      <c r="E209" s="1">
        <f>IFERROR(__xludf.DUMMYFUNCTION("""COMPUTED_VALUE"""),23.96)</f>
        <v>23.96</v>
      </c>
      <c r="F209" s="1">
        <f>IFERROR(__xludf.DUMMYFUNCTION("""COMPUTED_VALUE"""),75.0)</f>
        <v>75</v>
      </c>
      <c r="G209" s="2" t="s">
        <v>9</v>
      </c>
    </row>
    <row r="210">
      <c r="A210" s="3">
        <f>IFERROR(__xludf.DUMMYFUNCTION("""COMPUTED_VALUE"""),44865.66666666667)</f>
        <v>44865.66667</v>
      </c>
      <c r="B210" s="1">
        <f>IFERROR(__xludf.DUMMYFUNCTION("""COMPUTED_VALUE"""),23.78)</f>
        <v>23.78</v>
      </c>
      <c r="C210" s="1">
        <f>IFERROR(__xludf.DUMMYFUNCTION("""COMPUTED_VALUE"""),23.93)</f>
        <v>23.93</v>
      </c>
      <c r="D210" s="1">
        <f>IFERROR(__xludf.DUMMYFUNCTION("""COMPUTED_VALUE"""),23.78)</f>
        <v>23.78</v>
      </c>
      <c r="E210" s="1">
        <f>IFERROR(__xludf.DUMMYFUNCTION("""COMPUTED_VALUE"""),23.85)</f>
        <v>23.85</v>
      </c>
      <c r="F210" s="1">
        <f>IFERROR(__xludf.DUMMYFUNCTION("""COMPUTED_VALUE"""),1307.0)</f>
        <v>1307</v>
      </c>
      <c r="G210" s="2" t="s">
        <v>9</v>
      </c>
    </row>
    <row r="211">
      <c r="A211" s="3">
        <f>IFERROR(__xludf.DUMMYFUNCTION("""COMPUTED_VALUE"""),44866.66666666667)</f>
        <v>44866.66667</v>
      </c>
      <c r="B211" s="1">
        <f>IFERROR(__xludf.DUMMYFUNCTION("""COMPUTED_VALUE"""),23.89)</f>
        <v>23.89</v>
      </c>
      <c r="C211" s="1">
        <f>IFERROR(__xludf.DUMMYFUNCTION("""COMPUTED_VALUE"""),23.89)</f>
        <v>23.89</v>
      </c>
      <c r="D211" s="1">
        <f>IFERROR(__xludf.DUMMYFUNCTION("""COMPUTED_VALUE"""),23.86)</f>
        <v>23.86</v>
      </c>
      <c r="E211" s="1">
        <f>IFERROR(__xludf.DUMMYFUNCTION("""COMPUTED_VALUE"""),23.86)</f>
        <v>23.86</v>
      </c>
      <c r="F211" s="1">
        <f>IFERROR(__xludf.DUMMYFUNCTION("""COMPUTED_VALUE"""),285.0)</f>
        <v>285</v>
      </c>
      <c r="G211" s="2" t="s">
        <v>9</v>
      </c>
    </row>
    <row r="212">
      <c r="A212" s="3">
        <f>IFERROR(__xludf.DUMMYFUNCTION("""COMPUTED_VALUE"""),44867.66666666667)</f>
        <v>44867.66667</v>
      </c>
      <c r="B212" s="1">
        <f>IFERROR(__xludf.DUMMYFUNCTION("""COMPUTED_VALUE"""),22.96)</f>
        <v>22.96</v>
      </c>
      <c r="C212" s="1">
        <f>IFERROR(__xludf.DUMMYFUNCTION("""COMPUTED_VALUE"""),22.96)</f>
        <v>22.96</v>
      </c>
      <c r="D212" s="1">
        <f>IFERROR(__xludf.DUMMYFUNCTION("""COMPUTED_VALUE"""),22.96)</f>
        <v>22.96</v>
      </c>
      <c r="E212" s="1">
        <f>IFERROR(__xludf.DUMMYFUNCTION("""COMPUTED_VALUE"""),22.96)</f>
        <v>22.96</v>
      </c>
      <c r="F212" s="1">
        <f>IFERROR(__xludf.DUMMYFUNCTION("""COMPUTED_VALUE"""),133.0)</f>
        <v>133</v>
      </c>
      <c r="G212" s="2" t="s">
        <v>9</v>
      </c>
    </row>
    <row r="213">
      <c r="A213" s="3">
        <f>IFERROR(__xludf.DUMMYFUNCTION("""COMPUTED_VALUE"""),44868.66666666667)</f>
        <v>44868.66667</v>
      </c>
      <c r="B213" s="1">
        <f>IFERROR(__xludf.DUMMYFUNCTION("""COMPUTED_VALUE"""),22.6)</f>
        <v>22.6</v>
      </c>
      <c r="C213" s="1">
        <f>IFERROR(__xludf.DUMMYFUNCTION("""COMPUTED_VALUE"""),22.82)</f>
        <v>22.82</v>
      </c>
      <c r="D213" s="1">
        <f>IFERROR(__xludf.DUMMYFUNCTION("""COMPUTED_VALUE"""),22.58)</f>
        <v>22.58</v>
      </c>
      <c r="E213" s="1">
        <f>IFERROR(__xludf.DUMMYFUNCTION("""COMPUTED_VALUE"""),22.82)</f>
        <v>22.82</v>
      </c>
      <c r="F213" s="1">
        <f>IFERROR(__xludf.DUMMYFUNCTION("""COMPUTED_VALUE"""),822.0)</f>
        <v>822</v>
      </c>
      <c r="G213" s="2" t="s">
        <v>9</v>
      </c>
    </row>
    <row r="214">
      <c r="A214" s="3">
        <f>IFERROR(__xludf.DUMMYFUNCTION("""COMPUTED_VALUE"""),44869.66666666667)</f>
        <v>44869.66667</v>
      </c>
      <c r="B214" s="1">
        <f>IFERROR(__xludf.DUMMYFUNCTION("""COMPUTED_VALUE"""),22.67)</f>
        <v>22.67</v>
      </c>
      <c r="C214" s="1">
        <f>IFERROR(__xludf.DUMMYFUNCTION("""COMPUTED_VALUE"""),22.67)</f>
        <v>22.67</v>
      </c>
      <c r="D214" s="1">
        <f>IFERROR(__xludf.DUMMYFUNCTION("""COMPUTED_VALUE"""),22.67)</f>
        <v>22.67</v>
      </c>
      <c r="E214" s="1">
        <f>IFERROR(__xludf.DUMMYFUNCTION("""COMPUTED_VALUE"""),22.67)</f>
        <v>22.67</v>
      </c>
      <c r="F214" s="1">
        <f>IFERROR(__xludf.DUMMYFUNCTION("""COMPUTED_VALUE"""),2.0)</f>
        <v>2</v>
      </c>
      <c r="G214" s="2" t="s">
        <v>9</v>
      </c>
    </row>
    <row r="215">
      <c r="A215" s="3">
        <f>IFERROR(__xludf.DUMMYFUNCTION("""COMPUTED_VALUE"""),44872.66666666667)</f>
        <v>44872.66667</v>
      </c>
      <c r="B215" s="1">
        <f>IFERROR(__xludf.DUMMYFUNCTION("""COMPUTED_VALUE"""),22.75)</f>
        <v>22.75</v>
      </c>
      <c r="C215" s="1">
        <f>IFERROR(__xludf.DUMMYFUNCTION("""COMPUTED_VALUE"""),22.75)</f>
        <v>22.75</v>
      </c>
      <c r="D215" s="1">
        <f>IFERROR(__xludf.DUMMYFUNCTION("""COMPUTED_VALUE"""),22.75)</f>
        <v>22.75</v>
      </c>
      <c r="E215" s="1">
        <f>IFERROR(__xludf.DUMMYFUNCTION("""COMPUTED_VALUE"""),22.75)</f>
        <v>22.75</v>
      </c>
      <c r="F215" s="1">
        <f>IFERROR(__xludf.DUMMYFUNCTION("""COMPUTED_VALUE"""),33.0)</f>
        <v>33</v>
      </c>
      <c r="G215" s="2" t="s">
        <v>9</v>
      </c>
    </row>
    <row r="216">
      <c r="A216" s="3">
        <f>IFERROR(__xludf.DUMMYFUNCTION("""COMPUTED_VALUE"""),44873.66666666667)</f>
        <v>44873.66667</v>
      </c>
      <c r="B216" s="1">
        <f>IFERROR(__xludf.DUMMYFUNCTION("""COMPUTED_VALUE"""),22.79)</f>
        <v>22.79</v>
      </c>
      <c r="C216" s="1">
        <f>IFERROR(__xludf.DUMMYFUNCTION("""COMPUTED_VALUE"""),23.15)</f>
        <v>23.15</v>
      </c>
      <c r="D216" s="1">
        <f>IFERROR(__xludf.DUMMYFUNCTION("""COMPUTED_VALUE"""),22.78)</f>
        <v>22.78</v>
      </c>
      <c r="E216" s="1">
        <f>IFERROR(__xludf.DUMMYFUNCTION("""COMPUTED_VALUE"""),22.86)</f>
        <v>22.86</v>
      </c>
      <c r="F216" s="1">
        <f>IFERROR(__xludf.DUMMYFUNCTION("""COMPUTED_VALUE"""),3869.0)</f>
        <v>3869</v>
      </c>
      <c r="G216" s="2" t="s">
        <v>9</v>
      </c>
    </row>
    <row r="217">
      <c r="A217" s="3">
        <f>IFERROR(__xludf.DUMMYFUNCTION("""COMPUTED_VALUE"""),44874.66666666667)</f>
        <v>44874.66667</v>
      </c>
      <c r="B217" s="1">
        <f>IFERROR(__xludf.DUMMYFUNCTION("""COMPUTED_VALUE"""),22.06)</f>
        <v>22.06</v>
      </c>
      <c r="C217" s="1">
        <f>IFERROR(__xludf.DUMMYFUNCTION("""COMPUTED_VALUE"""),22.06)</f>
        <v>22.06</v>
      </c>
      <c r="D217" s="1">
        <f>IFERROR(__xludf.DUMMYFUNCTION("""COMPUTED_VALUE"""),22.06)</f>
        <v>22.06</v>
      </c>
      <c r="E217" s="1">
        <f>IFERROR(__xludf.DUMMYFUNCTION("""COMPUTED_VALUE"""),22.06)</f>
        <v>22.06</v>
      </c>
      <c r="F217" s="1">
        <f>IFERROR(__xludf.DUMMYFUNCTION("""COMPUTED_VALUE"""),26.0)</f>
        <v>26</v>
      </c>
      <c r="G217" s="2" t="s">
        <v>9</v>
      </c>
    </row>
    <row r="218">
      <c r="A218" s="3">
        <f>IFERROR(__xludf.DUMMYFUNCTION("""COMPUTED_VALUE"""),44875.66666666667)</f>
        <v>44875.66667</v>
      </c>
      <c r="B218" s="1">
        <f>IFERROR(__xludf.DUMMYFUNCTION("""COMPUTED_VALUE"""),23.87)</f>
        <v>23.87</v>
      </c>
      <c r="C218" s="1">
        <f>IFERROR(__xludf.DUMMYFUNCTION("""COMPUTED_VALUE"""),23.87)</f>
        <v>23.87</v>
      </c>
      <c r="D218" s="1">
        <f>IFERROR(__xludf.DUMMYFUNCTION("""COMPUTED_VALUE"""),23.87)</f>
        <v>23.87</v>
      </c>
      <c r="E218" s="1">
        <f>IFERROR(__xludf.DUMMYFUNCTION("""COMPUTED_VALUE"""),23.87)</f>
        <v>23.87</v>
      </c>
      <c r="F218" s="1">
        <f>IFERROR(__xludf.DUMMYFUNCTION("""COMPUTED_VALUE"""),62.0)</f>
        <v>62</v>
      </c>
      <c r="G218" s="2" t="s">
        <v>9</v>
      </c>
    </row>
    <row r="219">
      <c r="A219" s="3">
        <f>IFERROR(__xludf.DUMMYFUNCTION("""COMPUTED_VALUE"""),44876.66666666667)</f>
        <v>44876.66667</v>
      </c>
      <c r="B219" s="1">
        <f>IFERROR(__xludf.DUMMYFUNCTION("""COMPUTED_VALUE"""),24.43)</f>
        <v>24.43</v>
      </c>
      <c r="C219" s="1">
        <f>IFERROR(__xludf.DUMMYFUNCTION("""COMPUTED_VALUE"""),24.54)</f>
        <v>24.54</v>
      </c>
      <c r="D219" s="1">
        <f>IFERROR(__xludf.DUMMYFUNCTION("""COMPUTED_VALUE"""),24.43)</f>
        <v>24.43</v>
      </c>
      <c r="E219" s="1">
        <f>IFERROR(__xludf.DUMMYFUNCTION("""COMPUTED_VALUE"""),24.54)</f>
        <v>24.54</v>
      </c>
      <c r="F219" s="1">
        <f>IFERROR(__xludf.DUMMYFUNCTION("""COMPUTED_VALUE"""),241.0)</f>
        <v>241</v>
      </c>
      <c r="G219" s="2" t="s">
        <v>9</v>
      </c>
    </row>
    <row r="220">
      <c r="A220" s="3">
        <f>IFERROR(__xludf.DUMMYFUNCTION("""COMPUTED_VALUE"""),44879.66666666667)</f>
        <v>44879.66667</v>
      </c>
      <c r="B220" s="1">
        <f>IFERROR(__xludf.DUMMYFUNCTION("""COMPUTED_VALUE"""),24.41)</f>
        <v>24.41</v>
      </c>
      <c r="C220" s="1">
        <f>IFERROR(__xludf.DUMMYFUNCTION("""COMPUTED_VALUE"""),24.41)</f>
        <v>24.41</v>
      </c>
      <c r="D220" s="1">
        <f>IFERROR(__xludf.DUMMYFUNCTION("""COMPUTED_VALUE"""),24.05)</f>
        <v>24.05</v>
      </c>
      <c r="E220" s="1">
        <f>IFERROR(__xludf.DUMMYFUNCTION("""COMPUTED_VALUE"""),24.05)</f>
        <v>24.05</v>
      </c>
      <c r="F220" s="1">
        <f>IFERROR(__xludf.DUMMYFUNCTION("""COMPUTED_VALUE"""),404.0)</f>
        <v>404</v>
      </c>
      <c r="G220" s="2" t="s">
        <v>9</v>
      </c>
    </row>
    <row r="221">
      <c r="A221" s="3">
        <f>IFERROR(__xludf.DUMMYFUNCTION("""COMPUTED_VALUE"""),44880.66666666667)</f>
        <v>44880.66667</v>
      </c>
      <c r="B221" s="1">
        <f>IFERROR(__xludf.DUMMYFUNCTION("""COMPUTED_VALUE"""),24.46)</f>
        <v>24.46</v>
      </c>
      <c r="C221" s="1">
        <f>IFERROR(__xludf.DUMMYFUNCTION("""COMPUTED_VALUE"""),24.46)</f>
        <v>24.46</v>
      </c>
      <c r="D221" s="1">
        <f>IFERROR(__xludf.DUMMYFUNCTION("""COMPUTED_VALUE"""),24.46)</f>
        <v>24.46</v>
      </c>
      <c r="E221" s="1">
        <f>IFERROR(__xludf.DUMMYFUNCTION("""COMPUTED_VALUE"""),24.46)</f>
        <v>24.46</v>
      </c>
      <c r="F221" s="1">
        <f>IFERROR(__xludf.DUMMYFUNCTION("""COMPUTED_VALUE"""),111.0)</f>
        <v>111</v>
      </c>
      <c r="G221" s="2" t="s">
        <v>9</v>
      </c>
    </row>
    <row r="222">
      <c r="A222" s="3">
        <f>IFERROR(__xludf.DUMMYFUNCTION("""COMPUTED_VALUE"""),44881.66666666667)</f>
        <v>44881.66667</v>
      </c>
      <c r="B222" s="1">
        <f>IFERROR(__xludf.DUMMYFUNCTION("""COMPUTED_VALUE"""),23.98)</f>
        <v>23.98</v>
      </c>
      <c r="C222" s="1">
        <f>IFERROR(__xludf.DUMMYFUNCTION("""COMPUTED_VALUE"""),23.98)</f>
        <v>23.98</v>
      </c>
      <c r="D222" s="1">
        <f>IFERROR(__xludf.DUMMYFUNCTION("""COMPUTED_VALUE"""),23.83)</f>
        <v>23.83</v>
      </c>
      <c r="E222" s="1">
        <f>IFERROR(__xludf.DUMMYFUNCTION("""COMPUTED_VALUE"""),23.83)</f>
        <v>23.83</v>
      </c>
      <c r="F222" s="1">
        <f>IFERROR(__xludf.DUMMYFUNCTION("""COMPUTED_VALUE"""),4346.0)</f>
        <v>4346</v>
      </c>
      <c r="G222" s="2" t="s">
        <v>9</v>
      </c>
    </row>
    <row r="223">
      <c r="A223" s="3">
        <f>IFERROR(__xludf.DUMMYFUNCTION("""COMPUTED_VALUE"""),44882.66666666667)</f>
        <v>44882.66667</v>
      </c>
      <c r="B223" s="1">
        <f>IFERROR(__xludf.DUMMYFUNCTION("""COMPUTED_VALUE"""),23.44)</f>
        <v>23.44</v>
      </c>
      <c r="C223" s="1">
        <f>IFERROR(__xludf.DUMMYFUNCTION("""COMPUTED_VALUE"""),23.57)</f>
        <v>23.57</v>
      </c>
      <c r="D223" s="1">
        <f>IFERROR(__xludf.DUMMYFUNCTION("""COMPUTED_VALUE"""),23.3)</f>
        <v>23.3</v>
      </c>
      <c r="E223" s="1">
        <f>IFERROR(__xludf.DUMMYFUNCTION("""COMPUTED_VALUE"""),23.38)</f>
        <v>23.38</v>
      </c>
      <c r="F223" s="1">
        <f>IFERROR(__xludf.DUMMYFUNCTION("""COMPUTED_VALUE"""),1672.0)</f>
        <v>1672</v>
      </c>
      <c r="G223" s="2" t="s">
        <v>9</v>
      </c>
    </row>
    <row r="224">
      <c r="A224" s="3">
        <f>IFERROR(__xludf.DUMMYFUNCTION("""COMPUTED_VALUE"""),44883.66666666667)</f>
        <v>44883.66667</v>
      </c>
      <c r="B224" s="1">
        <f>IFERROR(__xludf.DUMMYFUNCTION("""COMPUTED_VALUE"""),23.35)</f>
        <v>23.35</v>
      </c>
      <c r="C224" s="1">
        <f>IFERROR(__xludf.DUMMYFUNCTION("""COMPUTED_VALUE"""),23.35)</f>
        <v>23.35</v>
      </c>
      <c r="D224" s="1">
        <f>IFERROR(__xludf.DUMMYFUNCTION("""COMPUTED_VALUE"""),23.35)</f>
        <v>23.35</v>
      </c>
      <c r="E224" s="1">
        <f>IFERROR(__xludf.DUMMYFUNCTION("""COMPUTED_VALUE"""),23.35)</f>
        <v>23.35</v>
      </c>
      <c r="F224" s="1">
        <f>IFERROR(__xludf.DUMMYFUNCTION("""COMPUTED_VALUE"""),132.0)</f>
        <v>132</v>
      </c>
      <c r="G224" s="2" t="s">
        <v>9</v>
      </c>
    </row>
    <row r="225">
      <c r="A225" s="3">
        <f>IFERROR(__xludf.DUMMYFUNCTION("""COMPUTED_VALUE"""),44886.66666666667)</f>
        <v>44886.66667</v>
      </c>
      <c r="B225" s="1">
        <f>IFERROR(__xludf.DUMMYFUNCTION("""COMPUTED_VALUE"""),23.11)</f>
        <v>23.11</v>
      </c>
      <c r="C225" s="1">
        <f>IFERROR(__xludf.DUMMYFUNCTION("""COMPUTED_VALUE"""),23.11)</f>
        <v>23.11</v>
      </c>
      <c r="D225" s="1">
        <f>IFERROR(__xludf.DUMMYFUNCTION("""COMPUTED_VALUE"""),23.11)</f>
        <v>23.11</v>
      </c>
      <c r="E225" s="1">
        <f>IFERROR(__xludf.DUMMYFUNCTION("""COMPUTED_VALUE"""),23.11)</f>
        <v>23.11</v>
      </c>
      <c r="F225" s="1">
        <f>IFERROR(__xludf.DUMMYFUNCTION("""COMPUTED_VALUE"""),63.0)</f>
        <v>63</v>
      </c>
      <c r="G225" s="2" t="s">
        <v>9</v>
      </c>
    </row>
    <row r="226">
      <c r="A226" s="3">
        <f>IFERROR(__xludf.DUMMYFUNCTION("""COMPUTED_VALUE"""),44887.66666666667)</f>
        <v>44887.66667</v>
      </c>
      <c r="B226" s="1">
        <f>IFERROR(__xludf.DUMMYFUNCTION("""COMPUTED_VALUE"""),23.07)</f>
        <v>23.07</v>
      </c>
      <c r="C226" s="1">
        <f>IFERROR(__xludf.DUMMYFUNCTION("""COMPUTED_VALUE"""),23.38)</f>
        <v>23.38</v>
      </c>
      <c r="D226" s="1">
        <f>IFERROR(__xludf.DUMMYFUNCTION("""COMPUTED_VALUE"""),23.03)</f>
        <v>23.03</v>
      </c>
      <c r="E226" s="1">
        <f>IFERROR(__xludf.DUMMYFUNCTION("""COMPUTED_VALUE"""),23.38)</f>
        <v>23.38</v>
      </c>
      <c r="F226" s="1">
        <f>IFERROR(__xludf.DUMMYFUNCTION("""COMPUTED_VALUE"""),17676.0)</f>
        <v>17676</v>
      </c>
      <c r="G226" s="2" t="s">
        <v>9</v>
      </c>
    </row>
    <row r="227">
      <c r="A227" s="3">
        <f>IFERROR(__xludf.DUMMYFUNCTION("""COMPUTED_VALUE"""),44888.66666666667)</f>
        <v>44888.66667</v>
      </c>
      <c r="B227" s="1">
        <f>IFERROR(__xludf.DUMMYFUNCTION("""COMPUTED_VALUE"""),23.6)</f>
        <v>23.6</v>
      </c>
      <c r="C227" s="1">
        <f>IFERROR(__xludf.DUMMYFUNCTION("""COMPUTED_VALUE"""),23.6)</f>
        <v>23.6</v>
      </c>
      <c r="D227" s="1">
        <f>IFERROR(__xludf.DUMMYFUNCTION("""COMPUTED_VALUE"""),23.59)</f>
        <v>23.59</v>
      </c>
      <c r="E227" s="1">
        <f>IFERROR(__xludf.DUMMYFUNCTION("""COMPUTED_VALUE"""),23.59)</f>
        <v>23.59</v>
      </c>
      <c r="F227" s="1">
        <f>IFERROR(__xludf.DUMMYFUNCTION("""COMPUTED_VALUE"""),437.0)</f>
        <v>437</v>
      </c>
      <c r="G227" s="2" t="s">
        <v>9</v>
      </c>
    </row>
    <row r="228">
      <c r="A228" s="3">
        <f>IFERROR(__xludf.DUMMYFUNCTION("""COMPUTED_VALUE"""),44890.5)</f>
        <v>44890.5</v>
      </c>
      <c r="B228" s="1">
        <f>IFERROR(__xludf.DUMMYFUNCTION("""COMPUTED_VALUE"""),23.66)</f>
        <v>23.66</v>
      </c>
      <c r="C228" s="1">
        <f>IFERROR(__xludf.DUMMYFUNCTION("""COMPUTED_VALUE"""),23.66)</f>
        <v>23.66</v>
      </c>
      <c r="D228" s="1">
        <f>IFERROR(__xludf.DUMMYFUNCTION("""COMPUTED_VALUE"""),23.66)</f>
        <v>23.66</v>
      </c>
      <c r="E228" s="1">
        <f>IFERROR(__xludf.DUMMYFUNCTION("""COMPUTED_VALUE"""),23.66)</f>
        <v>23.66</v>
      </c>
      <c r="F228" s="1">
        <f>IFERROR(__xludf.DUMMYFUNCTION("""COMPUTED_VALUE"""),1.0)</f>
        <v>1</v>
      </c>
      <c r="G228" s="2" t="s">
        <v>9</v>
      </c>
    </row>
    <row r="229">
      <c r="A229" s="3">
        <f>IFERROR(__xludf.DUMMYFUNCTION("""COMPUTED_VALUE"""),44893.66666666667)</f>
        <v>44893.66667</v>
      </c>
      <c r="B229" s="1">
        <f>IFERROR(__xludf.DUMMYFUNCTION("""COMPUTED_VALUE"""),23.22)</f>
        <v>23.22</v>
      </c>
      <c r="C229" s="1">
        <f>IFERROR(__xludf.DUMMYFUNCTION("""COMPUTED_VALUE"""),23.22)</f>
        <v>23.22</v>
      </c>
      <c r="D229" s="1">
        <f>IFERROR(__xludf.DUMMYFUNCTION("""COMPUTED_VALUE"""),23.22)</f>
        <v>23.22</v>
      </c>
      <c r="E229" s="1">
        <f>IFERROR(__xludf.DUMMYFUNCTION("""COMPUTED_VALUE"""),23.22)</f>
        <v>23.22</v>
      </c>
      <c r="F229" s="1">
        <f>IFERROR(__xludf.DUMMYFUNCTION("""COMPUTED_VALUE"""),53.0)</f>
        <v>53</v>
      </c>
      <c r="G229" s="2" t="s">
        <v>9</v>
      </c>
    </row>
    <row r="230">
      <c r="A230" s="3">
        <f>IFERROR(__xludf.DUMMYFUNCTION("""COMPUTED_VALUE"""),44894.66666666667)</f>
        <v>44894.66667</v>
      </c>
      <c r="B230" s="1">
        <f>IFERROR(__xludf.DUMMYFUNCTION("""COMPUTED_VALUE"""),23.73)</f>
        <v>23.73</v>
      </c>
      <c r="C230" s="1">
        <f>IFERROR(__xludf.DUMMYFUNCTION("""COMPUTED_VALUE"""),23.73)</f>
        <v>23.73</v>
      </c>
      <c r="D230" s="1">
        <f>IFERROR(__xludf.DUMMYFUNCTION("""COMPUTED_VALUE"""),23.21)</f>
        <v>23.21</v>
      </c>
      <c r="E230" s="1">
        <f>IFERROR(__xludf.DUMMYFUNCTION("""COMPUTED_VALUE"""),23.21)</f>
        <v>23.21</v>
      </c>
      <c r="F230" s="1">
        <f>IFERROR(__xludf.DUMMYFUNCTION("""COMPUTED_VALUE"""),4038.0)</f>
        <v>4038</v>
      </c>
      <c r="G230" s="2" t="s">
        <v>9</v>
      </c>
    </row>
    <row r="231">
      <c r="A231" s="3">
        <f>IFERROR(__xludf.DUMMYFUNCTION("""COMPUTED_VALUE"""),44895.66666666667)</f>
        <v>44895.66667</v>
      </c>
      <c r="B231" s="1">
        <f>IFERROR(__xludf.DUMMYFUNCTION("""COMPUTED_VALUE"""),23.21)</f>
        <v>23.21</v>
      </c>
      <c r="C231" s="1">
        <f>IFERROR(__xludf.DUMMYFUNCTION("""COMPUTED_VALUE"""),24.14)</f>
        <v>24.14</v>
      </c>
      <c r="D231" s="1">
        <f>IFERROR(__xludf.DUMMYFUNCTION("""COMPUTED_VALUE"""),23.21)</f>
        <v>23.21</v>
      </c>
      <c r="E231" s="1">
        <f>IFERROR(__xludf.DUMMYFUNCTION("""COMPUTED_VALUE"""),24.14)</f>
        <v>24.14</v>
      </c>
      <c r="F231" s="1">
        <f>IFERROR(__xludf.DUMMYFUNCTION("""COMPUTED_VALUE"""),4019.0)</f>
        <v>4019</v>
      </c>
      <c r="G231" s="2" t="s">
        <v>9</v>
      </c>
    </row>
    <row r="232">
      <c r="A232" s="3">
        <f>IFERROR(__xludf.DUMMYFUNCTION("""COMPUTED_VALUE"""),44896.66666666667)</f>
        <v>44896.66667</v>
      </c>
      <c r="B232" s="1">
        <f>IFERROR(__xludf.DUMMYFUNCTION("""COMPUTED_VALUE"""),24.32)</f>
        <v>24.32</v>
      </c>
      <c r="C232" s="1">
        <f>IFERROR(__xludf.DUMMYFUNCTION("""COMPUTED_VALUE"""),24.36)</f>
        <v>24.36</v>
      </c>
      <c r="D232" s="1">
        <f>IFERROR(__xludf.DUMMYFUNCTION("""COMPUTED_VALUE"""),24.28)</f>
        <v>24.28</v>
      </c>
      <c r="E232" s="1">
        <f>IFERROR(__xludf.DUMMYFUNCTION("""COMPUTED_VALUE"""),24.36)</f>
        <v>24.36</v>
      </c>
      <c r="F232" s="1">
        <f>IFERROR(__xludf.DUMMYFUNCTION("""COMPUTED_VALUE"""),774.0)</f>
        <v>774</v>
      </c>
      <c r="G232" s="2" t="s">
        <v>9</v>
      </c>
    </row>
    <row r="233">
      <c r="A233" s="3">
        <f>IFERROR(__xludf.DUMMYFUNCTION("""COMPUTED_VALUE"""),44897.66666666667)</f>
        <v>44897.66667</v>
      </c>
      <c r="B233" s="1">
        <f>IFERROR(__xludf.DUMMYFUNCTION("""COMPUTED_VALUE"""),24.03)</f>
        <v>24.03</v>
      </c>
      <c r="C233" s="1">
        <f>IFERROR(__xludf.DUMMYFUNCTION("""COMPUTED_VALUE"""),24.32)</f>
        <v>24.32</v>
      </c>
      <c r="D233" s="1">
        <f>IFERROR(__xludf.DUMMYFUNCTION("""COMPUTED_VALUE"""),23.87)</f>
        <v>23.87</v>
      </c>
      <c r="E233" s="1">
        <f>IFERROR(__xludf.DUMMYFUNCTION("""COMPUTED_VALUE"""),24.27)</f>
        <v>24.27</v>
      </c>
      <c r="F233" s="1">
        <f>IFERROR(__xludf.DUMMYFUNCTION("""COMPUTED_VALUE"""),4672.0)</f>
        <v>4672</v>
      </c>
      <c r="G233" s="2" t="s">
        <v>9</v>
      </c>
    </row>
    <row r="234">
      <c r="A234" s="3">
        <f>IFERROR(__xludf.DUMMYFUNCTION("""COMPUTED_VALUE"""),44900.66666666667)</f>
        <v>44900.66667</v>
      </c>
      <c r="B234" s="1">
        <f>IFERROR(__xludf.DUMMYFUNCTION("""COMPUTED_VALUE"""),23.9)</f>
        <v>23.9</v>
      </c>
      <c r="C234" s="1">
        <f>IFERROR(__xludf.DUMMYFUNCTION("""COMPUTED_VALUE"""),23.9)</f>
        <v>23.9</v>
      </c>
      <c r="D234" s="1">
        <f>IFERROR(__xludf.DUMMYFUNCTION("""COMPUTED_VALUE"""),23.35)</f>
        <v>23.35</v>
      </c>
      <c r="E234" s="1">
        <f>IFERROR(__xludf.DUMMYFUNCTION("""COMPUTED_VALUE"""),23.35)</f>
        <v>23.35</v>
      </c>
      <c r="F234" s="1">
        <f>IFERROR(__xludf.DUMMYFUNCTION("""COMPUTED_VALUE"""),874.0)</f>
        <v>874</v>
      </c>
      <c r="G234" s="2" t="s">
        <v>9</v>
      </c>
    </row>
    <row r="235">
      <c r="A235" s="3">
        <f>IFERROR(__xludf.DUMMYFUNCTION("""COMPUTED_VALUE"""),44901.66666666667)</f>
        <v>44901.66667</v>
      </c>
      <c r="B235" s="1">
        <f>IFERROR(__xludf.DUMMYFUNCTION("""COMPUTED_VALUE"""),22.91)</f>
        <v>22.91</v>
      </c>
      <c r="C235" s="1">
        <f>IFERROR(__xludf.DUMMYFUNCTION("""COMPUTED_VALUE"""),22.91)</f>
        <v>22.91</v>
      </c>
      <c r="D235" s="1">
        <f>IFERROR(__xludf.DUMMYFUNCTION("""COMPUTED_VALUE"""),22.91)</f>
        <v>22.91</v>
      </c>
      <c r="E235" s="1">
        <f>IFERROR(__xludf.DUMMYFUNCTION("""COMPUTED_VALUE"""),22.91)</f>
        <v>22.91</v>
      </c>
      <c r="F235" s="1">
        <f>IFERROR(__xludf.DUMMYFUNCTION("""COMPUTED_VALUE"""),161.0)</f>
        <v>161</v>
      </c>
      <c r="G235" s="2" t="s">
        <v>9</v>
      </c>
    </row>
    <row r="236">
      <c r="A236" s="3">
        <f>IFERROR(__xludf.DUMMYFUNCTION("""COMPUTED_VALUE"""),44902.66666666667)</f>
        <v>44902.66667</v>
      </c>
      <c r="B236" s="1">
        <f>IFERROR(__xludf.DUMMYFUNCTION("""COMPUTED_VALUE"""),22.94)</f>
        <v>22.94</v>
      </c>
      <c r="C236" s="1">
        <f>IFERROR(__xludf.DUMMYFUNCTION("""COMPUTED_VALUE"""),22.94)</f>
        <v>22.94</v>
      </c>
      <c r="D236" s="1">
        <f>IFERROR(__xludf.DUMMYFUNCTION("""COMPUTED_VALUE"""),22.84)</f>
        <v>22.84</v>
      </c>
      <c r="E236" s="1">
        <f>IFERROR(__xludf.DUMMYFUNCTION("""COMPUTED_VALUE"""),22.88)</f>
        <v>22.88</v>
      </c>
      <c r="F236" s="1">
        <f>IFERROR(__xludf.DUMMYFUNCTION("""COMPUTED_VALUE"""),4546.0)</f>
        <v>4546</v>
      </c>
      <c r="G236" s="2" t="s">
        <v>9</v>
      </c>
    </row>
    <row r="237">
      <c r="A237" s="3">
        <f>IFERROR(__xludf.DUMMYFUNCTION("""COMPUTED_VALUE"""),44903.66666666667)</f>
        <v>44903.66667</v>
      </c>
      <c r="B237" s="1">
        <f>IFERROR(__xludf.DUMMYFUNCTION("""COMPUTED_VALUE"""),23.17)</f>
        <v>23.17</v>
      </c>
      <c r="C237" s="1">
        <f>IFERROR(__xludf.DUMMYFUNCTION("""COMPUTED_VALUE"""),23.17)</f>
        <v>23.17</v>
      </c>
      <c r="D237" s="1">
        <f>IFERROR(__xludf.DUMMYFUNCTION("""COMPUTED_VALUE"""),23.17)</f>
        <v>23.17</v>
      </c>
      <c r="E237" s="1">
        <f>IFERROR(__xludf.DUMMYFUNCTION("""COMPUTED_VALUE"""),23.17)</f>
        <v>23.17</v>
      </c>
      <c r="F237" s="1">
        <f>IFERROR(__xludf.DUMMYFUNCTION("""COMPUTED_VALUE"""),79.0)</f>
        <v>79</v>
      </c>
      <c r="G237" s="2" t="s">
        <v>9</v>
      </c>
    </row>
    <row r="238">
      <c r="A238" s="3">
        <f>IFERROR(__xludf.DUMMYFUNCTION("""COMPUTED_VALUE"""),44904.66666666667)</f>
        <v>44904.66667</v>
      </c>
      <c r="B238" s="1">
        <f>IFERROR(__xludf.DUMMYFUNCTION("""COMPUTED_VALUE"""),23.16)</f>
        <v>23.16</v>
      </c>
      <c r="C238" s="1">
        <f>IFERROR(__xludf.DUMMYFUNCTION("""COMPUTED_VALUE"""),23.16)</f>
        <v>23.16</v>
      </c>
      <c r="D238" s="1">
        <f>IFERROR(__xludf.DUMMYFUNCTION("""COMPUTED_VALUE"""),23.01)</f>
        <v>23.01</v>
      </c>
      <c r="E238" s="1">
        <f>IFERROR(__xludf.DUMMYFUNCTION("""COMPUTED_VALUE"""),23.01)</f>
        <v>23.01</v>
      </c>
      <c r="F238" s="1">
        <f>IFERROR(__xludf.DUMMYFUNCTION("""COMPUTED_VALUE"""),483.0)</f>
        <v>483</v>
      </c>
      <c r="G238" s="2" t="s">
        <v>9</v>
      </c>
    </row>
    <row r="239">
      <c r="A239" s="3">
        <f>IFERROR(__xludf.DUMMYFUNCTION("""COMPUTED_VALUE"""),44907.66666666667)</f>
        <v>44907.66667</v>
      </c>
      <c r="B239" s="1">
        <f>IFERROR(__xludf.DUMMYFUNCTION("""COMPUTED_VALUE"""),23.36)</f>
        <v>23.36</v>
      </c>
      <c r="C239" s="1">
        <f>IFERROR(__xludf.DUMMYFUNCTION("""COMPUTED_VALUE"""),23.37)</f>
        <v>23.37</v>
      </c>
      <c r="D239" s="1">
        <f>IFERROR(__xludf.DUMMYFUNCTION("""COMPUTED_VALUE"""),23.36)</f>
        <v>23.36</v>
      </c>
      <c r="E239" s="1">
        <f>IFERROR(__xludf.DUMMYFUNCTION("""COMPUTED_VALUE"""),23.37)</f>
        <v>23.37</v>
      </c>
      <c r="F239" s="1">
        <f>IFERROR(__xludf.DUMMYFUNCTION("""COMPUTED_VALUE"""),265.0)</f>
        <v>265</v>
      </c>
      <c r="G239" s="2" t="s">
        <v>9</v>
      </c>
    </row>
    <row r="240">
      <c r="A240" s="3">
        <f>IFERROR(__xludf.DUMMYFUNCTION("""COMPUTED_VALUE"""),44908.66666666667)</f>
        <v>44908.66667</v>
      </c>
      <c r="B240" s="1">
        <f>IFERROR(__xludf.DUMMYFUNCTION("""COMPUTED_VALUE"""),23.76)</f>
        <v>23.76</v>
      </c>
      <c r="C240" s="1">
        <f>IFERROR(__xludf.DUMMYFUNCTION("""COMPUTED_VALUE"""),23.76)</f>
        <v>23.76</v>
      </c>
      <c r="D240" s="1">
        <f>IFERROR(__xludf.DUMMYFUNCTION("""COMPUTED_VALUE"""),23.74)</f>
        <v>23.74</v>
      </c>
      <c r="E240" s="1">
        <f>IFERROR(__xludf.DUMMYFUNCTION("""COMPUTED_VALUE"""),23.74)</f>
        <v>23.74</v>
      </c>
      <c r="F240" s="1">
        <f>IFERROR(__xludf.DUMMYFUNCTION("""COMPUTED_VALUE"""),379.0)</f>
        <v>379</v>
      </c>
      <c r="G240" s="2" t="s">
        <v>9</v>
      </c>
    </row>
    <row r="241">
      <c r="A241" s="3">
        <f>IFERROR(__xludf.DUMMYFUNCTION("""COMPUTED_VALUE"""),44909.66666666667)</f>
        <v>44909.66667</v>
      </c>
      <c r="B241" s="1">
        <f>IFERROR(__xludf.DUMMYFUNCTION("""COMPUTED_VALUE"""),23.63)</f>
        <v>23.63</v>
      </c>
      <c r="C241" s="1">
        <f>IFERROR(__xludf.DUMMYFUNCTION("""COMPUTED_VALUE"""),23.63)</f>
        <v>23.63</v>
      </c>
      <c r="D241" s="1">
        <f>IFERROR(__xludf.DUMMYFUNCTION("""COMPUTED_VALUE"""),23.63)</f>
        <v>23.63</v>
      </c>
      <c r="E241" s="1">
        <f>IFERROR(__xludf.DUMMYFUNCTION("""COMPUTED_VALUE"""),23.63)</f>
        <v>23.63</v>
      </c>
      <c r="F241" s="1">
        <f>IFERROR(__xludf.DUMMYFUNCTION("""COMPUTED_VALUE"""),9.0)</f>
        <v>9</v>
      </c>
      <c r="G241" s="2" t="s">
        <v>9</v>
      </c>
    </row>
    <row r="242">
      <c r="A242" s="3">
        <f>IFERROR(__xludf.DUMMYFUNCTION("""COMPUTED_VALUE"""),44910.66666666667)</f>
        <v>44910.66667</v>
      </c>
      <c r="B242" s="1">
        <f>IFERROR(__xludf.DUMMYFUNCTION("""COMPUTED_VALUE"""),23.05)</f>
        <v>23.05</v>
      </c>
      <c r="C242" s="1">
        <f>IFERROR(__xludf.DUMMYFUNCTION("""COMPUTED_VALUE"""),23.05)</f>
        <v>23.05</v>
      </c>
      <c r="D242" s="1">
        <f>IFERROR(__xludf.DUMMYFUNCTION("""COMPUTED_VALUE"""),22.81)</f>
        <v>22.81</v>
      </c>
      <c r="E242" s="1">
        <f>IFERROR(__xludf.DUMMYFUNCTION("""COMPUTED_VALUE"""),22.81)</f>
        <v>22.81</v>
      </c>
      <c r="F242" s="1">
        <f>IFERROR(__xludf.DUMMYFUNCTION("""COMPUTED_VALUE"""),1374.0)</f>
        <v>1374</v>
      </c>
      <c r="G242" s="2" t="s">
        <v>9</v>
      </c>
    </row>
    <row r="243">
      <c r="A243" s="3">
        <f>IFERROR(__xludf.DUMMYFUNCTION("""COMPUTED_VALUE"""),44911.66666666667)</f>
        <v>44911.66667</v>
      </c>
      <c r="B243" s="1">
        <f>IFERROR(__xludf.DUMMYFUNCTION("""COMPUTED_VALUE"""),22.35)</f>
        <v>22.35</v>
      </c>
      <c r="C243" s="1">
        <f>IFERROR(__xludf.DUMMYFUNCTION("""COMPUTED_VALUE"""),22.52)</f>
        <v>22.52</v>
      </c>
      <c r="D243" s="1">
        <f>IFERROR(__xludf.DUMMYFUNCTION("""COMPUTED_VALUE"""),22.35)</f>
        <v>22.35</v>
      </c>
      <c r="E243" s="1">
        <f>IFERROR(__xludf.DUMMYFUNCTION("""COMPUTED_VALUE"""),22.52)</f>
        <v>22.52</v>
      </c>
      <c r="F243" s="1">
        <f>IFERROR(__xludf.DUMMYFUNCTION("""COMPUTED_VALUE"""),257.0)</f>
        <v>257</v>
      </c>
      <c r="G243" s="2" t="s">
        <v>9</v>
      </c>
    </row>
    <row r="244">
      <c r="A244" s="3">
        <f>IFERROR(__xludf.DUMMYFUNCTION("""COMPUTED_VALUE"""),44914.66666666667)</f>
        <v>44914.66667</v>
      </c>
      <c r="B244" s="1">
        <f>IFERROR(__xludf.DUMMYFUNCTION("""COMPUTED_VALUE"""),22.05)</f>
        <v>22.05</v>
      </c>
      <c r="C244" s="1">
        <f>IFERROR(__xludf.DUMMYFUNCTION("""COMPUTED_VALUE"""),22.05)</f>
        <v>22.05</v>
      </c>
      <c r="D244" s="1">
        <f>IFERROR(__xludf.DUMMYFUNCTION("""COMPUTED_VALUE"""),22.05)</f>
        <v>22.05</v>
      </c>
      <c r="E244" s="1">
        <f>IFERROR(__xludf.DUMMYFUNCTION("""COMPUTED_VALUE"""),22.05)</f>
        <v>22.05</v>
      </c>
      <c r="F244" s="1">
        <f>IFERROR(__xludf.DUMMYFUNCTION("""COMPUTED_VALUE"""),110.0)</f>
        <v>110</v>
      </c>
      <c r="G244" s="2" t="s">
        <v>9</v>
      </c>
    </row>
    <row r="245">
      <c r="A245" s="3">
        <f>IFERROR(__xludf.DUMMYFUNCTION("""COMPUTED_VALUE"""),44915.66666666667)</f>
        <v>44915.66667</v>
      </c>
      <c r="B245" s="1">
        <f>IFERROR(__xludf.DUMMYFUNCTION("""COMPUTED_VALUE"""),22.15)</f>
        <v>22.15</v>
      </c>
      <c r="C245" s="1">
        <f>IFERROR(__xludf.DUMMYFUNCTION("""COMPUTED_VALUE"""),22.15)</f>
        <v>22.15</v>
      </c>
      <c r="D245" s="1">
        <f>IFERROR(__xludf.DUMMYFUNCTION("""COMPUTED_VALUE"""),22.15)</f>
        <v>22.15</v>
      </c>
      <c r="E245" s="1">
        <f>IFERROR(__xludf.DUMMYFUNCTION("""COMPUTED_VALUE"""),22.15)</f>
        <v>22.15</v>
      </c>
      <c r="F245" s="1">
        <f>IFERROR(__xludf.DUMMYFUNCTION("""COMPUTED_VALUE"""),94.0)</f>
        <v>94</v>
      </c>
      <c r="G245" s="2" t="s">
        <v>9</v>
      </c>
    </row>
    <row r="246">
      <c r="A246" s="3">
        <f>IFERROR(__xludf.DUMMYFUNCTION("""COMPUTED_VALUE"""),44916.66666666667)</f>
        <v>44916.66667</v>
      </c>
      <c r="B246" s="1">
        <f>IFERROR(__xludf.DUMMYFUNCTION("""COMPUTED_VALUE"""),22.59)</f>
        <v>22.59</v>
      </c>
      <c r="C246" s="1">
        <f>IFERROR(__xludf.DUMMYFUNCTION("""COMPUTED_VALUE"""),22.59)</f>
        <v>22.59</v>
      </c>
      <c r="D246" s="1">
        <f>IFERROR(__xludf.DUMMYFUNCTION("""COMPUTED_VALUE"""),22.48)</f>
        <v>22.48</v>
      </c>
      <c r="E246" s="1">
        <f>IFERROR(__xludf.DUMMYFUNCTION("""COMPUTED_VALUE"""),22.48)</f>
        <v>22.48</v>
      </c>
      <c r="F246" s="1">
        <f>IFERROR(__xludf.DUMMYFUNCTION("""COMPUTED_VALUE"""),468.0)</f>
        <v>468</v>
      </c>
      <c r="G246" s="2" t="s">
        <v>9</v>
      </c>
    </row>
    <row r="247">
      <c r="A247" s="3">
        <f>IFERROR(__xludf.DUMMYFUNCTION("""COMPUTED_VALUE"""),44917.66666666667)</f>
        <v>44917.66667</v>
      </c>
      <c r="B247" s="1">
        <f>IFERROR(__xludf.DUMMYFUNCTION("""COMPUTED_VALUE"""),21.83)</f>
        <v>21.83</v>
      </c>
      <c r="C247" s="1">
        <f>IFERROR(__xludf.DUMMYFUNCTION("""COMPUTED_VALUE"""),22.12)</f>
        <v>22.12</v>
      </c>
      <c r="D247" s="1">
        <f>IFERROR(__xludf.DUMMYFUNCTION("""COMPUTED_VALUE"""),21.79)</f>
        <v>21.79</v>
      </c>
      <c r="E247" s="1">
        <f>IFERROR(__xludf.DUMMYFUNCTION("""COMPUTED_VALUE"""),22.12)</f>
        <v>22.12</v>
      </c>
      <c r="F247" s="1">
        <f>IFERROR(__xludf.DUMMYFUNCTION("""COMPUTED_VALUE"""),506.0)</f>
        <v>506</v>
      </c>
      <c r="G247" s="2" t="s">
        <v>9</v>
      </c>
    </row>
    <row r="248">
      <c r="A248" s="3">
        <f>IFERROR(__xludf.DUMMYFUNCTION("""COMPUTED_VALUE"""),44918.66666666667)</f>
        <v>44918.66667</v>
      </c>
      <c r="B248" s="1">
        <f>IFERROR(__xludf.DUMMYFUNCTION("""COMPUTED_VALUE"""),21.98)</f>
        <v>21.98</v>
      </c>
      <c r="C248" s="1">
        <f>IFERROR(__xludf.DUMMYFUNCTION("""COMPUTED_VALUE"""),22.06)</f>
        <v>22.06</v>
      </c>
      <c r="D248" s="1">
        <f>IFERROR(__xludf.DUMMYFUNCTION("""COMPUTED_VALUE"""),21.92)</f>
        <v>21.92</v>
      </c>
      <c r="E248" s="1">
        <f>IFERROR(__xludf.DUMMYFUNCTION("""COMPUTED_VALUE"""),22.06)</f>
        <v>22.06</v>
      </c>
      <c r="F248" s="1">
        <f>IFERROR(__xludf.DUMMYFUNCTION("""COMPUTED_VALUE"""),408.0)</f>
        <v>408</v>
      </c>
      <c r="G248" s="2" t="s">
        <v>9</v>
      </c>
    </row>
    <row r="249">
      <c r="A249" s="3">
        <f>IFERROR(__xludf.DUMMYFUNCTION("""COMPUTED_VALUE"""),44922.66666666667)</f>
        <v>44922.66667</v>
      </c>
      <c r="B249" s="1">
        <f>IFERROR(__xludf.DUMMYFUNCTION("""COMPUTED_VALUE"""),21.82)</f>
        <v>21.82</v>
      </c>
      <c r="C249" s="1">
        <f>IFERROR(__xludf.DUMMYFUNCTION("""COMPUTED_VALUE"""),21.82)</f>
        <v>21.82</v>
      </c>
      <c r="D249" s="1">
        <f>IFERROR(__xludf.DUMMYFUNCTION("""COMPUTED_VALUE"""),21.82)</f>
        <v>21.82</v>
      </c>
      <c r="E249" s="1">
        <f>IFERROR(__xludf.DUMMYFUNCTION("""COMPUTED_VALUE"""),21.82)</f>
        <v>21.82</v>
      </c>
      <c r="F249" s="1">
        <f>IFERROR(__xludf.DUMMYFUNCTION("""COMPUTED_VALUE"""),110.0)</f>
        <v>110</v>
      </c>
      <c r="G249" s="2" t="s">
        <v>9</v>
      </c>
    </row>
    <row r="250">
      <c r="A250" s="3">
        <f>IFERROR(__xludf.DUMMYFUNCTION("""COMPUTED_VALUE"""),44923.66666666667)</f>
        <v>44923.66667</v>
      </c>
      <c r="B250" s="1">
        <f>IFERROR(__xludf.DUMMYFUNCTION("""COMPUTED_VALUE"""),21.76)</f>
        <v>21.76</v>
      </c>
      <c r="C250" s="1">
        <f>IFERROR(__xludf.DUMMYFUNCTION("""COMPUTED_VALUE"""),21.76)</f>
        <v>21.76</v>
      </c>
      <c r="D250" s="1">
        <f>IFERROR(__xludf.DUMMYFUNCTION("""COMPUTED_VALUE"""),21.59)</f>
        <v>21.59</v>
      </c>
      <c r="E250" s="1">
        <f>IFERROR(__xludf.DUMMYFUNCTION("""COMPUTED_VALUE"""),21.59)</f>
        <v>21.59</v>
      </c>
      <c r="F250" s="1">
        <f>IFERROR(__xludf.DUMMYFUNCTION("""COMPUTED_VALUE"""),721.0)</f>
        <v>721</v>
      </c>
      <c r="G250" s="2" t="s">
        <v>9</v>
      </c>
    </row>
    <row r="251">
      <c r="A251" s="3">
        <f>IFERROR(__xludf.DUMMYFUNCTION("""COMPUTED_VALUE"""),44924.66666666667)</f>
        <v>44924.66667</v>
      </c>
      <c r="B251" s="1">
        <f>IFERROR(__xludf.DUMMYFUNCTION("""COMPUTED_VALUE"""),21.96)</f>
        <v>21.96</v>
      </c>
      <c r="C251" s="1">
        <f>IFERROR(__xludf.DUMMYFUNCTION("""COMPUTED_VALUE"""),22.17)</f>
        <v>22.17</v>
      </c>
      <c r="D251" s="1">
        <f>IFERROR(__xludf.DUMMYFUNCTION("""COMPUTED_VALUE"""),21.96)</f>
        <v>21.96</v>
      </c>
      <c r="E251" s="1">
        <f>IFERROR(__xludf.DUMMYFUNCTION("""COMPUTED_VALUE"""),22.17)</f>
        <v>22.17</v>
      </c>
      <c r="F251" s="1">
        <f>IFERROR(__xludf.DUMMYFUNCTION("""COMPUTED_VALUE"""),1318.0)</f>
        <v>1318</v>
      </c>
      <c r="G251" s="2" t="s">
        <v>9</v>
      </c>
    </row>
    <row r="252">
      <c r="A252" s="3">
        <f>IFERROR(__xludf.DUMMYFUNCTION("""COMPUTED_VALUE"""),44925.66666666667)</f>
        <v>44925.66667</v>
      </c>
      <c r="B252" s="1">
        <f>IFERROR(__xludf.DUMMYFUNCTION("""COMPUTED_VALUE"""),22.06)</f>
        <v>22.06</v>
      </c>
      <c r="C252" s="1">
        <f>IFERROR(__xludf.DUMMYFUNCTION("""COMPUTED_VALUE"""),22.06)</f>
        <v>22.06</v>
      </c>
      <c r="D252" s="1">
        <f>IFERROR(__xludf.DUMMYFUNCTION("""COMPUTED_VALUE"""),22.06)</f>
        <v>22.06</v>
      </c>
      <c r="E252" s="1">
        <f>IFERROR(__xludf.DUMMYFUNCTION("""COMPUTED_VALUE"""),22.06)</f>
        <v>22.06</v>
      </c>
      <c r="F252" s="1">
        <f>IFERROR(__xludf.DUMMYFUNCTION("""COMPUTED_VALUE"""),106.0)</f>
        <v>106</v>
      </c>
      <c r="G252" s="2" t="s">
        <v>9</v>
      </c>
    </row>
    <row r="253">
      <c r="A253" s="3">
        <f>IFERROR(__xludf.DUMMYFUNCTION("""COMPUTED_VALUE"""),44929.66666666667)</f>
        <v>44929.66667</v>
      </c>
      <c r="B253" s="1">
        <f>IFERROR(__xludf.DUMMYFUNCTION("""COMPUTED_VALUE"""),22.17)</f>
        <v>22.17</v>
      </c>
      <c r="C253" s="1">
        <f>IFERROR(__xludf.DUMMYFUNCTION("""COMPUTED_VALUE"""),22.17)</f>
        <v>22.17</v>
      </c>
      <c r="D253" s="1">
        <f>IFERROR(__xludf.DUMMYFUNCTION("""COMPUTED_VALUE"""),21.88)</f>
        <v>21.88</v>
      </c>
      <c r="E253" s="1">
        <f>IFERROR(__xludf.DUMMYFUNCTION("""COMPUTED_VALUE"""),21.88)</f>
        <v>21.88</v>
      </c>
      <c r="F253" s="1">
        <f>IFERROR(__xludf.DUMMYFUNCTION("""COMPUTED_VALUE"""),363.0)</f>
        <v>363</v>
      </c>
      <c r="G253" s="2" t="s">
        <v>9</v>
      </c>
    </row>
    <row r="254">
      <c r="A254" s="3">
        <f>IFERROR(__xludf.DUMMYFUNCTION("""COMPUTED_VALUE"""),44930.66666666667)</f>
        <v>44930.66667</v>
      </c>
      <c r="B254" s="1">
        <f>IFERROR(__xludf.DUMMYFUNCTION("""COMPUTED_VALUE"""),22.13)</f>
        <v>22.13</v>
      </c>
      <c r="C254" s="1">
        <f>IFERROR(__xludf.DUMMYFUNCTION("""COMPUTED_VALUE"""),22.35)</f>
        <v>22.35</v>
      </c>
      <c r="D254" s="1">
        <f>IFERROR(__xludf.DUMMYFUNCTION("""COMPUTED_VALUE"""),22.11)</f>
        <v>22.11</v>
      </c>
      <c r="E254" s="1">
        <f>IFERROR(__xludf.DUMMYFUNCTION("""COMPUTED_VALUE"""),22.2)</f>
        <v>22.2</v>
      </c>
      <c r="F254" s="1">
        <f>IFERROR(__xludf.DUMMYFUNCTION("""COMPUTED_VALUE"""),821.0)</f>
        <v>821</v>
      </c>
      <c r="G254" s="2" t="s">
        <v>9</v>
      </c>
    </row>
    <row r="255">
      <c r="A255" s="3">
        <f>IFERROR(__xludf.DUMMYFUNCTION("""COMPUTED_VALUE"""),44931.66666666667)</f>
        <v>44931.66667</v>
      </c>
      <c r="B255" s="1">
        <f>IFERROR(__xludf.DUMMYFUNCTION("""COMPUTED_VALUE"""),21.91)</f>
        <v>21.91</v>
      </c>
      <c r="C255" s="1">
        <f>IFERROR(__xludf.DUMMYFUNCTION("""COMPUTED_VALUE"""),21.91)</f>
        <v>21.91</v>
      </c>
      <c r="D255" s="1">
        <f>IFERROR(__xludf.DUMMYFUNCTION("""COMPUTED_VALUE"""),21.79)</f>
        <v>21.79</v>
      </c>
      <c r="E255" s="1">
        <f>IFERROR(__xludf.DUMMYFUNCTION("""COMPUTED_VALUE"""),21.79)</f>
        <v>21.79</v>
      </c>
      <c r="F255" s="1">
        <f>IFERROR(__xludf.DUMMYFUNCTION("""COMPUTED_VALUE"""),300.0)</f>
        <v>300</v>
      </c>
      <c r="G255" s="2" t="s">
        <v>9</v>
      </c>
    </row>
    <row r="256">
      <c r="A256" s="3">
        <f>IFERROR(__xludf.DUMMYFUNCTION("""COMPUTED_VALUE"""),44932.66666666667)</f>
        <v>44932.66667</v>
      </c>
      <c r="B256" s="1">
        <f>IFERROR(__xludf.DUMMYFUNCTION("""COMPUTED_VALUE"""),22.25)</f>
        <v>22.25</v>
      </c>
      <c r="C256" s="1">
        <f>IFERROR(__xludf.DUMMYFUNCTION("""COMPUTED_VALUE"""),22.25)</f>
        <v>22.25</v>
      </c>
      <c r="D256" s="1">
        <f>IFERROR(__xludf.DUMMYFUNCTION("""COMPUTED_VALUE"""),22.25)</f>
        <v>22.25</v>
      </c>
      <c r="E256" s="1">
        <f>IFERROR(__xludf.DUMMYFUNCTION("""COMPUTED_VALUE"""),22.25)</f>
        <v>22.25</v>
      </c>
      <c r="F256" s="1">
        <f>IFERROR(__xludf.DUMMYFUNCTION("""COMPUTED_VALUE"""),29.0)</f>
        <v>29</v>
      </c>
      <c r="G256" s="2" t="s">
        <v>9</v>
      </c>
    </row>
    <row r="257">
      <c r="A257" s="3">
        <f>IFERROR(__xludf.DUMMYFUNCTION("""COMPUTED_VALUE"""),44935.66666666667)</f>
        <v>44935.66667</v>
      </c>
      <c r="B257" s="1">
        <f>IFERROR(__xludf.DUMMYFUNCTION("""COMPUTED_VALUE"""),22.29)</f>
        <v>22.29</v>
      </c>
      <c r="C257" s="1">
        <f>IFERROR(__xludf.DUMMYFUNCTION("""COMPUTED_VALUE"""),22.63)</f>
        <v>22.63</v>
      </c>
      <c r="D257" s="1">
        <f>IFERROR(__xludf.DUMMYFUNCTION("""COMPUTED_VALUE"""),22.29)</f>
        <v>22.29</v>
      </c>
      <c r="E257" s="1">
        <f>IFERROR(__xludf.DUMMYFUNCTION("""COMPUTED_VALUE"""),22.45)</f>
        <v>22.45</v>
      </c>
      <c r="F257" s="1">
        <f>IFERROR(__xludf.DUMMYFUNCTION("""COMPUTED_VALUE"""),629.0)</f>
        <v>629</v>
      </c>
      <c r="G257" s="2" t="s">
        <v>9</v>
      </c>
    </row>
    <row r="258">
      <c r="A258" s="3">
        <f>IFERROR(__xludf.DUMMYFUNCTION("""COMPUTED_VALUE"""),44936.66666666667)</f>
        <v>44936.66667</v>
      </c>
      <c r="B258" s="1">
        <f>IFERROR(__xludf.DUMMYFUNCTION("""COMPUTED_VALUE"""),22.58)</f>
        <v>22.58</v>
      </c>
      <c r="C258" s="1">
        <f>IFERROR(__xludf.DUMMYFUNCTION("""COMPUTED_VALUE"""),22.83)</f>
        <v>22.83</v>
      </c>
      <c r="D258" s="1">
        <f>IFERROR(__xludf.DUMMYFUNCTION("""COMPUTED_VALUE"""),22.55)</f>
        <v>22.55</v>
      </c>
      <c r="E258" s="1">
        <f>IFERROR(__xludf.DUMMYFUNCTION("""COMPUTED_VALUE"""),22.83)</f>
        <v>22.83</v>
      </c>
      <c r="F258" s="1">
        <f>IFERROR(__xludf.DUMMYFUNCTION("""COMPUTED_VALUE"""),1560.0)</f>
        <v>1560</v>
      </c>
      <c r="G258" s="2" t="s">
        <v>9</v>
      </c>
    </row>
    <row r="259">
      <c r="A259" s="3">
        <f>IFERROR(__xludf.DUMMYFUNCTION("""COMPUTED_VALUE"""),44937.66666666667)</f>
        <v>44937.66667</v>
      </c>
      <c r="B259" s="1">
        <f>IFERROR(__xludf.DUMMYFUNCTION("""COMPUTED_VALUE"""),23.04)</f>
        <v>23.04</v>
      </c>
      <c r="C259" s="1">
        <f>IFERROR(__xludf.DUMMYFUNCTION("""COMPUTED_VALUE"""),23.24)</f>
        <v>23.24</v>
      </c>
      <c r="D259" s="1">
        <f>IFERROR(__xludf.DUMMYFUNCTION("""COMPUTED_VALUE"""),23.04)</f>
        <v>23.04</v>
      </c>
      <c r="E259" s="1">
        <f>IFERROR(__xludf.DUMMYFUNCTION("""COMPUTED_VALUE"""),23.24)</f>
        <v>23.24</v>
      </c>
      <c r="F259" s="1">
        <f>IFERROR(__xludf.DUMMYFUNCTION("""COMPUTED_VALUE"""),984.0)</f>
        <v>984</v>
      </c>
      <c r="G259" s="2" t="s">
        <v>9</v>
      </c>
    </row>
    <row r="260">
      <c r="A260" s="3">
        <f>IFERROR(__xludf.DUMMYFUNCTION("""COMPUTED_VALUE"""),44938.66666666667)</f>
        <v>44938.66667</v>
      </c>
      <c r="B260" s="1">
        <f>IFERROR(__xludf.DUMMYFUNCTION("""COMPUTED_VALUE"""),23.25)</f>
        <v>23.25</v>
      </c>
      <c r="C260" s="1">
        <f>IFERROR(__xludf.DUMMYFUNCTION("""COMPUTED_VALUE"""),23.44)</f>
        <v>23.44</v>
      </c>
      <c r="D260" s="1">
        <f>IFERROR(__xludf.DUMMYFUNCTION("""COMPUTED_VALUE"""),23.1)</f>
        <v>23.1</v>
      </c>
      <c r="E260" s="1">
        <f>IFERROR(__xludf.DUMMYFUNCTION("""COMPUTED_VALUE"""),23.44)</f>
        <v>23.44</v>
      </c>
      <c r="F260" s="1">
        <f>IFERROR(__xludf.DUMMYFUNCTION("""COMPUTED_VALUE"""),308.0)</f>
        <v>308</v>
      </c>
      <c r="G260" s="2" t="s">
        <v>9</v>
      </c>
    </row>
    <row r="261">
      <c r="A261" s="3">
        <f>IFERROR(__xludf.DUMMYFUNCTION("""COMPUTED_VALUE"""),44939.66666666667)</f>
        <v>44939.66667</v>
      </c>
      <c r="B261" s="1">
        <f>IFERROR(__xludf.DUMMYFUNCTION("""COMPUTED_VALUE"""),23.66)</f>
        <v>23.66</v>
      </c>
      <c r="C261" s="1">
        <f>IFERROR(__xludf.DUMMYFUNCTION("""COMPUTED_VALUE"""),23.66)</f>
        <v>23.66</v>
      </c>
      <c r="D261" s="1">
        <f>IFERROR(__xludf.DUMMYFUNCTION("""COMPUTED_VALUE"""),23.34)</f>
        <v>23.34</v>
      </c>
      <c r="E261" s="1">
        <f>IFERROR(__xludf.DUMMYFUNCTION("""COMPUTED_VALUE"""),23.64)</f>
        <v>23.64</v>
      </c>
      <c r="F261" s="1">
        <f>IFERROR(__xludf.DUMMYFUNCTION("""COMPUTED_VALUE"""),257.0)</f>
        <v>257</v>
      </c>
      <c r="G261" s="2" t="s">
        <v>9</v>
      </c>
    </row>
    <row r="262">
      <c r="A262" s="3">
        <f>IFERROR(__xludf.DUMMYFUNCTION("""COMPUTED_VALUE"""),44943.66666666667)</f>
        <v>44943.66667</v>
      </c>
      <c r="B262" s="1">
        <f>IFERROR(__xludf.DUMMYFUNCTION("""COMPUTED_VALUE"""),23.81)</f>
        <v>23.81</v>
      </c>
      <c r="C262" s="1">
        <f>IFERROR(__xludf.DUMMYFUNCTION("""COMPUTED_VALUE"""),23.81)</f>
        <v>23.81</v>
      </c>
      <c r="D262" s="1">
        <f>IFERROR(__xludf.DUMMYFUNCTION("""COMPUTED_VALUE"""),23.71)</f>
        <v>23.71</v>
      </c>
      <c r="E262" s="1">
        <f>IFERROR(__xludf.DUMMYFUNCTION("""COMPUTED_VALUE"""),23.71)</f>
        <v>23.71</v>
      </c>
      <c r="F262" s="1">
        <f>IFERROR(__xludf.DUMMYFUNCTION("""COMPUTED_VALUE"""),10922.0)</f>
        <v>10922</v>
      </c>
      <c r="G262" s="2" t="s">
        <v>9</v>
      </c>
    </row>
    <row r="263">
      <c r="A263" s="3">
        <f>IFERROR(__xludf.DUMMYFUNCTION("""COMPUTED_VALUE"""),44944.66666666667)</f>
        <v>44944.66667</v>
      </c>
      <c r="B263" s="1">
        <f>IFERROR(__xludf.DUMMYFUNCTION("""COMPUTED_VALUE"""),23.5)</f>
        <v>23.5</v>
      </c>
      <c r="C263" s="1">
        <f>IFERROR(__xludf.DUMMYFUNCTION("""COMPUTED_VALUE"""),23.5)</f>
        <v>23.5</v>
      </c>
      <c r="D263" s="1">
        <f>IFERROR(__xludf.DUMMYFUNCTION("""COMPUTED_VALUE"""),23.5)</f>
        <v>23.5</v>
      </c>
      <c r="E263" s="1">
        <f>IFERROR(__xludf.DUMMYFUNCTION("""COMPUTED_VALUE"""),23.5)</f>
        <v>23.5</v>
      </c>
      <c r="F263" s="1">
        <f>IFERROR(__xludf.DUMMYFUNCTION("""COMPUTED_VALUE"""),91.0)</f>
        <v>91</v>
      </c>
      <c r="G263" s="2" t="s">
        <v>9</v>
      </c>
    </row>
    <row r="264">
      <c r="A264" s="3">
        <f>IFERROR(__xludf.DUMMYFUNCTION("""COMPUTED_VALUE"""),44945.66666666667)</f>
        <v>44945.66667</v>
      </c>
      <c r="B264" s="1">
        <f>IFERROR(__xludf.DUMMYFUNCTION("""COMPUTED_VALUE"""),23.25)</f>
        <v>23.25</v>
      </c>
      <c r="C264" s="1">
        <f>IFERROR(__xludf.DUMMYFUNCTION("""COMPUTED_VALUE"""),23.25)</f>
        <v>23.25</v>
      </c>
      <c r="D264" s="1">
        <f>IFERROR(__xludf.DUMMYFUNCTION("""COMPUTED_VALUE"""),23.18)</f>
        <v>23.18</v>
      </c>
      <c r="E264" s="1">
        <f>IFERROR(__xludf.DUMMYFUNCTION("""COMPUTED_VALUE"""),23.18)</f>
        <v>23.18</v>
      </c>
      <c r="F264" s="1">
        <f>IFERROR(__xludf.DUMMYFUNCTION("""COMPUTED_VALUE"""),278.0)</f>
        <v>278</v>
      </c>
      <c r="G264" s="2" t="s">
        <v>9</v>
      </c>
    </row>
    <row r="265">
      <c r="A265" s="3">
        <f>IFERROR(__xludf.DUMMYFUNCTION("""COMPUTED_VALUE"""),44946.66666666667)</f>
        <v>44946.66667</v>
      </c>
      <c r="B265" s="1">
        <f>IFERROR(__xludf.DUMMYFUNCTION("""COMPUTED_VALUE"""),23.85)</f>
        <v>23.85</v>
      </c>
      <c r="C265" s="1">
        <f>IFERROR(__xludf.DUMMYFUNCTION("""COMPUTED_VALUE"""),23.85)</f>
        <v>23.85</v>
      </c>
      <c r="D265" s="1">
        <f>IFERROR(__xludf.DUMMYFUNCTION("""COMPUTED_VALUE"""),23.85)</f>
        <v>23.85</v>
      </c>
      <c r="E265" s="1">
        <f>IFERROR(__xludf.DUMMYFUNCTION("""COMPUTED_VALUE"""),23.85)</f>
        <v>23.85</v>
      </c>
      <c r="F265" s="1">
        <f>IFERROR(__xludf.DUMMYFUNCTION("""COMPUTED_VALUE"""),33.0)</f>
        <v>33</v>
      </c>
      <c r="G265" s="2" t="s">
        <v>9</v>
      </c>
    </row>
    <row r="266">
      <c r="A266" s="3">
        <f>IFERROR(__xludf.DUMMYFUNCTION("""COMPUTED_VALUE"""),44949.66666666667)</f>
        <v>44949.66667</v>
      </c>
      <c r="B266" s="1">
        <f>IFERROR(__xludf.DUMMYFUNCTION("""COMPUTED_VALUE"""),24.41)</f>
        <v>24.41</v>
      </c>
      <c r="C266" s="1">
        <f>IFERROR(__xludf.DUMMYFUNCTION("""COMPUTED_VALUE"""),24.41)</f>
        <v>24.41</v>
      </c>
      <c r="D266" s="1">
        <f>IFERROR(__xludf.DUMMYFUNCTION("""COMPUTED_VALUE"""),24.41)</f>
        <v>24.41</v>
      </c>
      <c r="E266" s="1">
        <f>IFERROR(__xludf.DUMMYFUNCTION("""COMPUTED_VALUE"""),24.41)</f>
        <v>24.41</v>
      </c>
      <c r="F266" s="1">
        <f>IFERROR(__xludf.DUMMYFUNCTION("""COMPUTED_VALUE"""),108.0)</f>
        <v>108</v>
      </c>
      <c r="G266" s="2" t="s">
        <v>9</v>
      </c>
    </row>
    <row r="267">
      <c r="A267" s="3">
        <f>IFERROR(__xludf.DUMMYFUNCTION("""COMPUTED_VALUE"""),44950.66666666667)</f>
        <v>44950.66667</v>
      </c>
      <c r="B267" s="1">
        <f>IFERROR(__xludf.DUMMYFUNCTION("""COMPUTED_VALUE"""),24.18)</f>
        <v>24.18</v>
      </c>
      <c r="C267" s="1">
        <f>IFERROR(__xludf.DUMMYFUNCTION("""COMPUTED_VALUE"""),24.18)</f>
        <v>24.18</v>
      </c>
      <c r="D267" s="1">
        <f>IFERROR(__xludf.DUMMYFUNCTION("""COMPUTED_VALUE"""),24.18)</f>
        <v>24.18</v>
      </c>
      <c r="E267" s="1">
        <f>IFERROR(__xludf.DUMMYFUNCTION("""COMPUTED_VALUE"""),24.18)</f>
        <v>24.18</v>
      </c>
      <c r="F267" s="1">
        <f>IFERROR(__xludf.DUMMYFUNCTION("""COMPUTED_VALUE"""),5.0)</f>
        <v>5</v>
      </c>
      <c r="G267" s="2" t="s">
        <v>9</v>
      </c>
    </row>
    <row r="268">
      <c r="A268" s="3">
        <f>IFERROR(__xludf.DUMMYFUNCTION("""COMPUTED_VALUE"""),44951.66666666667)</f>
        <v>44951.66667</v>
      </c>
      <c r="B268" s="1">
        <f>IFERROR(__xludf.DUMMYFUNCTION("""COMPUTED_VALUE"""),24.01)</f>
        <v>24.01</v>
      </c>
      <c r="C268" s="1">
        <f>IFERROR(__xludf.DUMMYFUNCTION("""COMPUTED_VALUE"""),24.23)</f>
        <v>24.23</v>
      </c>
      <c r="D268" s="1">
        <f>IFERROR(__xludf.DUMMYFUNCTION("""COMPUTED_VALUE"""),24.01)</f>
        <v>24.01</v>
      </c>
      <c r="E268" s="1">
        <f>IFERROR(__xludf.DUMMYFUNCTION("""COMPUTED_VALUE"""),24.23)</f>
        <v>24.23</v>
      </c>
      <c r="F268" s="1">
        <f>IFERROR(__xludf.DUMMYFUNCTION("""COMPUTED_VALUE"""),117.0)</f>
        <v>117</v>
      </c>
      <c r="G268" s="2" t="s">
        <v>9</v>
      </c>
    </row>
    <row r="269">
      <c r="A269" s="3">
        <f>IFERROR(__xludf.DUMMYFUNCTION("""COMPUTED_VALUE"""),44952.66666666667)</f>
        <v>44952.66667</v>
      </c>
      <c r="B269" s="1">
        <f>IFERROR(__xludf.DUMMYFUNCTION("""COMPUTED_VALUE"""),24.55)</f>
        <v>24.55</v>
      </c>
      <c r="C269" s="1">
        <f>IFERROR(__xludf.DUMMYFUNCTION("""COMPUTED_VALUE"""),24.62)</f>
        <v>24.62</v>
      </c>
      <c r="D269" s="1">
        <f>IFERROR(__xludf.DUMMYFUNCTION("""COMPUTED_VALUE"""),24.55)</f>
        <v>24.55</v>
      </c>
      <c r="E269" s="1">
        <f>IFERROR(__xludf.DUMMYFUNCTION("""COMPUTED_VALUE"""),24.62)</f>
        <v>24.62</v>
      </c>
      <c r="F269" s="1">
        <f>IFERROR(__xludf.DUMMYFUNCTION("""COMPUTED_VALUE"""),103.0)</f>
        <v>103</v>
      </c>
      <c r="G269" s="2" t="s">
        <v>9</v>
      </c>
    </row>
    <row r="270">
      <c r="A270" s="3">
        <f>IFERROR(__xludf.DUMMYFUNCTION("""COMPUTED_VALUE"""),44953.66666666667)</f>
        <v>44953.66667</v>
      </c>
      <c r="B270" s="1">
        <f>IFERROR(__xludf.DUMMYFUNCTION("""COMPUTED_VALUE"""),25.02)</f>
        <v>25.02</v>
      </c>
      <c r="C270" s="1">
        <f>IFERROR(__xludf.DUMMYFUNCTION("""COMPUTED_VALUE"""),25.02)</f>
        <v>25.02</v>
      </c>
      <c r="D270" s="1">
        <f>IFERROR(__xludf.DUMMYFUNCTION("""COMPUTED_VALUE"""),25.02)</f>
        <v>25.02</v>
      </c>
      <c r="E270" s="1">
        <f>IFERROR(__xludf.DUMMYFUNCTION("""COMPUTED_VALUE"""),25.02)</f>
        <v>25.02</v>
      </c>
      <c r="F270" s="1">
        <f>IFERROR(__xludf.DUMMYFUNCTION("""COMPUTED_VALUE"""),2.0)</f>
        <v>2</v>
      </c>
      <c r="G270" s="2" t="s">
        <v>9</v>
      </c>
    </row>
    <row r="271">
      <c r="A271" s="3">
        <f>IFERROR(__xludf.DUMMYFUNCTION("""COMPUTED_VALUE"""),44956.66666666667)</f>
        <v>44956.66667</v>
      </c>
      <c r="B271" s="1">
        <f>IFERROR(__xludf.DUMMYFUNCTION("""COMPUTED_VALUE"""),24.71)</f>
        <v>24.71</v>
      </c>
      <c r="C271" s="1">
        <f>IFERROR(__xludf.DUMMYFUNCTION("""COMPUTED_VALUE"""),24.71)</f>
        <v>24.71</v>
      </c>
      <c r="D271" s="1">
        <f>IFERROR(__xludf.DUMMYFUNCTION("""COMPUTED_VALUE"""),24.48)</f>
        <v>24.48</v>
      </c>
      <c r="E271" s="1">
        <f>IFERROR(__xludf.DUMMYFUNCTION("""COMPUTED_VALUE"""),24.48)</f>
        <v>24.48</v>
      </c>
      <c r="F271" s="1">
        <f>IFERROR(__xludf.DUMMYFUNCTION("""COMPUTED_VALUE"""),2038.0)</f>
        <v>2038</v>
      </c>
      <c r="G271" s="2" t="s">
        <v>9</v>
      </c>
    </row>
    <row r="272">
      <c r="A272" s="3">
        <f>IFERROR(__xludf.DUMMYFUNCTION("""COMPUTED_VALUE"""),44957.66666666667)</f>
        <v>44957.66667</v>
      </c>
      <c r="B272" s="1">
        <f>IFERROR(__xludf.DUMMYFUNCTION("""COMPUTED_VALUE"""),24.62)</f>
        <v>24.62</v>
      </c>
      <c r="C272" s="1">
        <f>IFERROR(__xludf.DUMMYFUNCTION("""COMPUTED_VALUE"""),24.99)</f>
        <v>24.99</v>
      </c>
      <c r="D272" s="1">
        <f>IFERROR(__xludf.DUMMYFUNCTION("""COMPUTED_VALUE"""),24.62)</f>
        <v>24.62</v>
      </c>
      <c r="E272" s="1">
        <f>IFERROR(__xludf.DUMMYFUNCTION("""COMPUTED_VALUE"""),24.99)</f>
        <v>24.99</v>
      </c>
      <c r="F272" s="1">
        <f>IFERROR(__xludf.DUMMYFUNCTION("""COMPUTED_VALUE"""),672.0)</f>
        <v>672</v>
      </c>
      <c r="G272" s="2" t="s">
        <v>9</v>
      </c>
    </row>
    <row r="273">
      <c r="A273" s="3">
        <f>IFERROR(__xludf.DUMMYFUNCTION("""COMPUTED_VALUE"""),44958.66666666667)</f>
        <v>44958.66667</v>
      </c>
      <c r="B273" s="1">
        <f>IFERROR(__xludf.DUMMYFUNCTION("""COMPUTED_VALUE"""),25.57)</f>
        <v>25.57</v>
      </c>
      <c r="C273" s="1">
        <f>IFERROR(__xludf.DUMMYFUNCTION("""COMPUTED_VALUE"""),25.57)</f>
        <v>25.57</v>
      </c>
      <c r="D273" s="1">
        <f>IFERROR(__xludf.DUMMYFUNCTION("""COMPUTED_VALUE"""),25.57)</f>
        <v>25.57</v>
      </c>
      <c r="E273" s="1">
        <f>IFERROR(__xludf.DUMMYFUNCTION("""COMPUTED_VALUE"""),25.57)</f>
        <v>25.57</v>
      </c>
      <c r="F273" s="1">
        <f>IFERROR(__xludf.DUMMYFUNCTION("""COMPUTED_VALUE"""),191.0)</f>
        <v>191</v>
      </c>
      <c r="G273" s="2" t="s">
        <v>9</v>
      </c>
    </row>
    <row r="274">
      <c r="A274" s="3">
        <f>IFERROR(__xludf.DUMMYFUNCTION("""COMPUTED_VALUE"""),44959.66666666667)</f>
        <v>44959.66667</v>
      </c>
      <c r="B274" s="1">
        <f>IFERROR(__xludf.DUMMYFUNCTION("""COMPUTED_VALUE"""),26.2)</f>
        <v>26.2</v>
      </c>
      <c r="C274" s="1">
        <f>IFERROR(__xludf.DUMMYFUNCTION("""COMPUTED_VALUE"""),26.33)</f>
        <v>26.33</v>
      </c>
      <c r="D274" s="1">
        <f>IFERROR(__xludf.DUMMYFUNCTION("""COMPUTED_VALUE"""),26.2)</f>
        <v>26.2</v>
      </c>
      <c r="E274" s="1">
        <f>IFERROR(__xludf.DUMMYFUNCTION("""COMPUTED_VALUE"""),26.33)</f>
        <v>26.33</v>
      </c>
      <c r="F274" s="1">
        <f>IFERROR(__xludf.DUMMYFUNCTION("""COMPUTED_VALUE"""),409.0)</f>
        <v>409</v>
      </c>
      <c r="G274" s="2" t="s">
        <v>9</v>
      </c>
    </row>
    <row r="275">
      <c r="A275" s="3">
        <f>IFERROR(__xludf.DUMMYFUNCTION("""COMPUTED_VALUE"""),44960.66666666667)</f>
        <v>44960.66667</v>
      </c>
      <c r="B275" s="1">
        <f>IFERROR(__xludf.DUMMYFUNCTION("""COMPUTED_VALUE"""),26.25)</f>
        <v>26.25</v>
      </c>
      <c r="C275" s="1">
        <f>IFERROR(__xludf.DUMMYFUNCTION("""COMPUTED_VALUE"""),26.25)</f>
        <v>26.25</v>
      </c>
      <c r="D275" s="1">
        <f>IFERROR(__xludf.DUMMYFUNCTION("""COMPUTED_VALUE"""),25.68)</f>
        <v>25.68</v>
      </c>
      <c r="E275" s="1">
        <f>IFERROR(__xludf.DUMMYFUNCTION("""COMPUTED_VALUE"""),25.68)</f>
        <v>25.68</v>
      </c>
      <c r="F275" s="1">
        <f>IFERROR(__xludf.DUMMYFUNCTION("""COMPUTED_VALUE"""),109.0)</f>
        <v>109</v>
      </c>
      <c r="G275" s="2" t="s">
        <v>9</v>
      </c>
    </row>
    <row r="276">
      <c r="A276" s="3">
        <f>IFERROR(__xludf.DUMMYFUNCTION("""COMPUTED_VALUE"""),44963.66666666667)</f>
        <v>44963.66667</v>
      </c>
      <c r="B276" s="1">
        <f>IFERROR(__xludf.DUMMYFUNCTION("""COMPUTED_VALUE"""),25.36)</f>
        <v>25.36</v>
      </c>
      <c r="C276" s="1">
        <f>IFERROR(__xludf.DUMMYFUNCTION("""COMPUTED_VALUE"""),25.39)</f>
        <v>25.39</v>
      </c>
      <c r="D276" s="1">
        <f>IFERROR(__xludf.DUMMYFUNCTION("""COMPUTED_VALUE"""),25.24)</f>
        <v>25.24</v>
      </c>
      <c r="E276" s="1">
        <f>IFERROR(__xludf.DUMMYFUNCTION("""COMPUTED_VALUE"""),25.32)</f>
        <v>25.32</v>
      </c>
      <c r="F276" s="1">
        <f>IFERROR(__xludf.DUMMYFUNCTION("""COMPUTED_VALUE"""),2177.0)</f>
        <v>2177</v>
      </c>
      <c r="G276" s="2" t="s">
        <v>9</v>
      </c>
    </row>
    <row r="277">
      <c r="A277" s="3">
        <f>IFERROR(__xludf.DUMMYFUNCTION("""COMPUTED_VALUE"""),44964.66666666667)</f>
        <v>44964.66667</v>
      </c>
      <c r="B277" s="1">
        <f>IFERROR(__xludf.DUMMYFUNCTION("""COMPUTED_VALUE"""),25.79)</f>
        <v>25.79</v>
      </c>
      <c r="C277" s="1">
        <f>IFERROR(__xludf.DUMMYFUNCTION("""COMPUTED_VALUE"""),25.79)</f>
        <v>25.79</v>
      </c>
      <c r="D277" s="1">
        <f>IFERROR(__xludf.DUMMYFUNCTION("""COMPUTED_VALUE"""),25.79)</f>
        <v>25.79</v>
      </c>
      <c r="E277" s="1">
        <f>IFERROR(__xludf.DUMMYFUNCTION("""COMPUTED_VALUE"""),25.79)</f>
        <v>25.79</v>
      </c>
      <c r="F277" s="1">
        <f>IFERROR(__xludf.DUMMYFUNCTION("""COMPUTED_VALUE"""),105.0)</f>
        <v>105</v>
      </c>
      <c r="G277" s="2" t="s">
        <v>9</v>
      </c>
    </row>
    <row r="278">
      <c r="A278" s="3">
        <f>IFERROR(__xludf.DUMMYFUNCTION("""COMPUTED_VALUE"""),44965.66666666667)</f>
        <v>44965.66667</v>
      </c>
      <c r="B278" s="1">
        <f>IFERROR(__xludf.DUMMYFUNCTION("""COMPUTED_VALUE"""),26.0)</f>
        <v>26</v>
      </c>
      <c r="C278" s="1">
        <f>IFERROR(__xludf.DUMMYFUNCTION("""COMPUTED_VALUE"""),26.0)</f>
        <v>26</v>
      </c>
      <c r="D278" s="1">
        <f>IFERROR(__xludf.DUMMYFUNCTION("""COMPUTED_VALUE"""),25.58)</f>
        <v>25.58</v>
      </c>
      <c r="E278" s="1">
        <f>IFERROR(__xludf.DUMMYFUNCTION("""COMPUTED_VALUE"""),25.58)</f>
        <v>25.58</v>
      </c>
      <c r="F278" s="1">
        <f>IFERROR(__xludf.DUMMYFUNCTION("""COMPUTED_VALUE"""),1280.0)</f>
        <v>1280</v>
      </c>
      <c r="G278" s="2" t="s">
        <v>9</v>
      </c>
    </row>
    <row r="279">
      <c r="A279" s="3">
        <f>IFERROR(__xludf.DUMMYFUNCTION("""COMPUTED_VALUE"""),44966.66666666667)</f>
        <v>44966.66667</v>
      </c>
      <c r="B279" s="1">
        <f>IFERROR(__xludf.DUMMYFUNCTION("""COMPUTED_VALUE"""),25.41)</f>
        <v>25.41</v>
      </c>
      <c r="C279" s="1">
        <f>IFERROR(__xludf.DUMMYFUNCTION("""COMPUTED_VALUE"""),25.44)</f>
        <v>25.44</v>
      </c>
      <c r="D279" s="1">
        <f>IFERROR(__xludf.DUMMYFUNCTION("""COMPUTED_VALUE"""),25.14)</f>
        <v>25.14</v>
      </c>
      <c r="E279" s="1">
        <f>IFERROR(__xludf.DUMMYFUNCTION("""COMPUTED_VALUE"""),25.14)</f>
        <v>25.14</v>
      </c>
      <c r="F279" s="1">
        <f>IFERROR(__xludf.DUMMYFUNCTION("""COMPUTED_VALUE"""),1589.0)</f>
        <v>1589</v>
      </c>
      <c r="G279" s="2" t="s">
        <v>9</v>
      </c>
    </row>
    <row r="280">
      <c r="A280" s="3">
        <f>IFERROR(__xludf.DUMMYFUNCTION("""COMPUTED_VALUE"""),44967.66666666667)</f>
        <v>44967.66667</v>
      </c>
      <c r="B280" s="1">
        <f>IFERROR(__xludf.DUMMYFUNCTION("""COMPUTED_VALUE"""),24.9)</f>
        <v>24.9</v>
      </c>
      <c r="C280" s="1">
        <f>IFERROR(__xludf.DUMMYFUNCTION("""COMPUTED_VALUE"""),24.9)</f>
        <v>24.9</v>
      </c>
      <c r="D280" s="1">
        <f>IFERROR(__xludf.DUMMYFUNCTION("""COMPUTED_VALUE"""),24.9)</f>
        <v>24.9</v>
      </c>
      <c r="E280" s="1">
        <f>IFERROR(__xludf.DUMMYFUNCTION("""COMPUTED_VALUE"""),24.9)</f>
        <v>24.9</v>
      </c>
      <c r="F280" s="1">
        <f>IFERROR(__xludf.DUMMYFUNCTION("""COMPUTED_VALUE"""),15.0)</f>
        <v>15</v>
      </c>
      <c r="G280" s="2" t="s">
        <v>9</v>
      </c>
    </row>
    <row r="281">
      <c r="A281" s="3">
        <f>IFERROR(__xludf.DUMMYFUNCTION("""COMPUTED_VALUE"""),44970.66666666667)</f>
        <v>44970.66667</v>
      </c>
      <c r="B281" s="1">
        <f>IFERROR(__xludf.DUMMYFUNCTION("""COMPUTED_VALUE"""),25.2)</f>
        <v>25.2</v>
      </c>
      <c r="C281" s="1">
        <f>IFERROR(__xludf.DUMMYFUNCTION("""COMPUTED_VALUE"""),25.2)</f>
        <v>25.2</v>
      </c>
      <c r="D281" s="1">
        <f>IFERROR(__xludf.DUMMYFUNCTION("""COMPUTED_VALUE"""),25.2)</f>
        <v>25.2</v>
      </c>
      <c r="E281" s="1">
        <f>IFERROR(__xludf.DUMMYFUNCTION("""COMPUTED_VALUE"""),25.2)</f>
        <v>25.2</v>
      </c>
      <c r="F281" s="1">
        <f>IFERROR(__xludf.DUMMYFUNCTION("""COMPUTED_VALUE"""),54.0)</f>
        <v>54</v>
      </c>
      <c r="G281" s="2" t="s">
        <v>9</v>
      </c>
    </row>
    <row r="282">
      <c r="A282" s="3">
        <f>IFERROR(__xludf.DUMMYFUNCTION("""COMPUTED_VALUE"""),44971.66666666667)</f>
        <v>44971.66667</v>
      </c>
      <c r="B282" s="1">
        <f>IFERROR(__xludf.DUMMYFUNCTION("""COMPUTED_VALUE"""),25.48)</f>
        <v>25.48</v>
      </c>
      <c r="C282" s="1">
        <f>IFERROR(__xludf.DUMMYFUNCTION("""COMPUTED_VALUE"""),25.48)</f>
        <v>25.48</v>
      </c>
      <c r="D282" s="1">
        <f>IFERROR(__xludf.DUMMYFUNCTION("""COMPUTED_VALUE"""),25.48)</f>
        <v>25.48</v>
      </c>
      <c r="E282" s="1">
        <f>IFERROR(__xludf.DUMMYFUNCTION("""COMPUTED_VALUE"""),25.48)</f>
        <v>25.48</v>
      </c>
      <c r="F282" s="1">
        <f>IFERROR(__xludf.DUMMYFUNCTION("""COMPUTED_VALUE"""),28.0)</f>
        <v>28</v>
      </c>
      <c r="G282" s="2" t="s">
        <v>9</v>
      </c>
    </row>
    <row r="283">
      <c r="A283" s="3">
        <f>IFERROR(__xludf.DUMMYFUNCTION("""COMPUTED_VALUE"""),44972.66666666667)</f>
        <v>44972.66667</v>
      </c>
      <c r="B283" s="1">
        <f>IFERROR(__xludf.DUMMYFUNCTION("""COMPUTED_VALUE"""),26.03)</f>
        <v>26.03</v>
      </c>
      <c r="C283" s="1">
        <f>IFERROR(__xludf.DUMMYFUNCTION("""COMPUTED_VALUE"""),26.09)</f>
        <v>26.09</v>
      </c>
      <c r="D283" s="1">
        <f>IFERROR(__xludf.DUMMYFUNCTION("""COMPUTED_VALUE"""),26.03)</f>
        <v>26.03</v>
      </c>
      <c r="E283" s="1">
        <f>IFERROR(__xludf.DUMMYFUNCTION("""COMPUTED_VALUE"""),26.09)</f>
        <v>26.09</v>
      </c>
      <c r="F283" s="1">
        <f>IFERROR(__xludf.DUMMYFUNCTION("""COMPUTED_VALUE"""),1617.0)</f>
        <v>1617</v>
      </c>
      <c r="G283" s="2" t="s">
        <v>9</v>
      </c>
    </row>
    <row r="284">
      <c r="A284" s="3">
        <f>IFERROR(__xludf.DUMMYFUNCTION("""COMPUTED_VALUE"""),44973.66666666667)</f>
        <v>44973.66667</v>
      </c>
      <c r="B284" s="1">
        <f>IFERROR(__xludf.DUMMYFUNCTION("""COMPUTED_VALUE"""),25.62)</f>
        <v>25.62</v>
      </c>
      <c r="C284" s="1">
        <f>IFERROR(__xludf.DUMMYFUNCTION("""COMPUTED_VALUE"""),25.62)</f>
        <v>25.62</v>
      </c>
      <c r="D284" s="1">
        <f>IFERROR(__xludf.DUMMYFUNCTION("""COMPUTED_VALUE"""),25.62)</f>
        <v>25.62</v>
      </c>
      <c r="E284" s="1">
        <f>IFERROR(__xludf.DUMMYFUNCTION("""COMPUTED_VALUE"""),25.62)</f>
        <v>25.62</v>
      </c>
      <c r="F284" s="1">
        <f>IFERROR(__xludf.DUMMYFUNCTION("""COMPUTED_VALUE"""),29.0)</f>
        <v>29</v>
      </c>
      <c r="G284" s="2" t="s">
        <v>9</v>
      </c>
    </row>
    <row r="285">
      <c r="A285" s="3">
        <f>IFERROR(__xludf.DUMMYFUNCTION("""COMPUTED_VALUE"""),44974.66666666667)</f>
        <v>44974.66667</v>
      </c>
      <c r="B285" s="1">
        <f>IFERROR(__xludf.DUMMYFUNCTION("""COMPUTED_VALUE"""),25.27)</f>
        <v>25.27</v>
      </c>
      <c r="C285" s="1">
        <f>IFERROR(__xludf.DUMMYFUNCTION("""COMPUTED_VALUE"""),25.27)</f>
        <v>25.27</v>
      </c>
      <c r="D285" s="1">
        <f>IFERROR(__xludf.DUMMYFUNCTION("""COMPUTED_VALUE"""),25.27)</f>
        <v>25.27</v>
      </c>
      <c r="E285" s="1">
        <f>IFERROR(__xludf.DUMMYFUNCTION("""COMPUTED_VALUE"""),25.27)</f>
        <v>25.27</v>
      </c>
      <c r="F285" s="1">
        <f>IFERROR(__xludf.DUMMYFUNCTION("""COMPUTED_VALUE"""),10.0)</f>
        <v>10</v>
      </c>
      <c r="G285" s="2" t="s">
        <v>9</v>
      </c>
    </row>
    <row r="286">
      <c r="A286" s="3">
        <f>IFERROR(__xludf.DUMMYFUNCTION("""COMPUTED_VALUE"""),44978.66666666667)</f>
        <v>44978.66667</v>
      </c>
      <c r="B286" s="1">
        <f>IFERROR(__xludf.DUMMYFUNCTION("""COMPUTED_VALUE"""),24.63)</f>
        <v>24.63</v>
      </c>
      <c r="C286" s="1">
        <f>IFERROR(__xludf.DUMMYFUNCTION("""COMPUTED_VALUE"""),24.63)</f>
        <v>24.63</v>
      </c>
      <c r="D286" s="1">
        <f>IFERROR(__xludf.DUMMYFUNCTION("""COMPUTED_VALUE"""),24.57)</f>
        <v>24.57</v>
      </c>
      <c r="E286" s="1">
        <f>IFERROR(__xludf.DUMMYFUNCTION("""COMPUTED_VALUE"""),24.57)</f>
        <v>24.57</v>
      </c>
      <c r="F286" s="1">
        <f>IFERROR(__xludf.DUMMYFUNCTION("""COMPUTED_VALUE"""),384.0)</f>
        <v>384</v>
      </c>
      <c r="G286" s="2" t="s">
        <v>9</v>
      </c>
    </row>
    <row r="287">
      <c r="A287" s="3">
        <f>IFERROR(__xludf.DUMMYFUNCTION("""COMPUTED_VALUE"""),44979.66666666667)</f>
        <v>44979.66667</v>
      </c>
      <c r="B287" s="1">
        <f>IFERROR(__xludf.DUMMYFUNCTION("""COMPUTED_VALUE"""),24.61)</f>
        <v>24.61</v>
      </c>
      <c r="C287" s="1">
        <f>IFERROR(__xludf.DUMMYFUNCTION("""COMPUTED_VALUE"""),24.66)</f>
        <v>24.66</v>
      </c>
      <c r="D287" s="1">
        <f>IFERROR(__xludf.DUMMYFUNCTION("""COMPUTED_VALUE"""),24.59)</f>
        <v>24.59</v>
      </c>
      <c r="E287" s="1">
        <f>IFERROR(__xludf.DUMMYFUNCTION("""COMPUTED_VALUE"""),24.59)</f>
        <v>24.59</v>
      </c>
      <c r="F287" s="1">
        <f>IFERROR(__xludf.DUMMYFUNCTION("""COMPUTED_VALUE"""),1175.0)</f>
        <v>1175</v>
      </c>
      <c r="G287" s="2" t="s">
        <v>9</v>
      </c>
    </row>
    <row r="288">
      <c r="A288" s="3">
        <f>IFERROR(__xludf.DUMMYFUNCTION("""COMPUTED_VALUE"""),44980.66666666667)</f>
        <v>44980.66667</v>
      </c>
      <c r="B288" s="1">
        <f>IFERROR(__xludf.DUMMYFUNCTION("""COMPUTED_VALUE"""),24.44)</f>
        <v>24.44</v>
      </c>
      <c r="C288" s="1">
        <f>IFERROR(__xludf.DUMMYFUNCTION("""COMPUTED_VALUE"""),24.7)</f>
        <v>24.7</v>
      </c>
      <c r="D288" s="1">
        <f>IFERROR(__xludf.DUMMYFUNCTION("""COMPUTED_VALUE"""),24.44)</f>
        <v>24.44</v>
      </c>
      <c r="E288" s="1">
        <f>IFERROR(__xludf.DUMMYFUNCTION("""COMPUTED_VALUE"""),24.64)</f>
        <v>24.64</v>
      </c>
      <c r="F288" s="1">
        <f>IFERROR(__xludf.DUMMYFUNCTION("""COMPUTED_VALUE"""),565.0)</f>
        <v>565</v>
      </c>
      <c r="G288" s="2" t="s">
        <v>9</v>
      </c>
    </row>
    <row r="289">
      <c r="A289" s="3">
        <f>IFERROR(__xludf.DUMMYFUNCTION("""COMPUTED_VALUE"""),44981.66666666667)</f>
        <v>44981.66667</v>
      </c>
      <c r="B289" s="1">
        <f>IFERROR(__xludf.DUMMYFUNCTION("""COMPUTED_VALUE"""),24.17)</f>
        <v>24.17</v>
      </c>
      <c r="C289" s="1">
        <f>IFERROR(__xludf.DUMMYFUNCTION("""COMPUTED_VALUE"""),24.3)</f>
        <v>24.3</v>
      </c>
      <c r="D289" s="1">
        <f>IFERROR(__xludf.DUMMYFUNCTION("""COMPUTED_VALUE"""),24.17)</f>
        <v>24.17</v>
      </c>
      <c r="E289" s="1">
        <f>IFERROR(__xludf.DUMMYFUNCTION("""COMPUTED_VALUE"""),24.3)</f>
        <v>24.3</v>
      </c>
      <c r="F289" s="1">
        <f>IFERROR(__xludf.DUMMYFUNCTION("""COMPUTED_VALUE"""),356.0)</f>
        <v>356</v>
      </c>
      <c r="G289" s="2" t="s">
        <v>9</v>
      </c>
    </row>
    <row r="290">
      <c r="A290" s="3">
        <f>IFERROR(__xludf.DUMMYFUNCTION("""COMPUTED_VALUE"""),44984.66666666667)</f>
        <v>44984.66667</v>
      </c>
      <c r="B290" s="1">
        <f>IFERROR(__xludf.DUMMYFUNCTION("""COMPUTED_VALUE"""),24.1)</f>
        <v>24.1</v>
      </c>
      <c r="C290" s="1">
        <f>IFERROR(__xludf.DUMMYFUNCTION("""COMPUTED_VALUE"""),24.47)</f>
        <v>24.47</v>
      </c>
      <c r="D290" s="1">
        <f>IFERROR(__xludf.DUMMYFUNCTION("""COMPUTED_VALUE"""),24.1)</f>
        <v>24.1</v>
      </c>
      <c r="E290" s="1">
        <f>IFERROR(__xludf.DUMMYFUNCTION("""COMPUTED_VALUE"""),24.37)</f>
        <v>24.37</v>
      </c>
      <c r="F290" s="1">
        <f>IFERROR(__xludf.DUMMYFUNCTION("""COMPUTED_VALUE"""),3019.0)</f>
        <v>3019</v>
      </c>
      <c r="G290" s="2" t="s">
        <v>9</v>
      </c>
    </row>
    <row r="291">
      <c r="A291" s="3">
        <f>IFERROR(__xludf.DUMMYFUNCTION("""COMPUTED_VALUE"""),44985.66666666667)</f>
        <v>44985.66667</v>
      </c>
      <c r="B291" s="1">
        <f>IFERROR(__xludf.DUMMYFUNCTION("""COMPUTED_VALUE"""),24.17)</f>
        <v>24.17</v>
      </c>
      <c r="C291" s="1">
        <f>IFERROR(__xludf.DUMMYFUNCTION("""COMPUTED_VALUE"""),24.41)</f>
        <v>24.41</v>
      </c>
      <c r="D291" s="1">
        <f>IFERROR(__xludf.DUMMYFUNCTION("""COMPUTED_VALUE"""),24.17)</f>
        <v>24.17</v>
      </c>
      <c r="E291" s="1">
        <f>IFERROR(__xludf.DUMMYFUNCTION("""COMPUTED_VALUE"""),24.41)</f>
        <v>24.41</v>
      </c>
      <c r="F291" s="1">
        <f>IFERROR(__xludf.DUMMYFUNCTION("""COMPUTED_VALUE"""),693.0)</f>
        <v>693</v>
      </c>
      <c r="G291" s="2" t="s">
        <v>9</v>
      </c>
    </row>
    <row r="292">
      <c r="A292" s="3">
        <f>IFERROR(__xludf.DUMMYFUNCTION("""COMPUTED_VALUE"""),44986.66666666667)</f>
        <v>44986.66667</v>
      </c>
      <c r="B292" s="1">
        <f>IFERROR(__xludf.DUMMYFUNCTION("""COMPUTED_VALUE"""),24.31)</f>
        <v>24.31</v>
      </c>
      <c r="C292" s="1">
        <f>IFERROR(__xludf.DUMMYFUNCTION("""COMPUTED_VALUE"""),24.31)</f>
        <v>24.31</v>
      </c>
      <c r="D292" s="1">
        <f>IFERROR(__xludf.DUMMYFUNCTION("""COMPUTED_VALUE"""),24.31)</f>
        <v>24.31</v>
      </c>
      <c r="E292" s="1">
        <f>IFERROR(__xludf.DUMMYFUNCTION("""COMPUTED_VALUE"""),24.31)</f>
        <v>24.31</v>
      </c>
      <c r="F292" s="1">
        <f>IFERROR(__xludf.DUMMYFUNCTION("""COMPUTED_VALUE"""),234.0)</f>
        <v>234</v>
      </c>
      <c r="G292" s="2" t="s">
        <v>9</v>
      </c>
    </row>
    <row r="293">
      <c r="A293" s="3">
        <f>IFERROR(__xludf.DUMMYFUNCTION("""COMPUTED_VALUE"""),44987.66666666667)</f>
        <v>44987.66667</v>
      </c>
      <c r="B293" s="1">
        <f>IFERROR(__xludf.DUMMYFUNCTION("""COMPUTED_VALUE"""),24.58)</f>
        <v>24.58</v>
      </c>
      <c r="C293" s="1">
        <f>IFERROR(__xludf.DUMMYFUNCTION("""COMPUTED_VALUE"""),24.58)</f>
        <v>24.58</v>
      </c>
      <c r="D293" s="1">
        <f>IFERROR(__xludf.DUMMYFUNCTION("""COMPUTED_VALUE"""),24.58)</f>
        <v>24.58</v>
      </c>
      <c r="E293" s="1">
        <f>IFERROR(__xludf.DUMMYFUNCTION("""COMPUTED_VALUE"""),24.58)</f>
        <v>24.58</v>
      </c>
      <c r="F293" s="1">
        <f>IFERROR(__xludf.DUMMYFUNCTION("""COMPUTED_VALUE"""),27.0)</f>
        <v>27</v>
      </c>
      <c r="G293" s="2" t="s">
        <v>9</v>
      </c>
    </row>
    <row r="294">
      <c r="A294" s="3">
        <f>IFERROR(__xludf.DUMMYFUNCTION("""COMPUTED_VALUE"""),44988.66666666667)</f>
        <v>44988.66667</v>
      </c>
      <c r="B294" s="1">
        <f>IFERROR(__xludf.DUMMYFUNCTION("""COMPUTED_VALUE"""),24.73)</f>
        <v>24.73</v>
      </c>
      <c r="C294" s="1">
        <f>IFERROR(__xludf.DUMMYFUNCTION("""COMPUTED_VALUE"""),25.07)</f>
        <v>25.07</v>
      </c>
      <c r="D294" s="1">
        <f>IFERROR(__xludf.DUMMYFUNCTION("""COMPUTED_VALUE"""),24.71)</f>
        <v>24.71</v>
      </c>
      <c r="E294" s="1">
        <f>IFERROR(__xludf.DUMMYFUNCTION("""COMPUTED_VALUE"""),25.07)</f>
        <v>25.07</v>
      </c>
      <c r="F294" s="1">
        <f>IFERROR(__xludf.DUMMYFUNCTION("""COMPUTED_VALUE"""),1158.0)</f>
        <v>1158</v>
      </c>
      <c r="G294" s="2" t="s">
        <v>9</v>
      </c>
    </row>
    <row r="295">
      <c r="A295" s="3">
        <f>IFERROR(__xludf.DUMMYFUNCTION("""COMPUTED_VALUE"""),44991.66666666667)</f>
        <v>44991.66667</v>
      </c>
      <c r="B295" s="1">
        <f>IFERROR(__xludf.DUMMYFUNCTION("""COMPUTED_VALUE"""),25.15)</f>
        <v>25.15</v>
      </c>
      <c r="C295" s="1">
        <f>IFERROR(__xludf.DUMMYFUNCTION("""COMPUTED_VALUE"""),25.15)</f>
        <v>25.15</v>
      </c>
      <c r="D295" s="1">
        <f>IFERROR(__xludf.DUMMYFUNCTION("""COMPUTED_VALUE"""),24.85)</f>
        <v>24.85</v>
      </c>
      <c r="E295" s="1">
        <f>IFERROR(__xludf.DUMMYFUNCTION("""COMPUTED_VALUE"""),24.85)</f>
        <v>24.85</v>
      </c>
      <c r="F295" s="1">
        <f>IFERROR(__xludf.DUMMYFUNCTION("""COMPUTED_VALUE"""),312.0)</f>
        <v>312</v>
      </c>
      <c r="G295" s="2" t="s">
        <v>9</v>
      </c>
    </row>
    <row r="296">
      <c r="A296" s="3">
        <f>IFERROR(__xludf.DUMMYFUNCTION("""COMPUTED_VALUE"""),44992.66666666667)</f>
        <v>44992.66667</v>
      </c>
      <c r="B296" s="1">
        <f>IFERROR(__xludf.DUMMYFUNCTION("""COMPUTED_VALUE"""),24.47)</f>
        <v>24.47</v>
      </c>
      <c r="C296" s="1">
        <f>IFERROR(__xludf.DUMMYFUNCTION("""COMPUTED_VALUE"""),24.47)</f>
        <v>24.47</v>
      </c>
      <c r="D296" s="1">
        <f>IFERROR(__xludf.DUMMYFUNCTION("""COMPUTED_VALUE"""),24.43)</f>
        <v>24.43</v>
      </c>
      <c r="E296" s="1">
        <f>IFERROR(__xludf.DUMMYFUNCTION("""COMPUTED_VALUE"""),24.43)</f>
        <v>24.43</v>
      </c>
      <c r="F296" s="1">
        <f>IFERROR(__xludf.DUMMYFUNCTION("""COMPUTED_VALUE"""),153.0)</f>
        <v>153</v>
      </c>
      <c r="G296" s="2" t="s">
        <v>9</v>
      </c>
    </row>
    <row r="297">
      <c r="A297" s="3">
        <f>IFERROR(__xludf.DUMMYFUNCTION("""COMPUTED_VALUE"""),44993.66666666667)</f>
        <v>44993.66667</v>
      </c>
      <c r="B297" s="1">
        <f>IFERROR(__xludf.DUMMYFUNCTION("""COMPUTED_VALUE"""),24.37)</f>
        <v>24.37</v>
      </c>
      <c r="C297" s="1">
        <f>IFERROR(__xludf.DUMMYFUNCTION("""COMPUTED_VALUE"""),24.37)</f>
        <v>24.37</v>
      </c>
      <c r="D297" s="1">
        <f>IFERROR(__xludf.DUMMYFUNCTION("""COMPUTED_VALUE"""),24.37)</f>
        <v>24.37</v>
      </c>
      <c r="E297" s="1">
        <f>IFERROR(__xludf.DUMMYFUNCTION("""COMPUTED_VALUE"""),24.37)</f>
        <v>24.37</v>
      </c>
      <c r="F297" s="1">
        <f>IFERROR(__xludf.DUMMYFUNCTION("""COMPUTED_VALUE"""),21.0)</f>
        <v>21</v>
      </c>
      <c r="G297" s="2" t="s">
        <v>9</v>
      </c>
    </row>
    <row r="298">
      <c r="A298" s="3">
        <f>IFERROR(__xludf.DUMMYFUNCTION("""COMPUTED_VALUE"""),44994.66666666667)</f>
        <v>44994.66667</v>
      </c>
      <c r="B298" s="1">
        <f>IFERROR(__xludf.DUMMYFUNCTION("""COMPUTED_VALUE"""),24.12)</f>
        <v>24.12</v>
      </c>
      <c r="C298" s="1">
        <f>IFERROR(__xludf.DUMMYFUNCTION("""COMPUTED_VALUE"""),24.45)</f>
        <v>24.45</v>
      </c>
      <c r="D298" s="1">
        <f>IFERROR(__xludf.DUMMYFUNCTION("""COMPUTED_VALUE"""),23.59)</f>
        <v>23.59</v>
      </c>
      <c r="E298" s="1">
        <f>IFERROR(__xludf.DUMMYFUNCTION("""COMPUTED_VALUE"""),23.59)</f>
        <v>23.59</v>
      </c>
      <c r="F298" s="1">
        <f>IFERROR(__xludf.DUMMYFUNCTION("""COMPUTED_VALUE"""),1925.0)</f>
        <v>1925</v>
      </c>
      <c r="G298" s="2" t="s">
        <v>9</v>
      </c>
    </row>
    <row r="299">
      <c r="A299" s="3">
        <f>IFERROR(__xludf.DUMMYFUNCTION("""COMPUTED_VALUE"""),44995.66666666667)</f>
        <v>44995.66667</v>
      </c>
      <c r="B299" s="1">
        <f>IFERROR(__xludf.DUMMYFUNCTION("""COMPUTED_VALUE"""),23.16)</f>
        <v>23.16</v>
      </c>
      <c r="C299" s="1">
        <f>IFERROR(__xludf.DUMMYFUNCTION("""COMPUTED_VALUE"""),23.44)</f>
        <v>23.44</v>
      </c>
      <c r="D299" s="1">
        <f>IFERROR(__xludf.DUMMYFUNCTION("""COMPUTED_VALUE"""),22.76)</f>
        <v>22.76</v>
      </c>
      <c r="E299" s="1">
        <f>IFERROR(__xludf.DUMMYFUNCTION("""COMPUTED_VALUE"""),22.78)</f>
        <v>22.78</v>
      </c>
      <c r="F299" s="1">
        <f>IFERROR(__xludf.DUMMYFUNCTION("""COMPUTED_VALUE"""),15426.0)</f>
        <v>15426</v>
      </c>
      <c r="G299" s="2" t="s">
        <v>9</v>
      </c>
    </row>
    <row r="300">
      <c r="A300" s="3">
        <f>IFERROR(__xludf.DUMMYFUNCTION("""COMPUTED_VALUE"""),44998.66666666667)</f>
        <v>44998.66667</v>
      </c>
      <c r="B300" s="1">
        <f>IFERROR(__xludf.DUMMYFUNCTION("""COMPUTED_VALUE"""),22.8)</f>
        <v>22.8</v>
      </c>
      <c r="C300" s="1">
        <f>IFERROR(__xludf.DUMMYFUNCTION("""COMPUTED_VALUE"""),22.99)</f>
        <v>22.99</v>
      </c>
      <c r="D300" s="1">
        <f>IFERROR(__xludf.DUMMYFUNCTION("""COMPUTED_VALUE"""),22.77)</f>
        <v>22.77</v>
      </c>
      <c r="E300" s="1">
        <f>IFERROR(__xludf.DUMMYFUNCTION("""COMPUTED_VALUE"""),22.83)</f>
        <v>22.83</v>
      </c>
      <c r="F300" s="1">
        <f>IFERROR(__xludf.DUMMYFUNCTION("""COMPUTED_VALUE"""),6224.0)</f>
        <v>6224</v>
      </c>
      <c r="G300" s="2" t="s">
        <v>9</v>
      </c>
    </row>
    <row r="301">
      <c r="A301" s="3">
        <f>IFERROR(__xludf.DUMMYFUNCTION("""COMPUTED_VALUE"""),44999.66666666667)</f>
        <v>44999.66667</v>
      </c>
      <c r="B301" s="1">
        <f>IFERROR(__xludf.DUMMYFUNCTION("""COMPUTED_VALUE"""),23.05)</f>
        <v>23.05</v>
      </c>
      <c r="C301" s="1">
        <f>IFERROR(__xludf.DUMMYFUNCTION("""COMPUTED_VALUE"""),23.05)</f>
        <v>23.05</v>
      </c>
      <c r="D301" s="1">
        <f>IFERROR(__xludf.DUMMYFUNCTION("""COMPUTED_VALUE"""),23.02)</f>
        <v>23.02</v>
      </c>
      <c r="E301" s="1">
        <f>IFERROR(__xludf.DUMMYFUNCTION("""COMPUTED_VALUE"""),23.02)</f>
        <v>23.02</v>
      </c>
      <c r="F301" s="1">
        <f>IFERROR(__xludf.DUMMYFUNCTION("""COMPUTED_VALUE"""),1541.0)</f>
        <v>1541</v>
      </c>
      <c r="G301" s="2" t="s">
        <v>9</v>
      </c>
    </row>
    <row r="302">
      <c r="A302" s="3">
        <f>IFERROR(__xludf.DUMMYFUNCTION("""COMPUTED_VALUE"""),45000.66666666667)</f>
        <v>45000.66667</v>
      </c>
      <c r="B302" s="1">
        <f>IFERROR(__xludf.DUMMYFUNCTION("""COMPUTED_VALUE"""),22.89)</f>
        <v>22.89</v>
      </c>
      <c r="C302" s="1">
        <f>IFERROR(__xludf.DUMMYFUNCTION("""COMPUTED_VALUE"""),22.9)</f>
        <v>22.9</v>
      </c>
      <c r="D302" s="1">
        <f>IFERROR(__xludf.DUMMYFUNCTION("""COMPUTED_VALUE"""),22.89)</f>
        <v>22.89</v>
      </c>
      <c r="E302" s="1">
        <f>IFERROR(__xludf.DUMMYFUNCTION("""COMPUTED_VALUE"""),22.9)</f>
        <v>22.9</v>
      </c>
      <c r="F302" s="1">
        <f>IFERROR(__xludf.DUMMYFUNCTION("""COMPUTED_VALUE"""),178.0)</f>
        <v>178</v>
      </c>
      <c r="G302" s="2" t="s">
        <v>9</v>
      </c>
    </row>
    <row r="303">
      <c r="A303" s="3">
        <f>IFERROR(__xludf.DUMMYFUNCTION("""COMPUTED_VALUE"""),45001.66666666667)</f>
        <v>45001.66667</v>
      </c>
      <c r="B303" s="1">
        <f>IFERROR(__xludf.DUMMYFUNCTION("""COMPUTED_VALUE"""),22.91)</f>
        <v>22.91</v>
      </c>
      <c r="C303" s="1">
        <f>IFERROR(__xludf.DUMMYFUNCTION("""COMPUTED_VALUE"""),23.43)</f>
        <v>23.43</v>
      </c>
      <c r="D303" s="1">
        <f>IFERROR(__xludf.DUMMYFUNCTION("""COMPUTED_VALUE"""),22.91)</f>
        <v>22.91</v>
      </c>
      <c r="E303" s="1">
        <f>IFERROR(__xludf.DUMMYFUNCTION("""COMPUTED_VALUE"""),23.43)</f>
        <v>23.43</v>
      </c>
      <c r="F303" s="1">
        <f>IFERROR(__xludf.DUMMYFUNCTION("""COMPUTED_VALUE"""),733.0)</f>
        <v>733</v>
      </c>
      <c r="G303" s="2" t="s">
        <v>9</v>
      </c>
    </row>
    <row r="304">
      <c r="A304" s="3">
        <f>IFERROR(__xludf.DUMMYFUNCTION("""COMPUTED_VALUE"""),45002.66666666667)</f>
        <v>45002.66667</v>
      </c>
      <c r="B304" s="1">
        <f>IFERROR(__xludf.DUMMYFUNCTION("""COMPUTED_VALUE"""),22.94)</f>
        <v>22.94</v>
      </c>
      <c r="C304" s="1">
        <f>IFERROR(__xludf.DUMMYFUNCTION("""COMPUTED_VALUE"""),23.06)</f>
        <v>23.06</v>
      </c>
      <c r="D304" s="1">
        <f>IFERROR(__xludf.DUMMYFUNCTION("""COMPUTED_VALUE"""),22.94)</f>
        <v>22.94</v>
      </c>
      <c r="E304" s="1">
        <f>IFERROR(__xludf.DUMMYFUNCTION("""COMPUTED_VALUE"""),23.06)</f>
        <v>23.06</v>
      </c>
      <c r="F304" s="1">
        <f>IFERROR(__xludf.DUMMYFUNCTION("""COMPUTED_VALUE"""),841.0)</f>
        <v>841</v>
      </c>
      <c r="G304" s="2" t="s">
        <v>9</v>
      </c>
    </row>
    <row r="305">
      <c r="A305" s="3">
        <f>IFERROR(__xludf.DUMMYFUNCTION("""COMPUTED_VALUE"""),45005.66666666667)</f>
        <v>45005.66667</v>
      </c>
      <c r="B305" s="1">
        <f>IFERROR(__xludf.DUMMYFUNCTION("""COMPUTED_VALUE"""),23.18)</f>
        <v>23.18</v>
      </c>
      <c r="C305" s="1">
        <f>IFERROR(__xludf.DUMMYFUNCTION("""COMPUTED_VALUE"""),23.18)</f>
        <v>23.18</v>
      </c>
      <c r="D305" s="1">
        <f>IFERROR(__xludf.DUMMYFUNCTION("""COMPUTED_VALUE"""),23.18)</f>
        <v>23.18</v>
      </c>
      <c r="E305" s="1">
        <f>IFERROR(__xludf.DUMMYFUNCTION("""COMPUTED_VALUE"""),23.18)</f>
        <v>23.18</v>
      </c>
      <c r="F305" s="1">
        <f>IFERROR(__xludf.DUMMYFUNCTION("""COMPUTED_VALUE"""),4.0)</f>
        <v>4</v>
      </c>
      <c r="G305" s="2" t="s">
        <v>9</v>
      </c>
    </row>
    <row r="306">
      <c r="A306" s="3">
        <f>IFERROR(__xludf.DUMMYFUNCTION("""COMPUTED_VALUE"""),45006.66666666667)</f>
        <v>45006.66667</v>
      </c>
      <c r="B306" s="1">
        <f>IFERROR(__xludf.DUMMYFUNCTION("""COMPUTED_VALUE"""),23.45)</f>
        <v>23.45</v>
      </c>
      <c r="C306" s="1">
        <f>IFERROR(__xludf.DUMMYFUNCTION("""COMPUTED_VALUE"""),23.8)</f>
        <v>23.8</v>
      </c>
      <c r="D306" s="1">
        <f>IFERROR(__xludf.DUMMYFUNCTION("""COMPUTED_VALUE"""),23.43)</f>
        <v>23.43</v>
      </c>
      <c r="E306" s="1">
        <f>IFERROR(__xludf.DUMMYFUNCTION("""COMPUTED_VALUE"""),23.78)</f>
        <v>23.78</v>
      </c>
      <c r="F306" s="1">
        <f>IFERROR(__xludf.DUMMYFUNCTION("""COMPUTED_VALUE"""),9421.0)</f>
        <v>9421</v>
      </c>
      <c r="G306" s="2" t="s">
        <v>9</v>
      </c>
    </row>
    <row r="307">
      <c r="A307" s="3">
        <f>IFERROR(__xludf.DUMMYFUNCTION("""COMPUTED_VALUE"""),45007.66666666667)</f>
        <v>45007.66667</v>
      </c>
      <c r="B307" s="1">
        <f>IFERROR(__xludf.DUMMYFUNCTION("""COMPUTED_VALUE"""),23.17)</f>
        <v>23.17</v>
      </c>
      <c r="C307" s="1">
        <f>IFERROR(__xludf.DUMMYFUNCTION("""COMPUTED_VALUE"""),23.17)</f>
        <v>23.17</v>
      </c>
      <c r="D307" s="1">
        <f>IFERROR(__xludf.DUMMYFUNCTION("""COMPUTED_VALUE"""),23.17)</f>
        <v>23.17</v>
      </c>
      <c r="E307" s="1">
        <f>IFERROR(__xludf.DUMMYFUNCTION("""COMPUTED_VALUE"""),23.17)</f>
        <v>23.17</v>
      </c>
      <c r="F307" s="1">
        <f>IFERROR(__xludf.DUMMYFUNCTION("""COMPUTED_VALUE"""),53.0)</f>
        <v>53</v>
      </c>
      <c r="G307" s="2" t="s">
        <v>9</v>
      </c>
    </row>
    <row r="308">
      <c r="A308" s="3">
        <f>IFERROR(__xludf.DUMMYFUNCTION("""COMPUTED_VALUE"""),45008.66666666667)</f>
        <v>45008.66667</v>
      </c>
      <c r="B308" s="1">
        <f>IFERROR(__xludf.DUMMYFUNCTION("""COMPUTED_VALUE"""),23.2)</f>
        <v>23.2</v>
      </c>
      <c r="C308" s="1">
        <f>IFERROR(__xludf.DUMMYFUNCTION("""COMPUTED_VALUE"""),23.2)</f>
        <v>23.2</v>
      </c>
      <c r="D308" s="1">
        <f>IFERROR(__xludf.DUMMYFUNCTION("""COMPUTED_VALUE"""),23.2)</f>
        <v>23.2</v>
      </c>
      <c r="E308" s="1">
        <f>IFERROR(__xludf.DUMMYFUNCTION("""COMPUTED_VALUE"""),23.2)</f>
        <v>23.2</v>
      </c>
      <c r="F308" s="1">
        <f>IFERROR(__xludf.DUMMYFUNCTION("""COMPUTED_VALUE"""),17.0)</f>
        <v>17</v>
      </c>
      <c r="G308" s="2" t="s">
        <v>9</v>
      </c>
    </row>
    <row r="309">
      <c r="A309" s="3">
        <f>IFERROR(__xludf.DUMMYFUNCTION("""COMPUTED_VALUE"""),45009.66666666667)</f>
        <v>45009.66667</v>
      </c>
      <c r="B309" s="1">
        <f>IFERROR(__xludf.DUMMYFUNCTION("""COMPUTED_VALUE"""),23.05)</f>
        <v>23.05</v>
      </c>
      <c r="C309" s="1">
        <f>IFERROR(__xludf.DUMMYFUNCTION("""COMPUTED_VALUE"""),23.19)</f>
        <v>23.19</v>
      </c>
      <c r="D309" s="1">
        <f>IFERROR(__xludf.DUMMYFUNCTION("""COMPUTED_VALUE"""),23.05)</f>
        <v>23.05</v>
      </c>
      <c r="E309" s="1">
        <f>IFERROR(__xludf.DUMMYFUNCTION("""COMPUTED_VALUE"""),23.16)</f>
        <v>23.16</v>
      </c>
      <c r="F309" s="1">
        <f>IFERROR(__xludf.DUMMYFUNCTION("""COMPUTED_VALUE"""),3060.0)</f>
        <v>3060</v>
      </c>
      <c r="G309" s="2" t="s">
        <v>9</v>
      </c>
    </row>
    <row r="310">
      <c r="A310" s="3">
        <f>IFERROR(__xludf.DUMMYFUNCTION("""COMPUTED_VALUE"""),45012.66666666667)</f>
        <v>45012.66667</v>
      </c>
      <c r="B310" s="1">
        <f>IFERROR(__xludf.DUMMYFUNCTION("""COMPUTED_VALUE"""),23.23)</f>
        <v>23.23</v>
      </c>
      <c r="C310" s="1">
        <f>IFERROR(__xludf.DUMMYFUNCTION("""COMPUTED_VALUE"""),23.37)</f>
        <v>23.37</v>
      </c>
      <c r="D310" s="1">
        <f>IFERROR(__xludf.DUMMYFUNCTION("""COMPUTED_VALUE"""),23.23)</f>
        <v>23.23</v>
      </c>
      <c r="E310" s="1">
        <f>IFERROR(__xludf.DUMMYFUNCTION("""COMPUTED_VALUE"""),23.34)</f>
        <v>23.34</v>
      </c>
      <c r="F310" s="1">
        <f>IFERROR(__xludf.DUMMYFUNCTION("""COMPUTED_VALUE"""),406.0)</f>
        <v>406</v>
      </c>
      <c r="G310" s="2" t="s">
        <v>9</v>
      </c>
    </row>
    <row r="311">
      <c r="A311" s="3">
        <f>IFERROR(__xludf.DUMMYFUNCTION("""COMPUTED_VALUE"""),45013.66666666667)</f>
        <v>45013.66667</v>
      </c>
      <c r="B311" s="1">
        <f>IFERROR(__xludf.DUMMYFUNCTION("""COMPUTED_VALUE"""),23.13)</f>
        <v>23.13</v>
      </c>
      <c r="C311" s="1">
        <f>IFERROR(__xludf.DUMMYFUNCTION("""COMPUTED_VALUE"""),23.21)</f>
        <v>23.21</v>
      </c>
      <c r="D311" s="1">
        <f>IFERROR(__xludf.DUMMYFUNCTION("""COMPUTED_VALUE"""),23.13)</f>
        <v>23.13</v>
      </c>
      <c r="E311" s="1">
        <f>IFERROR(__xludf.DUMMYFUNCTION("""COMPUTED_VALUE"""),23.21)</f>
        <v>23.21</v>
      </c>
      <c r="F311" s="1">
        <f>IFERROR(__xludf.DUMMYFUNCTION("""COMPUTED_VALUE"""),1625.0)</f>
        <v>1625</v>
      </c>
      <c r="G311" s="2" t="s">
        <v>9</v>
      </c>
    </row>
    <row r="312">
      <c r="A312" s="3">
        <f>IFERROR(__xludf.DUMMYFUNCTION("""COMPUTED_VALUE"""),45014.66666666667)</f>
        <v>45014.66667</v>
      </c>
      <c r="B312" s="1">
        <f>IFERROR(__xludf.DUMMYFUNCTION("""COMPUTED_VALUE"""),23.62)</f>
        <v>23.62</v>
      </c>
      <c r="C312" s="1">
        <f>IFERROR(__xludf.DUMMYFUNCTION("""COMPUTED_VALUE"""),23.62)</f>
        <v>23.62</v>
      </c>
      <c r="D312" s="1">
        <f>IFERROR(__xludf.DUMMYFUNCTION("""COMPUTED_VALUE"""),23.61)</f>
        <v>23.61</v>
      </c>
      <c r="E312" s="1">
        <f>IFERROR(__xludf.DUMMYFUNCTION("""COMPUTED_VALUE"""),23.62)</f>
        <v>23.62</v>
      </c>
      <c r="F312" s="1">
        <f>IFERROR(__xludf.DUMMYFUNCTION("""COMPUTED_VALUE"""),522.0)</f>
        <v>522</v>
      </c>
      <c r="G312" s="2" t="s">
        <v>9</v>
      </c>
    </row>
    <row r="313">
      <c r="A313" s="3">
        <f>IFERROR(__xludf.DUMMYFUNCTION("""COMPUTED_VALUE"""),45015.66666666667)</f>
        <v>45015.66667</v>
      </c>
      <c r="B313" s="1">
        <f>IFERROR(__xludf.DUMMYFUNCTION("""COMPUTED_VALUE"""),23.77)</f>
        <v>23.77</v>
      </c>
      <c r="C313" s="1">
        <f>IFERROR(__xludf.DUMMYFUNCTION("""COMPUTED_VALUE"""),23.87)</f>
        <v>23.87</v>
      </c>
      <c r="D313" s="1">
        <f>IFERROR(__xludf.DUMMYFUNCTION("""COMPUTED_VALUE"""),23.77)</f>
        <v>23.77</v>
      </c>
      <c r="E313" s="1">
        <f>IFERROR(__xludf.DUMMYFUNCTION("""COMPUTED_VALUE"""),23.87)</f>
        <v>23.87</v>
      </c>
      <c r="F313" s="1">
        <f>IFERROR(__xludf.DUMMYFUNCTION("""COMPUTED_VALUE"""),228.0)</f>
        <v>228</v>
      </c>
      <c r="G313" s="2" t="s">
        <v>9</v>
      </c>
    </row>
    <row r="314">
      <c r="A314" s="3">
        <f>IFERROR(__xludf.DUMMYFUNCTION("""COMPUTED_VALUE"""),45016.66666666667)</f>
        <v>45016.66667</v>
      </c>
      <c r="B314" s="1">
        <f>IFERROR(__xludf.DUMMYFUNCTION("""COMPUTED_VALUE"""),24.45)</f>
        <v>24.45</v>
      </c>
      <c r="C314" s="1">
        <f>IFERROR(__xludf.DUMMYFUNCTION("""COMPUTED_VALUE"""),24.45)</f>
        <v>24.45</v>
      </c>
      <c r="D314" s="1">
        <f>IFERROR(__xludf.DUMMYFUNCTION("""COMPUTED_VALUE"""),24.45)</f>
        <v>24.45</v>
      </c>
      <c r="E314" s="1">
        <f>IFERROR(__xludf.DUMMYFUNCTION("""COMPUTED_VALUE"""),24.45)</f>
        <v>24.45</v>
      </c>
      <c r="F314" s="1">
        <f>IFERROR(__xludf.DUMMYFUNCTION("""COMPUTED_VALUE"""),9.0)</f>
        <v>9</v>
      </c>
      <c r="G314" s="2" t="s">
        <v>9</v>
      </c>
    </row>
    <row r="315">
      <c r="A315" s="3">
        <f>IFERROR(__xludf.DUMMYFUNCTION("""COMPUTED_VALUE"""),45019.66666666667)</f>
        <v>45019.66667</v>
      </c>
      <c r="B315" s="1">
        <f>IFERROR(__xludf.DUMMYFUNCTION("""COMPUTED_VALUE"""),24.4)</f>
        <v>24.4</v>
      </c>
      <c r="C315" s="1">
        <f>IFERROR(__xludf.DUMMYFUNCTION("""COMPUTED_VALUE"""),24.4)</f>
        <v>24.4</v>
      </c>
      <c r="D315" s="1">
        <f>IFERROR(__xludf.DUMMYFUNCTION("""COMPUTED_VALUE"""),24.4)</f>
        <v>24.4</v>
      </c>
      <c r="E315" s="1">
        <f>IFERROR(__xludf.DUMMYFUNCTION("""COMPUTED_VALUE"""),24.4)</f>
        <v>24.4</v>
      </c>
      <c r="F315" s="1">
        <f>IFERROR(__xludf.DUMMYFUNCTION("""COMPUTED_VALUE"""),5.0)</f>
        <v>5</v>
      </c>
      <c r="G315" s="2" t="s">
        <v>9</v>
      </c>
    </row>
    <row r="316">
      <c r="A316" s="3">
        <f>IFERROR(__xludf.DUMMYFUNCTION("""COMPUTED_VALUE"""),45020.66666666667)</f>
        <v>45020.66667</v>
      </c>
      <c r="B316" s="1">
        <f>IFERROR(__xludf.DUMMYFUNCTION("""COMPUTED_VALUE"""),24.44)</f>
        <v>24.44</v>
      </c>
      <c r="C316" s="1">
        <f>IFERROR(__xludf.DUMMYFUNCTION("""COMPUTED_VALUE"""),24.44)</f>
        <v>24.44</v>
      </c>
      <c r="D316" s="1">
        <f>IFERROR(__xludf.DUMMYFUNCTION("""COMPUTED_VALUE"""),24.09)</f>
        <v>24.09</v>
      </c>
      <c r="E316" s="1">
        <f>IFERROR(__xludf.DUMMYFUNCTION("""COMPUTED_VALUE"""),24.1)</f>
        <v>24.1</v>
      </c>
      <c r="F316" s="1">
        <f>IFERROR(__xludf.DUMMYFUNCTION("""COMPUTED_VALUE"""),2752.0)</f>
        <v>2752</v>
      </c>
      <c r="G316" s="2" t="s">
        <v>9</v>
      </c>
    </row>
    <row r="317">
      <c r="A317" s="3">
        <f>IFERROR(__xludf.DUMMYFUNCTION("""COMPUTED_VALUE"""),45021.66666666667)</f>
        <v>45021.66667</v>
      </c>
      <c r="B317" s="1">
        <f>IFERROR(__xludf.DUMMYFUNCTION("""COMPUTED_VALUE"""),23.71)</f>
        <v>23.71</v>
      </c>
      <c r="C317" s="1">
        <f>IFERROR(__xludf.DUMMYFUNCTION("""COMPUTED_VALUE"""),23.77)</f>
        <v>23.77</v>
      </c>
      <c r="D317" s="1">
        <f>IFERROR(__xludf.DUMMYFUNCTION("""COMPUTED_VALUE"""),23.71)</f>
        <v>23.71</v>
      </c>
      <c r="E317" s="1">
        <f>IFERROR(__xludf.DUMMYFUNCTION("""COMPUTED_VALUE"""),23.77)</f>
        <v>23.77</v>
      </c>
      <c r="F317" s="1">
        <f>IFERROR(__xludf.DUMMYFUNCTION("""COMPUTED_VALUE"""),213.0)</f>
        <v>213</v>
      </c>
      <c r="G317" s="2" t="s">
        <v>9</v>
      </c>
    </row>
    <row r="318">
      <c r="A318" s="3">
        <f>IFERROR(__xludf.DUMMYFUNCTION("""COMPUTED_VALUE"""),45022.66666666667)</f>
        <v>45022.66667</v>
      </c>
      <c r="B318" s="1">
        <f>IFERROR(__xludf.DUMMYFUNCTION("""COMPUTED_VALUE"""),23.86)</f>
        <v>23.86</v>
      </c>
      <c r="C318" s="1">
        <f>IFERROR(__xludf.DUMMYFUNCTION("""COMPUTED_VALUE"""),23.88)</f>
        <v>23.88</v>
      </c>
      <c r="D318" s="1">
        <f>IFERROR(__xludf.DUMMYFUNCTION("""COMPUTED_VALUE"""),23.86)</f>
        <v>23.86</v>
      </c>
      <c r="E318" s="1">
        <f>IFERROR(__xludf.DUMMYFUNCTION("""COMPUTED_VALUE"""),23.88)</f>
        <v>23.88</v>
      </c>
      <c r="F318" s="1">
        <f>IFERROR(__xludf.DUMMYFUNCTION("""COMPUTED_VALUE"""),410.0)</f>
        <v>410</v>
      </c>
      <c r="G318" s="2" t="s">
        <v>9</v>
      </c>
    </row>
    <row r="319">
      <c r="A319" s="3">
        <f>IFERROR(__xludf.DUMMYFUNCTION("""COMPUTED_VALUE"""),45026.66666666667)</f>
        <v>45026.66667</v>
      </c>
      <c r="B319" s="1">
        <f>IFERROR(__xludf.DUMMYFUNCTION("""COMPUTED_VALUE"""),23.92)</f>
        <v>23.92</v>
      </c>
      <c r="C319" s="1">
        <f>IFERROR(__xludf.DUMMYFUNCTION("""COMPUTED_VALUE"""),24.02)</f>
        <v>24.02</v>
      </c>
      <c r="D319" s="1">
        <f>IFERROR(__xludf.DUMMYFUNCTION("""COMPUTED_VALUE"""),23.92)</f>
        <v>23.92</v>
      </c>
      <c r="E319" s="1">
        <f>IFERROR(__xludf.DUMMYFUNCTION("""COMPUTED_VALUE"""),24.02)</f>
        <v>24.02</v>
      </c>
      <c r="F319" s="1">
        <f>IFERROR(__xludf.DUMMYFUNCTION("""COMPUTED_VALUE"""),475.0)</f>
        <v>475</v>
      </c>
      <c r="G319" s="2" t="s">
        <v>9</v>
      </c>
    </row>
    <row r="320">
      <c r="A320" s="3">
        <f>IFERROR(__xludf.DUMMYFUNCTION("""COMPUTED_VALUE"""),45027.66666666667)</f>
        <v>45027.66667</v>
      </c>
      <c r="B320" s="1">
        <f>IFERROR(__xludf.DUMMYFUNCTION("""COMPUTED_VALUE"""),24.12)</f>
        <v>24.12</v>
      </c>
      <c r="C320" s="1">
        <f>IFERROR(__xludf.DUMMYFUNCTION("""COMPUTED_VALUE"""),24.21)</f>
        <v>24.21</v>
      </c>
      <c r="D320" s="1">
        <f>IFERROR(__xludf.DUMMYFUNCTION("""COMPUTED_VALUE"""),24.12)</f>
        <v>24.12</v>
      </c>
      <c r="E320" s="1">
        <f>IFERROR(__xludf.DUMMYFUNCTION("""COMPUTED_VALUE"""),24.21)</f>
        <v>24.21</v>
      </c>
      <c r="F320" s="1">
        <f>IFERROR(__xludf.DUMMYFUNCTION("""COMPUTED_VALUE"""),537.0)</f>
        <v>537</v>
      </c>
      <c r="G320" s="2" t="s">
        <v>9</v>
      </c>
    </row>
    <row r="321">
      <c r="A321" s="3">
        <f>IFERROR(__xludf.DUMMYFUNCTION("""COMPUTED_VALUE"""),45028.66666666667)</f>
        <v>45028.66667</v>
      </c>
      <c r="B321" s="1">
        <f>IFERROR(__xludf.DUMMYFUNCTION("""COMPUTED_VALUE"""),24.23)</f>
        <v>24.23</v>
      </c>
      <c r="C321" s="1">
        <f>IFERROR(__xludf.DUMMYFUNCTION("""COMPUTED_VALUE"""),24.23)</f>
        <v>24.23</v>
      </c>
      <c r="D321" s="1">
        <f>IFERROR(__xludf.DUMMYFUNCTION("""COMPUTED_VALUE"""),24.0)</f>
        <v>24</v>
      </c>
      <c r="E321" s="1">
        <f>IFERROR(__xludf.DUMMYFUNCTION("""COMPUTED_VALUE"""),24.0)</f>
        <v>24</v>
      </c>
      <c r="F321" s="1">
        <f>IFERROR(__xludf.DUMMYFUNCTION("""COMPUTED_VALUE"""),241.0)</f>
        <v>241</v>
      </c>
      <c r="G321" s="2" t="s">
        <v>9</v>
      </c>
    </row>
    <row r="322">
      <c r="A322" s="3">
        <f>IFERROR(__xludf.DUMMYFUNCTION("""COMPUTED_VALUE"""),45029.66666666667)</f>
        <v>45029.66667</v>
      </c>
      <c r="B322" s="1">
        <f>IFERROR(__xludf.DUMMYFUNCTION("""COMPUTED_VALUE"""),24.45)</f>
        <v>24.45</v>
      </c>
      <c r="C322" s="1">
        <f>IFERROR(__xludf.DUMMYFUNCTION("""COMPUTED_VALUE"""),24.45)</f>
        <v>24.45</v>
      </c>
      <c r="D322" s="1">
        <f>IFERROR(__xludf.DUMMYFUNCTION("""COMPUTED_VALUE"""),24.36)</f>
        <v>24.36</v>
      </c>
      <c r="E322" s="1">
        <f>IFERROR(__xludf.DUMMYFUNCTION("""COMPUTED_VALUE"""),24.36)</f>
        <v>24.36</v>
      </c>
      <c r="F322" s="1">
        <f>IFERROR(__xludf.DUMMYFUNCTION("""COMPUTED_VALUE"""),516.0)</f>
        <v>516</v>
      </c>
      <c r="G322" s="2" t="s">
        <v>9</v>
      </c>
    </row>
    <row r="323">
      <c r="A323" s="3">
        <f>IFERROR(__xludf.DUMMYFUNCTION("""COMPUTED_VALUE"""),45030.66666666667)</f>
        <v>45030.66667</v>
      </c>
      <c r="B323" s="1">
        <f>IFERROR(__xludf.DUMMYFUNCTION("""COMPUTED_VALUE"""),24.2)</f>
        <v>24.2</v>
      </c>
      <c r="C323" s="1">
        <f>IFERROR(__xludf.DUMMYFUNCTION("""COMPUTED_VALUE"""),24.3)</f>
        <v>24.3</v>
      </c>
      <c r="D323" s="1">
        <f>IFERROR(__xludf.DUMMYFUNCTION("""COMPUTED_VALUE"""),24.2)</f>
        <v>24.2</v>
      </c>
      <c r="E323" s="1">
        <f>IFERROR(__xludf.DUMMYFUNCTION("""COMPUTED_VALUE"""),24.3)</f>
        <v>24.3</v>
      </c>
      <c r="F323" s="1">
        <f>IFERROR(__xludf.DUMMYFUNCTION("""COMPUTED_VALUE"""),208.0)</f>
        <v>208</v>
      </c>
      <c r="G323" s="2" t="s">
        <v>9</v>
      </c>
    </row>
    <row r="324">
      <c r="A324" s="3">
        <f>IFERROR(__xludf.DUMMYFUNCTION("""COMPUTED_VALUE"""),45033.66666666667)</f>
        <v>45033.66667</v>
      </c>
      <c r="B324" s="1">
        <f>IFERROR(__xludf.DUMMYFUNCTION("""COMPUTED_VALUE"""),24.7)</f>
        <v>24.7</v>
      </c>
      <c r="C324" s="1">
        <f>IFERROR(__xludf.DUMMYFUNCTION("""COMPUTED_VALUE"""),24.7)</f>
        <v>24.7</v>
      </c>
      <c r="D324" s="1">
        <f>IFERROR(__xludf.DUMMYFUNCTION("""COMPUTED_VALUE"""),24.42)</f>
        <v>24.42</v>
      </c>
      <c r="E324" s="1">
        <f>IFERROR(__xludf.DUMMYFUNCTION("""COMPUTED_VALUE"""),24.42)</f>
        <v>24.42</v>
      </c>
      <c r="F324" s="1">
        <f>IFERROR(__xludf.DUMMYFUNCTION("""COMPUTED_VALUE"""),500.0)</f>
        <v>500</v>
      </c>
      <c r="G324" s="2" t="s">
        <v>9</v>
      </c>
    </row>
    <row r="325">
      <c r="A325" s="3">
        <f>IFERROR(__xludf.DUMMYFUNCTION("""COMPUTED_VALUE"""),45034.66666666667)</f>
        <v>45034.66667</v>
      </c>
      <c r="B325" s="1">
        <f>IFERROR(__xludf.DUMMYFUNCTION("""COMPUTED_VALUE"""),24.42)</f>
        <v>24.42</v>
      </c>
      <c r="C325" s="1">
        <f>IFERROR(__xludf.DUMMYFUNCTION("""COMPUTED_VALUE"""),24.42)</f>
        <v>24.42</v>
      </c>
      <c r="D325" s="1">
        <f>IFERROR(__xludf.DUMMYFUNCTION("""COMPUTED_VALUE"""),24.42)</f>
        <v>24.42</v>
      </c>
      <c r="E325" s="1">
        <f>IFERROR(__xludf.DUMMYFUNCTION("""COMPUTED_VALUE"""),24.42)</f>
        <v>24.42</v>
      </c>
      <c r="F325" s="1">
        <f>IFERROR(__xludf.DUMMYFUNCTION("""COMPUTED_VALUE"""),143.0)</f>
        <v>143</v>
      </c>
      <c r="G325" s="2" t="s">
        <v>9</v>
      </c>
    </row>
    <row r="326">
      <c r="A326" s="3">
        <f>IFERROR(__xludf.DUMMYFUNCTION("""COMPUTED_VALUE"""),45035.66666666667)</f>
        <v>45035.66667</v>
      </c>
      <c r="B326" s="1">
        <f>IFERROR(__xludf.DUMMYFUNCTION("""COMPUTED_VALUE"""),24.35)</f>
        <v>24.35</v>
      </c>
      <c r="C326" s="1">
        <f>IFERROR(__xludf.DUMMYFUNCTION("""COMPUTED_VALUE"""),24.35)</f>
        <v>24.35</v>
      </c>
      <c r="D326" s="1">
        <f>IFERROR(__xludf.DUMMYFUNCTION("""COMPUTED_VALUE"""),24.35)</f>
        <v>24.35</v>
      </c>
      <c r="E326" s="1">
        <f>IFERROR(__xludf.DUMMYFUNCTION("""COMPUTED_VALUE"""),24.35)</f>
        <v>24.35</v>
      </c>
      <c r="F326" s="1">
        <f>IFERROR(__xludf.DUMMYFUNCTION("""COMPUTED_VALUE"""),14.0)</f>
        <v>14</v>
      </c>
      <c r="G326" s="2" t="s">
        <v>9</v>
      </c>
    </row>
    <row r="327">
      <c r="A327" s="3">
        <f>IFERROR(__xludf.DUMMYFUNCTION("""COMPUTED_VALUE"""),45036.66666666667)</f>
        <v>45036.66667</v>
      </c>
      <c r="B327" s="1">
        <f>IFERROR(__xludf.DUMMYFUNCTION("""COMPUTED_VALUE"""),24.18)</f>
        <v>24.18</v>
      </c>
      <c r="C327" s="1">
        <f>IFERROR(__xludf.DUMMYFUNCTION("""COMPUTED_VALUE"""),24.18)</f>
        <v>24.18</v>
      </c>
      <c r="D327" s="1">
        <f>IFERROR(__xludf.DUMMYFUNCTION("""COMPUTED_VALUE"""),24.09)</f>
        <v>24.09</v>
      </c>
      <c r="E327" s="1">
        <f>IFERROR(__xludf.DUMMYFUNCTION("""COMPUTED_VALUE"""),24.09)</f>
        <v>24.09</v>
      </c>
      <c r="F327" s="1">
        <f>IFERROR(__xludf.DUMMYFUNCTION("""COMPUTED_VALUE"""),391.0)</f>
        <v>391</v>
      </c>
      <c r="G327" s="2" t="s">
        <v>9</v>
      </c>
    </row>
    <row r="328">
      <c r="A328" s="3">
        <f>IFERROR(__xludf.DUMMYFUNCTION("""COMPUTED_VALUE"""),45037.66666666667)</f>
        <v>45037.66667</v>
      </c>
      <c r="B328" s="1">
        <f>IFERROR(__xludf.DUMMYFUNCTION("""COMPUTED_VALUE"""),24.07)</f>
        <v>24.07</v>
      </c>
      <c r="C328" s="1">
        <f>IFERROR(__xludf.DUMMYFUNCTION("""COMPUTED_VALUE"""),24.14)</f>
        <v>24.14</v>
      </c>
      <c r="D328" s="1">
        <f>IFERROR(__xludf.DUMMYFUNCTION("""COMPUTED_VALUE"""),24.07)</f>
        <v>24.07</v>
      </c>
      <c r="E328" s="1">
        <f>IFERROR(__xludf.DUMMYFUNCTION("""COMPUTED_VALUE"""),24.14)</f>
        <v>24.14</v>
      </c>
      <c r="F328" s="1">
        <f>IFERROR(__xludf.DUMMYFUNCTION("""COMPUTED_VALUE"""),134.0)</f>
        <v>134</v>
      </c>
      <c r="G328" s="2" t="s">
        <v>9</v>
      </c>
    </row>
    <row r="329">
      <c r="A329" s="3">
        <f>IFERROR(__xludf.DUMMYFUNCTION("""COMPUTED_VALUE"""),45040.66666666667)</f>
        <v>45040.66667</v>
      </c>
      <c r="B329" s="1">
        <f>IFERROR(__xludf.DUMMYFUNCTION("""COMPUTED_VALUE"""),23.92)</f>
        <v>23.92</v>
      </c>
      <c r="C329" s="1">
        <f>IFERROR(__xludf.DUMMYFUNCTION("""COMPUTED_VALUE"""),23.99)</f>
        <v>23.99</v>
      </c>
      <c r="D329" s="1">
        <f>IFERROR(__xludf.DUMMYFUNCTION("""COMPUTED_VALUE"""),23.92)</f>
        <v>23.92</v>
      </c>
      <c r="E329" s="1">
        <f>IFERROR(__xludf.DUMMYFUNCTION("""COMPUTED_VALUE"""),23.99)</f>
        <v>23.99</v>
      </c>
      <c r="F329" s="1">
        <f>IFERROR(__xludf.DUMMYFUNCTION("""COMPUTED_VALUE"""),314.0)</f>
        <v>314</v>
      </c>
      <c r="G329" s="2" t="s">
        <v>9</v>
      </c>
    </row>
    <row r="330">
      <c r="A330" s="3">
        <f>IFERROR(__xludf.DUMMYFUNCTION("""COMPUTED_VALUE"""),45041.66666666667)</f>
        <v>45041.66667</v>
      </c>
      <c r="B330" s="1">
        <f>IFERROR(__xludf.DUMMYFUNCTION("""COMPUTED_VALUE"""),23.67)</f>
        <v>23.67</v>
      </c>
      <c r="C330" s="1">
        <f>IFERROR(__xludf.DUMMYFUNCTION("""COMPUTED_VALUE"""),23.81)</f>
        <v>23.81</v>
      </c>
      <c r="D330" s="1">
        <f>IFERROR(__xludf.DUMMYFUNCTION("""COMPUTED_VALUE"""),23.36)</f>
        <v>23.36</v>
      </c>
      <c r="E330" s="1">
        <f>IFERROR(__xludf.DUMMYFUNCTION("""COMPUTED_VALUE"""),23.36)</f>
        <v>23.36</v>
      </c>
      <c r="F330" s="1">
        <f>IFERROR(__xludf.DUMMYFUNCTION("""COMPUTED_VALUE"""),516.0)</f>
        <v>516</v>
      </c>
      <c r="G330" s="2" t="s">
        <v>9</v>
      </c>
    </row>
    <row r="331">
      <c r="A331" s="3">
        <f>IFERROR(__xludf.DUMMYFUNCTION("""COMPUTED_VALUE"""),45042.66666666667)</f>
        <v>45042.66667</v>
      </c>
      <c r="B331" s="1">
        <f>IFERROR(__xludf.DUMMYFUNCTION("""COMPUTED_VALUE"""),23.07)</f>
        <v>23.07</v>
      </c>
      <c r="C331" s="1">
        <f>IFERROR(__xludf.DUMMYFUNCTION("""COMPUTED_VALUE"""),23.62)</f>
        <v>23.62</v>
      </c>
      <c r="D331" s="1">
        <f>IFERROR(__xludf.DUMMYFUNCTION("""COMPUTED_VALUE"""),23.07)</f>
        <v>23.07</v>
      </c>
      <c r="E331" s="1">
        <f>IFERROR(__xludf.DUMMYFUNCTION("""COMPUTED_VALUE"""),23.29)</f>
        <v>23.29</v>
      </c>
      <c r="F331" s="1">
        <f>IFERROR(__xludf.DUMMYFUNCTION("""COMPUTED_VALUE"""),1518.0)</f>
        <v>1518</v>
      </c>
      <c r="G331" s="2" t="s">
        <v>9</v>
      </c>
    </row>
    <row r="332">
      <c r="A332" s="3">
        <f>IFERROR(__xludf.DUMMYFUNCTION("""COMPUTED_VALUE"""),45043.66666666667)</f>
        <v>45043.66667</v>
      </c>
      <c r="B332" s="1">
        <f>IFERROR(__xludf.DUMMYFUNCTION("""COMPUTED_VALUE"""),23.6)</f>
        <v>23.6</v>
      </c>
      <c r="C332" s="1">
        <f>IFERROR(__xludf.DUMMYFUNCTION("""COMPUTED_VALUE"""),23.6)</f>
        <v>23.6</v>
      </c>
      <c r="D332" s="1">
        <f>IFERROR(__xludf.DUMMYFUNCTION("""COMPUTED_VALUE"""),23.58)</f>
        <v>23.58</v>
      </c>
      <c r="E332" s="1">
        <f>IFERROR(__xludf.DUMMYFUNCTION("""COMPUTED_VALUE"""),23.58)</f>
        <v>23.58</v>
      </c>
      <c r="F332" s="1">
        <f>IFERROR(__xludf.DUMMYFUNCTION("""COMPUTED_VALUE"""),110.0)</f>
        <v>110</v>
      </c>
      <c r="G332" s="2" t="s">
        <v>9</v>
      </c>
    </row>
    <row r="333">
      <c r="A333" s="3">
        <f>IFERROR(__xludf.DUMMYFUNCTION("""COMPUTED_VALUE"""),45044.66666666667)</f>
        <v>45044.66667</v>
      </c>
      <c r="B333" s="1">
        <f>IFERROR(__xludf.DUMMYFUNCTION("""COMPUTED_VALUE"""),23.65)</f>
        <v>23.65</v>
      </c>
      <c r="C333" s="1">
        <f>IFERROR(__xludf.DUMMYFUNCTION("""COMPUTED_VALUE"""),23.73)</f>
        <v>23.73</v>
      </c>
      <c r="D333" s="1">
        <f>IFERROR(__xludf.DUMMYFUNCTION("""COMPUTED_VALUE"""),23.65)</f>
        <v>23.65</v>
      </c>
      <c r="E333" s="1">
        <f>IFERROR(__xludf.DUMMYFUNCTION("""COMPUTED_VALUE"""),23.73)</f>
        <v>23.73</v>
      </c>
      <c r="F333" s="1">
        <f>IFERROR(__xludf.DUMMYFUNCTION("""COMPUTED_VALUE"""),1011.0)</f>
        <v>1011</v>
      </c>
      <c r="G333" s="2" t="s">
        <v>9</v>
      </c>
    </row>
    <row r="334">
      <c r="A334" s="3">
        <f>IFERROR(__xludf.DUMMYFUNCTION("""COMPUTED_VALUE"""),45047.66666666667)</f>
        <v>45047.66667</v>
      </c>
      <c r="B334" s="1">
        <f>IFERROR(__xludf.DUMMYFUNCTION("""COMPUTED_VALUE"""),23.74)</f>
        <v>23.74</v>
      </c>
      <c r="C334" s="1">
        <f>IFERROR(__xludf.DUMMYFUNCTION("""COMPUTED_VALUE"""),23.77)</f>
        <v>23.77</v>
      </c>
      <c r="D334" s="1">
        <f>IFERROR(__xludf.DUMMYFUNCTION("""COMPUTED_VALUE"""),23.73)</f>
        <v>23.73</v>
      </c>
      <c r="E334" s="1">
        <f>IFERROR(__xludf.DUMMYFUNCTION("""COMPUTED_VALUE"""),23.73)</f>
        <v>23.73</v>
      </c>
      <c r="F334" s="1">
        <f>IFERROR(__xludf.DUMMYFUNCTION("""COMPUTED_VALUE"""),389.0)</f>
        <v>389</v>
      </c>
      <c r="G334" s="2" t="s">
        <v>9</v>
      </c>
    </row>
    <row r="335">
      <c r="A335" s="3">
        <f>IFERROR(__xludf.DUMMYFUNCTION("""COMPUTED_VALUE"""),45048.66666666667)</f>
        <v>45048.66667</v>
      </c>
      <c r="B335" s="1">
        <f>IFERROR(__xludf.DUMMYFUNCTION("""COMPUTED_VALUE"""),23.1)</f>
        <v>23.1</v>
      </c>
      <c r="C335" s="1">
        <f>IFERROR(__xludf.DUMMYFUNCTION("""COMPUTED_VALUE"""),23.25)</f>
        <v>23.25</v>
      </c>
      <c r="D335" s="1">
        <f>IFERROR(__xludf.DUMMYFUNCTION("""COMPUTED_VALUE"""),23.1)</f>
        <v>23.1</v>
      </c>
      <c r="E335" s="1">
        <f>IFERROR(__xludf.DUMMYFUNCTION("""COMPUTED_VALUE"""),23.25)</f>
        <v>23.25</v>
      </c>
      <c r="F335" s="1">
        <f>IFERROR(__xludf.DUMMYFUNCTION("""COMPUTED_VALUE"""),207.0)</f>
        <v>207</v>
      </c>
      <c r="G335" s="2" t="s">
        <v>9</v>
      </c>
    </row>
    <row r="336">
      <c r="A336" s="3">
        <f>IFERROR(__xludf.DUMMYFUNCTION("""COMPUTED_VALUE"""),45049.66666666667)</f>
        <v>45049.66667</v>
      </c>
      <c r="B336" s="1">
        <f>IFERROR(__xludf.DUMMYFUNCTION("""COMPUTED_VALUE"""),23.13)</f>
        <v>23.13</v>
      </c>
      <c r="C336" s="1">
        <f>IFERROR(__xludf.DUMMYFUNCTION("""COMPUTED_VALUE"""),23.13)</f>
        <v>23.13</v>
      </c>
      <c r="D336" s="1">
        <f>IFERROR(__xludf.DUMMYFUNCTION("""COMPUTED_VALUE"""),23.13)</f>
        <v>23.13</v>
      </c>
      <c r="E336" s="1">
        <f>IFERROR(__xludf.DUMMYFUNCTION("""COMPUTED_VALUE"""),23.13)</f>
        <v>23.13</v>
      </c>
      <c r="F336" s="1">
        <f>IFERROR(__xludf.DUMMYFUNCTION("""COMPUTED_VALUE"""),79.0)</f>
        <v>79</v>
      </c>
      <c r="G336" s="2" t="s">
        <v>9</v>
      </c>
    </row>
    <row r="337">
      <c r="A337" s="3">
        <f>IFERROR(__xludf.DUMMYFUNCTION("""COMPUTED_VALUE"""),45050.66666666667)</f>
        <v>45050.66667</v>
      </c>
      <c r="B337" s="1">
        <f>IFERROR(__xludf.DUMMYFUNCTION("""COMPUTED_VALUE"""),23.08)</f>
        <v>23.08</v>
      </c>
      <c r="C337" s="1">
        <f>IFERROR(__xludf.DUMMYFUNCTION("""COMPUTED_VALUE"""),23.08)</f>
        <v>23.08</v>
      </c>
      <c r="D337" s="1">
        <f>IFERROR(__xludf.DUMMYFUNCTION("""COMPUTED_VALUE"""),23.03)</f>
        <v>23.03</v>
      </c>
      <c r="E337" s="1">
        <f>IFERROR(__xludf.DUMMYFUNCTION("""COMPUTED_VALUE"""),23.04)</f>
        <v>23.04</v>
      </c>
      <c r="F337" s="1">
        <f>IFERROR(__xludf.DUMMYFUNCTION("""COMPUTED_VALUE"""),220.0)</f>
        <v>220</v>
      </c>
      <c r="G337" s="2" t="s">
        <v>9</v>
      </c>
    </row>
    <row r="338">
      <c r="A338" s="3">
        <f>IFERROR(__xludf.DUMMYFUNCTION("""COMPUTED_VALUE"""),45051.66666666667)</f>
        <v>45051.66667</v>
      </c>
      <c r="B338" s="1">
        <f>IFERROR(__xludf.DUMMYFUNCTION("""COMPUTED_VALUE"""),23.3)</f>
        <v>23.3</v>
      </c>
      <c r="C338" s="1">
        <f>IFERROR(__xludf.DUMMYFUNCTION("""COMPUTED_VALUE"""),23.5)</f>
        <v>23.5</v>
      </c>
      <c r="D338" s="1">
        <f>IFERROR(__xludf.DUMMYFUNCTION("""COMPUTED_VALUE"""),23.3)</f>
        <v>23.3</v>
      </c>
      <c r="E338" s="1">
        <f>IFERROR(__xludf.DUMMYFUNCTION("""COMPUTED_VALUE"""),23.5)</f>
        <v>23.5</v>
      </c>
      <c r="F338" s="1">
        <f>IFERROR(__xludf.DUMMYFUNCTION("""COMPUTED_VALUE"""),1757.0)</f>
        <v>1757</v>
      </c>
      <c r="G338" s="2" t="s">
        <v>9</v>
      </c>
    </row>
    <row r="339">
      <c r="A339" s="3">
        <f>IFERROR(__xludf.DUMMYFUNCTION("""COMPUTED_VALUE"""),45054.66666666667)</f>
        <v>45054.66667</v>
      </c>
      <c r="B339" s="1">
        <f>IFERROR(__xludf.DUMMYFUNCTION("""COMPUTED_VALUE"""),23.68)</f>
        <v>23.68</v>
      </c>
      <c r="C339" s="1">
        <f>IFERROR(__xludf.DUMMYFUNCTION("""COMPUTED_VALUE"""),23.73)</f>
        <v>23.73</v>
      </c>
      <c r="D339" s="1">
        <f>IFERROR(__xludf.DUMMYFUNCTION("""COMPUTED_VALUE"""),23.68)</f>
        <v>23.68</v>
      </c>
      <c r="E339" s="1">
        <f>IFERROR(__xludf.DUMMYFUNCTION("""COMPUTED_VALUE"""),23.73)</f>
        <v>23.73</v>
      </c>
      <c r="F339" s="1">
        <f>IFERROR(__xludf.DUMMYFUNCTION("""COMPUTED_VALUE"""),105.0)</f>
        <v>105</v>
      </c>
      <c r="G339" s="2" t="s">
        <v>9</v>
      </c>
    </row>
    <row r="340">
      <c r="A340" s="3">
        <f>IFERROR(__xludf.DUMMYFUNCTION("""COMPUTED_VALUE"""),45055.66666666667)</f>
        <v>45055.66667</v>
      </c>
      <c r="B340" s="1">
        <f>IFERROR(__xludf.DUMMYFUNCTION("""COMPUTED_VALUE"""),23.73)</f>
        <v>23.73</v>
      </c>
      <c r="C340" s="1">
        <f>IFERROR(__xludf.DUMMYFUNCTION("""COMPUTED_VALUE"""),23.77)</f>
        <v>23.77</v>
      </c>
      <c r="D340" s="1">
        <f>IFERROR(__xludf.DUMMYFUNCTION("""COMPUTED_VALUE"""),23.72)</f>
        <v>23.72</v>
      </c>
      <c r="E340" s="1">
        <f>IFERROR(__xludf.DUMMYFUNCTION("""COMPUTED_VALUE"""),23.72)</f>
        <v>23.72</v>
      </c>
      <c r="F340" s="1">
        <f>IFERROR(__xludf.DUMMYFUNCTION("""COMPUTED_VALUE"""),772.0)</f>
        <v>772</v>
      </c>
      <c r="G340" s="2" t="s">
        <v>9</v>
      </c>
    </row>
    <row r="341">
      <c r="A341" s="3">
        <f>IFERROR(__xludf.DUMMYFUNCTION("""COMPUTED_VALUE"""),45056.66666666667)</f>
        <v>45056.66667</v>
      </c>
      <c r="B341" s="1">
        <f>IFERROR(__xludf.DUMMYFUNCTION("""COMPUTED_VALUE"""),23.85)</f>
        <v>23.85</v>
      </c>
      <c r="C341" s="1">
        <f>IFERROR(__xludf.DUMMYFUNCTION("""COMPUTED_VALUE"""),23.87)</f>
        <v>23.87</v>
      </c>
      <c r="D341" s="1">
        <f>IFERROR(__xludf.DUMMYFUNCTION("""COMPUTED_VALUE"""),23.85)</f>
        <v>23.85</v>
      </c>
      <c r="E341" s="1">
        <f>IFERROR(__xludf.DUMMYFUNCTION("""COMPUTED_VALUE"""),23.87)</f>
        <v>23.87</v>
      </c>
      <c r="F341" s="1">
        <f>IFERROR(__xludf.DUMMYFUNCTION("""COMPUTED_VALUE"""),301.0)</f>
        <v>301</v>
      </c>
      <c r="G341" s="2" t="s">
        <v>9</v>
      </c>
    </row>
    <row r="342">
      <c r="A342" s="3">
        <f>IFERROR(__xludf.DUMMYFUNCTION("""COMPUTED_VALUE"""),45057.66666666667)</f>
        <v>45057.66667</v>
      </c>
      <c r="B342" s="1">
        <f>IFERROR(__xludf.DUMMYFUNCTION("""COMPUTED_VALUE"""),23.71)</f>
        <v>23.71</v>
      </c>
      <c r="C342" s="1">
        <f>IFERROR(__xludf.DUMMYFUNCTION("""COMPUTED_VALUE"""),23.81)</f>
        <v>23.81</v>
      </c>
      <c r="D342" s="1">
        <f>IFERROR(__xludf.DUMMYFUNCTION("""COMPUTED_VALUE"""),23.71)</f>
        <v>23.71</v>
      </c>
      <c r="E342" s="1">
        <f>IFERROR(__xludf.DUMMYFUNCTION("""COMPUTED_VALUE"""),23.81)</f>
        <v>23.81</v>
      </c>
      <c r="F342" s="1">
        <f>IFERROR(__xludf.DUMMYFUNCTION("""COMPUTED_VALUE"""),284.0)</f>
        <v>284</v>
      </c>
      <c r="G342" s="2" t="s">
        <v>9</v>
      </c>
    </row>
    <row r="343">
      <c r="A343" s="3">
        <f>IFERROR(__xludf.DUMMYFUNCTION("""COMPUTED_VALUE"""),45058.66666666667)</f>
        <v>45058.66667</v>
      </c>
      <c r="B343" s="1">
        <f>IFERROR(__xludf.DUMMYFUNCTION("""COMPUTED_VALUE"""),23.5)</f>
        <v>23.5</v>
      </c>
      <c r="C343" s="1">
        <f>IFERROR(__xludf.DUMMYFUNCTION("""COMPUTED_VALUE"""),23.57)</f>
        <v>23.57</v>
      </c>
      <c r="D343" s="1">
        <f>IFERROR(__xludf.DUMMYFUNCTION("""COMPUTED_VALUE"""),23.5)</f>
        <v>23.5</v>
      </c>
      <c r="E343" s="1">
        <f>IFERROR(__xludf.DUMMYFUNCTION("""COMPUTED_VALUE"""),23.57)</f>
        <v>23.57</v>
      </c>
      <c r="F343" s="1">
        <f>IFERROR(__xludf.DUMMYFUNCTION("""COMPUTED_VALUE"""),110.0)</f>
        <v>110</v>
      </c>
      <c r="G343" s="2" t="s">
        <v>9</v>
      </c>
    </row>
    <row r="344">
      <c r="A344" s="3">
        <f>IFERROR(__xludf.DUMMYFUNCTION("""COMPUTED_VALUE"""),45061.66666666667)</f>
        <v>45061.66667</v>
      </c>
      <c r="B344" s="1">
        <f>IFERROR(__xludf.DUMMYFUNCTION("""COMPUTED_VALUE"""),23.69)</f>
        <v>23.69</v>
      </c>
      <c r="C344" s="1">
        <f>IFERROR(__xludf.DUMMYFUNCTION("""COMPUTED_VALUE"""),23.94)</f>
        <v>23.94</v>
      </c>
      <c r="D344" s="1">
        <f>IFERROR(__xludf.DUMMYFUNCTION("""COMPUTED_VALUE"""),23.69)</f>
        <v>23.69</v>
      </c>
      <c r="E344" s="1">
        <f>IFERROR(__xludf.DUMMYFUNCTION("""COMPUTED_VALUE"""),23.93)</f>
        <v>23.93</v>
      </c>
      <c r="F344" s="1">
        <f>IFERROR(__xludf.DUMMYFUNCTION("""COMPUTED_VALUE"""),1046.0)</f>
        <v>1046</v>
      </c>
      <c r="G344" s="2" t="s">
        <v>9</v>
      </c>
    </row>
    <row r="345">
      <c r="A345" s="3">
        <f>IFERROR(__xludf.DUMMYFUNCTION("""COMPUTED_VALUE"""),45062.66666666667)</f>
        <v>45062.66667</v>
      </c>
      <c r="B345" s="1">
        <f>IFERROR(__xludf.DUMMYFUNCTION("""COMPUTED_VALUE"""),23.55)</f>
        <v>23.55</v>
      </c>
      <c r="C345" s="1">
        <f>IFERROR(__xludf.DUMMYFUNCTION("""COMPUTED_VALUE"""),23.7)</f>
        <v>23.7</v>
      </c>
      <c r="D345" s="1">
        <f>IFERROR(__xludf.DUMMYFUNCTION("""COMPUTED_VALUE"""),23.5)</f>
        <v>23.5</v>
      </c>
      <c r="E345" s="1">
        <f>IFERROR(__xludf.DUMMYFUNCTION("""COMPUTED_VALUE"""),23.56)</f>
        <v>23.56</v>
      </c>
      <c r="F345" s="1">
        <f>IFERROR(__xludf.DUMMYFUNCTION("""COMPUTED_VALUE"""),2138.0)</f>
        <v>2138</v>
      </c>
      <c r="G345" s="2" t="s">
        <v>9</v>
      </c>
    </row>
    <row r="346">
      <c r="A346" s="3">
        <f>IFERROR(__xludf.DUMMYFUNCTION("""COMPUTED_VALUE"""),45063.66666666667)</f>
        <v>45063.66667</v>
      </c>
      <c r="B346" s="1">
        <f>IFERROR(__xludf.DUMMYFUNCTION("""COMPUTED_VALUE"""),24.0)</f>
        <v>24</v>
      </c>
      <c r="C346" s="1">
        <f>IFERROR(__xludf.DUMMYFUNCTION("""COMPUTED_VALUE"""),24.06)</f>
        <v>24.06</v>
      </c>
      <c r="D346" s="1">
        <f>IFERROR(__xludf.DUMMYFUNCTION("""COMPUTED_VALUE"""),24.0)</f>
        <v>24</v>
      </c>
      <c r="E346" s="1">
        <f>IFERROR(__xludf.DUMMYFUNCTION("""COMPUTED_VALUE"""),24.06)</f>
        <v>24.06</v>
      </c>
      <c r="F346" s="1">
        <f>IFERROR(__xludf.DUMMYFUNCTION("""COMPUTED_VALUE"""),927.0)</f>
        <v>927</v>
      </c>
      <c r="G346" s="2" t="s">
        <v>9</v>
      </c>
    </row>
    <row r="347">
      <c r="A347" s="3">
        <f>IFERROR(__xludf.DUMMYFUNCTION("""COMPUTED_VALUE"""),45064.66666666667)</f>
        <v>45064.66667</v>
      </c>
      <c r="B347" s="1">
        <f>IFERROR(__xludf.DUMMYFUNCTION("""COMPUTED_VALUE"""),24.2)</f>
        <v>24.2</v>
      </c>
      <c r="C347" s="1">
        <f>IFERROR(__xludf.DUMMYFUNCTION("""COMPUTED_VALUE"""),24.51)</f>
        <v>24.51</v>
      </c>
      <c r="D347" s="1">
        <f>IFERROR(__xludf.DUMMYFUNCTION("""COMPUTED_VALUE"""),24.2)</f>
        <v>24.2</v>
      </c>
      <c r="E347" s="1">
        <f>IFERROR(__xludf.DUMMYFUNCTION("""COMPUTED_VALUE"""),24.51)</f>
        <v>24.51</v>
      </c>
      <c r="F347" s="1">
        <f>IFERROR(__xludf.DUMMYFUNCTION("""COMPUTED_VALUE"""),2767.0)</f>
        <v>2767</v>
      </c>
      <c r="G347" s="2" t="s">
        <v>9</v>
      </c>
    </row>
    <row r="348">
      <c r="A348" s="3">
        <f>IFERROR(__xludf.DUMMYFUNCTION("""COMPUTED_VALUE"""),45065.66666666667)</f>
        <v>45065.66667</v>
      </c>
      <c r="B348" s="1">
        <f>IFERROR(__xludf.DUMMYFUNCTION("""COMPUTED_VALUE"""),24.4)</f>
        <v>24.4</v>
      </c>
      <c r="C348" s="1">
        <f>IFERROR(__xludf.DUMMYFUNCTION("""COMPUTED_VALUE"""),24.41)</f>
        <v>24.41</v>
      </c>
      <c r="D348" s="1">
        <f>IFERROR(__xludf.DUMMYFUNCTION("""COMPUTED_VALUE"""),24.39)</f>
        <v>24.39</v>
      </c>
      <c r="E348" s="1">
        <f>IFERROR(__xludf.DUMMYFUNCTION("""COMPUTED_VALUE"""),24.41)</f>
        <v>24.41</v>
      </c>
      <c r="F348" s="1">
        <f>IFERROR(__xludf.DUMMYFUNCTION("""COMPUTED_VALUE"""),726.0)</f>
        <v>726</v>
      </c>
      <c r="G348" s="2" t="s">
        <v>9</v>
      </c>
    </row>
    <row r="349">
      <c r="A349" s="3">
        <f>IFERROR(__xludf.DUMMYFUNCTION("""COMPUTED_VALUE"""),45068.66666666667)</f>
        <v>45068.66667</v>
      </c>
      <c r="B349" s="1">
        <f>IFERROR(__xludf.DUMMYFUNCTION("""COMPUTED_VALUE"""),24.6)</f>
        <v>24.6</v>
      </c>
      <c r="C349" s="1">
        <f>IFERROR(__xludf.DUMMYFUNCTION("""COMPUTED_VALUE"""),24.81)</f>
        <v>24.81</v>
      </c>
      <c r="D349" s="1">
        <f>IFERROR(__xludf.DUMMYFUNCTION("""COMPUTED_VALUE"""),24.6)</f>
        <v>24.6</v>
      </c>
      <c r="E349" s="1">
        <f>IFERROR(__xludf.DUMMYFUNCTION("""COMPUTED_VALUE"""),24.81)</f>
        <v>24.81</v>
      </c>
      <c r="F349" s="1">
        <f>IFERROR(__xludf.DUMMYFUNCTION("""COMPUTED_VALUE"""),1430.0)</f>
        <v>1430</v>
      </c>
      <c r="G349" s="2" t="s">
        <v>9</v>
      </c>
    </row>
    <row r="350">
      <c r="A350" s="3">
        <f>IFERROR(__xludf.DUMMYFUNCTION("""COMPUTED_VALUE"""),45069.66666666667)</f>
        <v>45069.66667</v>
      </c>
      <c r="B350" s="1">
        <f>IFERROR(__xludf.DUMMYFUNCTION("""COMPUTED_VALUE"""),25.0)</f>
        <v>25</v>
      </c>
      <c r="C350" s="1">
        <f>IFERROR(__xludf.DUMMYFUNCTION("""COMPUTED_VALUE"""),25.0)</f>
        <v>25</v>
      </c>
      <c r="D350" s="1">
        <f>IFERROR(__xludf.DUMMYFUNCTION("""COMPUTED_VALUE"""),24.58)</f>
        <v>24.58</v>
      </c>
      <c r="E350" s="1">
        <f>IFERROR(__xludf.DUMMYFUNCTION("""COMPUTED_VALUE"""),24.58)</f>
        <v>24.58</v>
      </c>
      <c r="F350" s="1">
        <f>IFERROR(__xludf.DUMMYFUNCTION("""COMPUTED_VALUE"""),1482.0)</f>
        <v>1482</v>
      </c>
      <c r="G350" s="2" t="s">
        <v>9</v>
      </c>
    </row>
    <row r="351">
      <c r="A351" s="3">
        <f>IFERROR(__xludf.DUMMYFUNCTION("""COMPUTED_VALUE"""),45070.66666666667)</f>
        <v>45070.66667</v>
      </c>
      <c r="B351" s="1">
        <f>IFERROR(__xludf.DUMMYFUNCTION("""COMPUTED_VALUE"""),24.23)</f>
        <v>24.23</v>
      </c>
      <c r="C351" s="1">
        <f>IFERROR(__xludf.DUMMYFUNCTION("""COMPUTED_VALUE"""),24.37)</f>
        <v>24.37</v>
      </c>
      <c r="D351" s="1">
        <f>IFERROR(__xludf.DUMMYFUNCTION("""COMPUTED_VALUE"""),24.23)</f>
        <v>24.23</v>
      </c>
      <c r="E351" s="1">
        <f>IFERROR(__xludf.DUMMYFUNCTION("""COMPUTED_VALUE"""),24.37)</f>
        <v>24.37</v>
      </c>
      <c r="F351" s="1">
        <f>IFERROR(__xludf.DUMMYFUNCTION("""COMPUTED_VALUE"""),562.0)</f>
        <v>562</v>
      </c>
      <c r="G351" s="2" t="s">
        <v>9</v>
      </c>
    </row>
    <row r="352">
      <c r="A352" s="3">
        <f>IFERROR(__xludf.DUMMYFUNCTION("""COMPUTED_VALUE"""),45071.66666666667)</f>
        <v>45071.66667</v>
      </c>
      <c r="B352" s="1">
        <f>IFERROR(__xludf.DUMMYFUNCTION("""COMPUTED_VALUE"""),24.43)</f>
        <v>24.43</v>
      </c>
      <c r="C352" s="1">
        <f>IFERROR(__xludf.DUMMYFUNCTION("""COMPUTED_VALUE"""),24.44)</f>
        <v>24.44</v>
      </c>
      <c r="D352" s="1">
        <f>IFERROR(__xludf.DUMMYFUNCTION("""COMPUTED_VALUE"""),24.32)</f>
        <v>24.32</v>
      </c>
      <c r="E352" s="1">
        <f>IFERROR(__xludf.DUMMYFUNCTION("""COMPUTED_VALUE"""),24.32)</f>
        <v>24.32</v>
      </c>
      <c r="F352" s="1">
        <f>IFERROR(__xludf.DUMMYFUNCTION("""COMPUTED_VALUE"""),2013.0)</f>
        <v>2013</v>
      </c>
      <c r="G352" s="2" t="s">
        <v>9</v>
      </c>
    </row>
    <row r="353">
      <c r="A353" s="3">
        <f>IFERROR(__xludf.DUMMYFUNCTION("""COMPUTED_VALUE"""),45072.66666666667)</f>
        <v>45072.66667</v>
      </c>
      <c r="B353" s="1">
        <f>IFERROR(__xludf.DUMMYFUNCTION("""COMPUTED_VALUE"""),24.6)</f>
        <v>24.6</v>
      </c>
      <c r="C353" s="1">
        <f>IFERROR(__xludf.DUMMYFUNCTION("""COMPUTED_VALUE"""),24.83)</f>
        <v>24.83</v>
      </c>
      <c r="D353" s="1">
        <f>IFERROR(__xludf.DUMMYFUNCTION("""COMPUTED_VALUE"""),24.6)</f>
        <v>24.6</v>
      </c>
      <c r="E353" s="1">
        <f>IFERROR(__xludf.DUMMYFUNCTION("""COMPUTED_VALUE"""),24.79)</f>
        <v>24.79</v>
      </c>
      <c r="F353" s="1">
        <f>IFERROR(__xludf.DUMMYFUNCTION("""COMPUTED_VALUE"""),2970.0)</f>
        <v>2970</v>
      </c>
      <c r="G353" s="2" t="s">
        <v>9</v>
      </c>
    </row>
    <row r="354">
      <c r="A354" s="3">
        <f>IFERROR(__xludf.DUMMYFUNCTION("""COMPUTED_VALUE"""),45076.66666666667)</f>
        <v>45076.66667</v>
      </c>
      <c r="B354" s="1">
        <f>IFERROR(__xludf.DUMMYFUNCTION("""COMPUTED_VALUE"""),24.9)</f>
        <v>24.9</v>
      </c>
      <c r="C354" s="1">
        <f>IFERROR(__xludf.DUMMYFUNCTION("""COMPUTED_VALUE"""),25.01)</f>
        <v>25.01</v>
      </c>
      <c r="D354" s="1">
        <f>IFERROR(__xludf.DUMMYFUNCTION("""COMPUTED_VALUE"""),24.9)</f>
        <v>24.9</v>
      </c>
      <c r="E354" s="1">
        <f>IFERROR(__xludf.DUMMYFUNCTION("""COMPUTED_VALUE"""),24.99)</f>
        <v>24.99</v>
      </c>
      <c r="F354" s="1">
        <f>IFERROR(__xludf.DUMMYFUNCTION("""COMPUTED_VALUE"""),1655.0)</f>
        <v>1655</v>
      </c>
      <c r="G354" s="2" t="s">
        <v>9</v>
      </c>
    </row>
    <row r="355">
      <c r="A355" s="3">
        <f>IFERROR(__xludf.DUMMYFUNCTION("""COMPUTED_VALUE"""),45077.66666666667)</f>
        <v>45077.66667</v>
      </c>
      <c r="B355" s="1">
        <f>IFERROR(__xludf.DUMMYFUNCTION("""COMPUTED_VALUE"""),24.81)</f>
        <v>24.81</v>
      </c>
      <c r="C355" s="1">
        <f>IFERROR(__xludf.DUMMYFUNCTION("""COMPUTED_VALUE"""),25.1)</f>
        <v>25.1</v>
      </c>
      <c r="D355" s="1">
        <f>IFERROR(__xludf.DUMMYFUNCTION("""COMPUTED_VALUE"""),24.81)</f>
        <v>24.81</v>
      </c>
      <c r="E355" s="1">
        <f>IFERROR(__xludf.DUMMYFUNCTION("""COMPUTED_VALUE"""),25.1)</f>
        <v>25.1</v>
      </c>
      <c r="F355" s="1">
        <f>IFERROR(__xludf.DUMMYFUNCTION("""COMPUTED_VALUE"""),1120.0)</f>
        <v>1120</v>
      </c>
      <c r="G355" s="2" t="s">
        <v>9</v>
      </c>
    </row>
    <row r="356">
      <c r="A356" s="3">
        <f>IFERROR(__xludf.DUMMYFUNCTION("""COMPUTED_VALUE"""),45078.66666666667)</f>
        <v>45078.66667</v>
      </c>
      <c r="B356" s="1">
        <f>IFERROR(__xludf.DUMMYFUNCTION("""COMPUTED_VALUE"""),25.16)</f>
        <v>25.16</v>
      </c>
      <c r="C356" s="1">
        <f>IFERROR(__xludf.DUMMYFUNCTION("""COMPUTED_VALUE"""),25.33)</f>
        <v>25.33</v>
      </c>
      <c r="D356" s="1">
        <f>IFERROR(__xludf.DUMMYFUNCTION("""COMPUTED_VALUE"""),25.16)</f>
        <v>25.16</v>
      </c>
      <c r="E356" s="1">
        <f>IFERROR(__xludf.DUMMYFUNCTION("""COMPUTED_VALUE"""),25.28)</f>
        <v>25.28</v>
      </c>
      <c r="F356" s="1">
        <f>IFERROR(__xludf.DUMMYFUNCTION("""COMPUTED_VALUE"""),692.0)</f>
        <v>692</v>
      </c>
      <c r="G356" s="2" t="s">
        <v>9</v>
      </c>
    </row>
    <row r="357">
      <c r="A357" s="3">
        <f>IFERROR(__xludf.DUMMYFUNCTION("""COMPUTED_VALUE"""),45079.66666666667)</f>
        <v>45079.66667</v>
      </c>
      <c r="B357" s="1">
        <f>IFERROR(__xludf.DUMMYFUNCTION("""COMPUTED_VALUE"""),25.58)</f>
        <v>25.58</v>
      </c>
      <c r="C357" s="1">
        <f>IFERROR(__xludf.DUMMYFUNCTION("""COMPUTED_VALUE"""),25.64)</f>
        <v>25.64</v>
      </c>
      <c r="D357" s="1">
        <f>IFERROR(__xludf.DUMMYFUNCTION("""COMPUTED_VALUE"""),25.57)</f>
        <v>25.57</v>
      </c>
      <c r="E357" s="1">
        <f>IFERROR(__xludf.DUMMYFUNCTION("""COMPUTED_VALUE"""),25.64)</f>
        <v>25.64</v>
      </c>
      <c r="F357" s="1">
        <f>IFERROR(__xludf.DUMMYFUNCTION("""COMPUTED_VALUE"""),1224.0)</f>
        <v>1224</v>
      </c>
      <c r="G357" s="2" t="s">
        <v>9</v>
      </c>
    </row>
    <row r="358">
      <c r="A358" s="3">
        <f>IFERROR(__xludf.DUMMYFUNCTION("""COMPUTED_VALUE"""),45082.66666666667)</f>
        <v>45082.66667</v>
      </c>
      <c r="B358" s="1">
        <f>IFERROR(__xludf.DUMMYFUNCTION("""COMPUTED_VALUE"""),25.83)</f>
        <v>25.83</v>
      </c>
      <c r="C358" s="1">
        <f>IFERROR(__xludf.DUMMYFUNCTION("""COMPUTED_VALUE"""),25.83)</f>
        <v>25.83</v>
      </c>
      <c r="D358" s="1">
        <f>IFERROR(__xludf.DUMMYFUNCTION("""COMPUTED_VALUE"""),25.65)</f>
        <v>25.65</v>
      </c>
      <c r="E358" s="1">
        <f>IFERROR(__xludf.DUMMYFUNCTION("""COMPUTED_VALUE"""),25.67)</f>
        <v>25.67</v>
      </c>
      <c r="F358" s="1">
        <f>IFERROR(__xludf.DUMMYFUNCTION("""COMPUTED_VALUE"""),599.0)</f>
        <v>599</v>
      </c>
      <c r="G358" s="2" t="s">
        <v>9</v>
      </c>
    </row>
    <row r="359">
      <c r="A359" s="3">
        <f>IFERROR(__xludf.DUMMYFUNCTION("""COMPUTED_VALUE"""),45083.66666666667)</f>
        <v>45083.66667</v>
      </c>
      <c r="B359" s="1">
        <f>IFERROR(__xludf.DUMMYFUNCTION("""COMPUTED_VALUE"""),25.65)</f>
        <v>25.65</v>
      </c>
      <c r="C359" s="1">
        <f>IFERROR(__xludf.DUMMYFUNCTION("""COMPUTED_VALUE"""),25.99)</f>
        <v>25.99</v>
      </c>
      <c r="D359" s="1">
        <f>IFERROR(__xludf.DUMMYFUNCTION("""COMPUTED_VALUE"""),25.65)</f>
        <v>25.65</v>
      </c>
      <c r="E359" s="1">
        <f>IFERROR(__xludf.DUMMYFUNCTION("""COMPUTED_VALUE"""),25.99)</f>
        <v>25.99</v>
      </c>
      <c r="F359" s="1">
        <f>IFERROR(__xludf.DUMMYFUNCTION("""COMPUTED_VALUE"""),495.0)</f>
        <v>495</v>
      </c>
      <c r="G359" s="2" t="s">
        <v>9</v>
      </c>
    </row>
    <row r="360">
      <c r="A360" s="3">
        <f>IFERROR(__xludf.DUMMYFUNCTION("""COMPUTED_VALUE"""),45084.66666666667)</f>
        <v>45084.66667</v>
      </c>
      <c r="B360" s="1">
        <f>IFERROR(__xludf.DUMMYFUNCTION("""COMPUTED_VALUE"""),25.75)</f>
        <v>25.75</v>
      </c>
      <c r="C360" s="1">
        <f>IFERROR(__xludf.DUMMYFUNCTION("""COMPUTED_VALUE"""),25.75)</f>
        <v>25.75</v>
      </c>
      <c r="D360" s="1">
        <f>IFERROR(__xludf.DUMMYFUNCTION("""COMPUTED_VALUE"""),25.75)</f>
        <v>25.75</v>
      </c>
      <c r="E360" s="1">
        <f>IFERROR(__xludf.DUMMYFUNCTION("""COMPUTED_VALUE"""),25.75)</f>
        <v>25.75</v>
      </c>
      <c r="F360" s="1">
        <f>IFERROR(__xludf.DUMMYFUNCTION("""COMPUTED_VALUE"""),19.0)</f>
        <v>19</v>
      </c>
      <c r="G360" s="2" t="s">
        <v>9</v>
      </c>
    </row>
    <row r="361">
      <c r="A361" s="3">
        <f>IFERROR(__xludf.DUMMYFUNCTION("""COMPUTED_VALUE"""),45085.66666666667)</f>
        <v>45085.66667</v>
      </c>
      <c r="B361" s="1">
        <f>IFERROR(__xludf.DUMMYFUNCTION("""COMPUTED_VALUE"""),25.81)</f>
        <v>25.81</v>
      </c>
      <c r="C361" s="1">
        <f>IFERROR(__xludf.DUMMYFUNCTION("""COMPUTED_VALUE"""),25.85)</f>
        <v>25.85</v>
      </c>
      <c r="D361" s="1">
        <f>IFERROR(__xludf.DUMMYFUNCTION("""COMPUTED_VALUE"""),25.81)</f>
        <v>25.81</v>
      </c>
      <c r="E361" s="1">
        <f>IFERROR(__xludf.DUMMYFUNCTION("""COMPUTED_VALUE"""),25.85)</f>
        <v>25.85</v>
      </c>
      <c r="F361" s="1">
        <f>IFERROR(__xludf.DUMMYFUNCTION("""COMPUTED_VALUE"""),211.0)</f>
        <v>211</v>
      </c>
      <c r="G361" s="2" t="s">
        <v>9</v>
      </c>
    </row>
    <row r="362">
      <c r="A362" s="3">
        <f>IFERROR(__xludf.DUMMYFUNCTION("""COMPUTED_VALUE"""),45086.66666666667)</f>
        <v>45086.66667</v>
      </c>
      <c r="B362" s="1">
        <f>IFERROR(__xludf.DUMMYFUNCTION("""COMPUTED_VALUE"""),25.71)</f>
        <v>25.71</v>
      </c>
      <c r="C362" s="1">
        <f>IFERROR(__xludf.DUMMYFUNCTION("""COMPUTED_VALUE"""),25.71)</f>
        <v>25.71</v>
      </c>
      <c r="D362" s="1">
        <f>IFERROR(__xludf.DUMMYFUNCTION("""COMPUTED_VALUE"""),25.71)</f>
        <v>25.71</v>
      </c>
      <c r="E362" s="1">
        <f>IFERROR(__xludf.DUMMYFUNCTION("""COMPUTED_VALUE"""),25.71)</f>
        <v>25.71</v>
      </c>
      <c r="F362" s="1">
        <f>IFERROR(__xludf.DUMMYFUNCTION("""COMPUTED_VALUE"""),61.0)</f>
        <v>61</v>
      </c>
      <c r="G362" s="2" t="s">
        <v>9</v>
      </c>
    </row>
    <row r="363">
      <c r="A363" s="3">
        <f>IFERROR(__xludf.DUMMYFUNCTION("""COMPUTED_VALUE"""),45089.66666666667)</f>
        <v>45089.66667</v>
      </c>
      <c r="B363" s="1">
        <f>IFERROR(__xludf.DUMMYFUNCTION("""COMPUTED_VALUE"""),25.93)</f>
        <v>25.93</v>
      </c>
      <c r="C363" s="1">
        <f>IFERROR(__xludf.DUMMYFUNCTION("""COMPUTED_VALUE"""),25.93)</f>
        <v>25.93</v>
      </c>
      <c r="D363" s="1">
        <f>IFERROR(__xludf.DUMMYFUNCTION("""COMPUTED_VALUE"""),25.93)</f>
        <v>25.93</v>
      </c>
      <c r="E363" s="1">
        <f>IFERROR(__xludf.DUMMYFUNCTION("""COMPUTED_VALUE"""),25.93)</f>
        <v>25.93</v>
      </c>
      <c r="F363" s="1">
        <f>IFERROR(__xludf.DUMMYFUNCTION("""COMPUTED_VALUE"""),134.0)</f>
        <v>134</v>
      </c>
      <c r="G363" s="2" t="s">
        <v>9</v>
      </c>
    </row>
    <row r="364">
      <c r="A364" s="3">
        <f>IFERROR(__xludf.DUMMYFUNCTION("""COMPUTED_VALUE"""),45090.66666666667)</f>
        <v>45090.66667</v>
      </c>
      <c r="B364" s="1">
        <f>IFERROR(__xludf.DUMMYFUNCTION("""COMPUTED_VALUE"""),26.02)</f>
        <v>26.02</v>
      </c>
      <c r="C364" s="1">
        <f>IFERROR(__xludf.DUMMYFUNCTION("""COMPUTED_VALUE"""),26.4)</f>
        <v>26.4</v>
      </c>
      <c r="D364" s="1">
        <f>IFERROR(__xludf.DUMMYFUNCTION("""COMPUTED_VALUE"""),26.0)</f>
        <v>26</v>
      </c>
      <c r="E364" s="1">
        <f>IFERROR(__xludf.DUMMYFUNCTION("""COMPUTED_VALUE"""),26.4)</f>
        <v>26.4</v>
      </c>
      <c r="F364" s="1">
        <f>IFERROR(__xludf.DUMMYFUNCTION("""COMPUTED_VALUE"""),3210.0)</f>
        <v>3210</v>
      </c>
      <c r="G364" s="2" t="s">
        <v>9</v>
      </c>
    </row>
    <row r="365">
      <c r="A365" s="3">
        <f>IFERROR(__xludf.DUMMYFUNCTION("""COMPUTED_VALUE"""),45091.66666666667)</f>
        <v>45091.66667</v>
      </c>
      <c r="B365" s="1">
        <f>IFERROR(__xludf.DUMMYFUNCTION("""COMPUTED_VALUE"""),26.5)</f>
        <v>26.5</v>
      </c>
      <c r="C365" s="1">
        <f>IFERROR(__xludf.DUMMYFUNCTION("""COMPUTED_VALUE"""),26.5)</f>
        <v>26.5</v>
      </c>
      <c r="D365" s="1">
        <f>IFERROR(__xludf.DUMMYFUNCTION("""COMPUTED_VALUE"""),26.11)</f>
        <v>26.11</v>
      </c>
      <c r="E365" s="1">
        <f>IFERROR(__xludf.DUMMYFUNCTION("""COMPUTED_VALUE"""),26.28)</f>
        <v>26.28</v>
      </c>
      <c r="F365" s="1">
        <f>IFERROR(__xludf.DUMMYFUNCTION("""COMPUTED_VALUE"""),1327.0)</f>
        <v>1327</v>
      </c>
      <c r="G365" s="2" t="s">
        <v>9</v>
      </c>
    </row>
    <row r="366">
      <c r="A366" s="3">
        <f>IFERROR(__xludf.DUMMYFUNCTION("""COMPUTED_VALUE"""),45092.66666666667)</f>
        <v>45092.66667</v>
      </c>
      <c r="B366" s="1">
        <f>IFERROR(__xludf.DUMMYFUNCTION("""COMPUTED_VALUE"""),26.69)</f>
        <v>26.69</v>
      </c>
      <c r="C366" s="1">
        <f>IFERROR(__xludf.DUMMYFUNCTION("""COMPUTED_VALUE"""),26.69)</f>
        <v>26.69</v>
      </c>
      <c r="D366" s="1">
        <f>IFERROR(__xludf.DUMMYFUNCTION("""COMPUTED_VALUE"""),26.69)</f>
        <v>26.69</v>
      </c>
      <c r="E366" s="1">
        <f>IFERROR(__xludf.DUMMYFUNCTION("""COMPUTED_VALUE"""),26.69)</f>
        <v>26.69</v>
      </c>
      <c r="F366" s="1">
        <f>IFERROR(__xludf.DUMMYFUNCTION("""COMPUTED_VALUE"""),74.0)</f>
        <v>74</v>
      </c>
      <c r="G366" s="2" t="s">
        <v>9</v>
      </c>
    </row>
    <row r="367">
      <c r="A367" s="3">
        <f>IFERROR(__xludf.DUMMYFUNCTION("""COMPUTED_VALUE"""),45093.66666666667)</f>
        <v>45093.66667</v>
      </c>
      <c r="B367" s="1">
        <f>IFERROR(__xludf.DUMMYFUNCTION("""COMPUTED_VALUE"""),26.65)</f>
        <v>26.65</v>
      </c>
      <c r="C367" s="1">
        <f>IFERROR(__xludf.DUMMYFUNCTION("""COMPUTED_VALUE"""),26.73)</f>
        <v>26.73</v>
      </c>
      <c r="D367" s="1">
        <f>IFERROR(__xludf.DUMMYFUNCTION("""COMPUTED_VALUE"""),26.54)</f>
        <v>26.54</v>
      </c>
      <c r="E367" s="1">
        <f>IFERROR(__xludf.DUMMYFUNCTION("""COMPUTED_VALUE"""),26.54)</f>
        <v>26.54</v>
      </c>
      <c r="F367" s="1">
        <f>IFERROR(__xludf.DUMMYFUNCTION("""COMPUTED_VALUE"""),209.0)</f>
        <v>209</v>
      </c>
      <c r="G367" s="2" t="s">
        <v>9</v>
      </c>
    </row>
    <row r="368">
      <c r="A368" s="3">
        <f>IFERROR(__xludf.DUMMYFUNCTION("""COMPUTED_VALUE"""),45097.66666666667)</f>
        <v>45097.66667</v>
      </c>
      <c r="B368" s="1">
        <f>IFERROR(__xludf.DUMMYFUNCTION("""COMPUTED_VALUE"""),26.17)</f>
        <v>26.17</v>
      </c>
      <c r="C368" s="1">
        <f>IFERROR(__xludf.DUMMYFUNCTION("""COMPUTED_VALUE"""),26.4)</f>
        <v>26.4</v>
      </c>
      <c r="D368" s="1">
        <f>IFERROR(__xludf.DUMMYFUNCTION("""COMPUTED_VALUE"""),26.17)</f>
        <v>26.17</v>
      </c>
      <c r="E368" s="1">
        <f>IFERROR(__xludf.DUMMYFUNCTION("""COMPUTED_VALUE"""),26.4)</f>
        <v>26.4</v>
      </c>
      <c r="F368" s="1">
        <f>IFERROR(__xludf.DUMMYFUNCTION("""COMPUTED_VALUE"""),360.0)</f>
        <v>360</v>
      </c>
      <c r="G368" s="2" t="s">
        <v>9</v>
      </c>
    </row>
    <row r="369">
      <c r="A369" s="3">
        <f>IFERROR(__xludf.DUMMYFUNCTION("""COMPUTED_VALUE"""),45098.66666666667)</f>
        <v>45098.66667</v>
      </c>
      <c r="B369" s="1">
        <f>IFERROR(__xludf.DUMMYFUNCTION("""COMPUTED_VALUE"""),25.96)</f>
        <v>25.96</v>
      </c>
      <c r="C369" s="1">
        <f>IFERROR(__xludf.DUMMYFUNCTION("""COMPUTED_VALUE"""),25.96)</f>
        <v>25.96</v>
      </c>
      <c r="D369" s="1">
        <f>IFERROR(__xludf.DUMMYFUNCTION("""COMPUTED_VALUE"""),25.96)</f>
        <v>25.96</v>
      </c>
      <c r="E369" s="1">
        <f>IFERROR(__xludf.DUMMYFUNCTION("""COMPUTED_VALUE"""),25.96)</f>
        <v>25.96</v>
      </c>
      <c r="F369" s="1">
        <f>IFERROR(__xludf.DUMMYFUNCTION("""COMPUTED_VALUE"""),11.0)</f>
        <v>11</v>
      </c>
      <c r="G369" s="2" t="s">
        <v>9</v>
      </c>
    </row>
    <row r="370">
      <c r="A370" s="3">
        <f>IFERROR(__xludf.DUMMYFUNCTION("""COMPUTED_VALUE"""),45099.66666666667)</f>
        <v>45099.66667</v>
      </c>
      <c r="B370" s="1">
        <f>IFERROR(__xludf.DUMMYFUNCTION("""COMPUTED_VALUE"""),25.95)</f>
        <v>25.95</v>
      </c>
      <c r="C370" s="1">
        <f>IFERROR(__xludf.DUMMYFUNCTION("""COMPUTED_VALUE"""),25.95)</f>
        <v>25.95</v>
      </c>
      <c r="D370" s="1">
        <f>IFERROR(__xludf.DUMMYFUNCTION("""COMPUTED_VALUE"""),25.92)</f>
        <v>25.92</v>
      </c>
      <c r="E370" s="1">
        <f>IFERROR(__xludf.DUMMYFUNCTION("""COMPUTED_VALUE"""),25.92)</f>
        <v>25.92</v>
      </c>
      <c r="F370" s="1">
        <f>IFERROR(__xludf.DUMMYFUNCTION("""COMPUTED_VALUE"""),779.0)</f>
        <v>779</v>
      </c>
      <c r="G370" s="2" t="s">
        <v>9</v>
      </c>
    </row>
    <row r="371">
      <c r="A371" s="3">
        <f>IFERROR(__xludf.DUMMYFUNCTION("""COMPUTED_VALUE"""),45100.66666666667)</f>
        <v>45100.66667</v>
      </c>
      <c r="B371" s="1">
        <f>IFERROR(__xludf.DUMMYFUNCTION("""COMPUTED_VALUE"""),25.36)</f>
        <v>25.36</v>
      </c>
      <c r="C371" s="1">
        <f>IFERROR(__xludf.DUMMYFUNCTION("""COMPUTED_VALUE"""),25.63)</f>
        <v>25.63</v>
      </c>
      <c r="D371" s="1">
        <f>IFERROR(__xludf.DUMMYFUNCTION("""COMPUTED_VALUE"""),25.36)</f>
        <v>25.36</v>
      </c>
      <c r="E371" s="1">
        <f>IFERROR(__xludf.DUMMYFUNCTION("""COMPUTED_VALUE"""),25.63)</f>
        <v>25.63</v>
      </c>
      <c r="F371" s="1">
        <f>IFERROR(__xludf.DUMMYFUNCTION("""COMPUTED_VALUE"""),287.0)</f>
        <v>287</v>
      </c>
      <c r="G371" s="2" t="s">
        <v>9</v>
      </c>
    </row>
    <row r="372">
      <c r="A372" s="3">
        <f>IFERROR(__xludf.DUMMYFUNCTION("""COMPUTED_VALUE"""),45103.66666666667)</f>
        <v>45103.66667</v>
      </c>
      <c r="B372" s="1">
        <f>IFERROR(__xludf.DUMMYFUNCTION("""COMPUTED_VALUE"""),25.69)</f>
        <v>25.69</v>
      </c>
      <c r="C372" s="1">
        <f>IFERROR(__xludf.DUMMYFUNCTION("""COMPUTED_VALUE"""),25.69)</f>
        <v>25.69</v>
      </c>
      <c r="D372" s="1">
        <f>IFERROR(__xludf.DUMMYFUNCTION("""COMPUTED_VALUE"""),25.69)</f>
        <v>25.69</v>
      </c>
      <c r="E372" s="1">
        <f>IFERROR(__xludf.DUMMYFUNCTION("""COMPUTED_VALUE"""),25.69)</f>
        <v>25.69</v>
      </c>
      <c r="F372" s="1">
        <f>IFERROR(__xludf.DUMMYFUNCTION("""COMPUTED_VALUE"""),32.0)</f>
        <v>32</v>
      </c>
      <c r="G372" s="2" t="s">
        <v>9</v>
      </c>
    </row>
    <row r="373">
      <c r="A373" s="3">
        <f>IFERROR(__xludf.DUMMYFUNCTION("""COMPUTED_VALUE"""),45104.66666666667)</f>
        <v>45104.66667</v>
      </c>
      <c r="B373" s="1">
        <f>IFERROR(__xludf.DUMMYFUNCTION("""COMPUTED_VALUE"""),26.2)</f>
        <v>26.2</v>
      </c>
      <c r="C373" s="1">
        <f>IFERROR(__xludf.DUMMYFUNCTION("""COMPUTED_VALUE"""),26.2)</f>
        <v>26.2</v>
      </c>
      <c r="D373" s="1">
        <f>IFERROR(__xludf.DUMMYFUNCTION("""COMPUTED_VALUE"""),26.2)</f>
        <v>26.2</v>
      </c>
      <c r="E373" s="1">
        <f>IFERROR(__xludf.DUMMYFUNCTION("""COMPUTED_VALUE"""),26.2)</f>
        <v>26.2</v>
      </c>
      <c r="F373" s="1">
        <f>IFERROR(__xludf.DUMMYFUNCTION("""COMPUTED_VALUE"""),8.0)</f>
        <v>8</v>
      </c>
      <c r="G373" s="2" t="s">
        <v>9</v>
      </c>
    </row>
    <row r="374">
      <c r="A374" s="3">
        <f>IFERROR(__xludf.DUMMYFUNCTION("""COMPUTED_VALUE"""),45105.66666666667)</f>
        <v>45105.66667</v>
      </c>
      <c r="B374" s="1">
        <f>IFERROR(__xludf.DUMMYFUNCTION("""COMPUTED_VALUE"""),26.25)</f>
        <v>26.25</v>
      </c>
      <c r="C374" s="1">
        <f>IFERROR(__xludf.DUMMYFUNCTION("""COMPUTED_VALUE"""),26.4)</f>
        <v>26.4</v>
      </c>
      <c r="D374" s="1">
        <f>IFERROR(__xludf.DUMMYFUNCTION("""COMPUTED_VALUE"""),26.25)</f>
        <v>26.25</v>
      </c>
      <c r="E374" s="1">
        <f>IFERROR(__xludf.DUMMYFUNCTION("""COMPUTED_VALUE"""),26.32)</f>
        <v>26.32</v>
      </c>
      <c r="F374" s="1">
        <f>IFERROR(__xludf.DUMMYFUNCTION("""COMPUTED_VALUE"""),1696.0)</f>
        <v>1696</v>
      </c>
      <c r="G374" s="2" t="s">
        <v>9</v>
      </c>
    </row>
    <row r="375">
      <c r="A375" s="3">
        <f>IFERROR(__xludf.DUMMYFUNCTION("""COMPUTED_VALUE"""),45106.66666666667)</f>
        <v>45106.66667</v>
      </c>
      <c r="B375" s="1">
        <f>IFERROR(__xludf.DUMMYFUNCTION("""COMPUTED_VALUE"""),26.35)</f>
        <v>26.35</v>
      </c>
      <c r="C375" s="1">
        <f>IFERROR(__xludf.DUMMYFUNCTION("""COMPUTED_VALUE"""),26.45)</f>
        <v>26.45</v>
      </c>
      <c r="D375" s="1">
        <f>IFERROR(__xludf.DUMMYFUNCTION("""COMPUTED_VALUE"""),26.35)</f>
        <v>26.35</v>
      </c>
      <c r="E375" s="1">
        <f>IFERROR(__xludf.DUMMYFUNCTION("""COMPUTED_VALUE"""),26.45)</f>
        <v>26.45</v>
      </c>
      <c r="F375" s="1">
        <f>IFERROR(__xludf.DUMMYFUNCTION("""COMPUTED_VALUE"""),207.0)</f>
        <v>207</v>
      </c>
      <c r="G375" s="2" t="s">
        <v>9</v>
      </c>
    </row>
    <row r="376">
      <c r="A376" s="3">
        <f>IFERROR(__xludf.DUMMYFUNCTION("""COMPUTED_VALUE"""),45107.66666666667)</f>
        <v>45107.66667</v>
      </c>
      <c r="B376" s="1">
        <f>IFERROR(__xludf.DUMMYFUNCTION("""COMPUTED_VALUE"""),26.55)</f>
        <v>26.55</v>
      </c>
      <c r="C376" s="1">
        <f>IFERROR(__xludf.DUMMYFUNCTION("""COMPUTED_VALUE"""),26.76)</f>
        <v>26.76</v>
      </c>
      <c r="D376" s="1">
        <f>IFERROR(__xludf.DUMMYFUNCTION("""COMPUTED_VALUE"""),26.55)</f>
        <v>26.55</v>
      </c>
      <c r="E376" s="1">
        <f>IFERROR(__xludf.DUMMYFUNCTION("""COMPUTED_VALUE"""),26.73)</f>
        <v>26.73</v>
      </c>
      <c r="F376" s="1">
        <f>IFERROR(__xludf.DUMMYFUNCTION("""COMPUTED_VALUE"""),1803.0)</f>
        <v>1803</v>
      </c>
      <c r="G376" s="2" t="s">
        <v>9</v>
      </c>
    </row>
    <row r="377">
      <c r="A377" s="3">
        <f>IFERROR(__xludf.DUMMYFUNCTION("""COMPUTED_VALUE"""),45110.5)</f>
        <v>45110.5</v>
      </c>
      <c r="B377" s="1">
        <f>IFERROR(__xludf.DUMMYFUNCTION("""COMPUTED_VALUE"""),26.7)</f>
        <v>26.7</v>
      </c>
      <c r="C377" s="1">
        <f>IFERROR(__xludf.DUMMYFUNCTION("""COMPUTED_VALUE"""),27.02)</f>
        <v>27.02</v>
      </c>
      <c r="D377" s="1">
        <f>IFERROR(__xludf.DUMMYFUNCTION("""COMPUTED_VALUE"""),26.7)</f>
        <v>26.7</v>
      </c>
      <c r="E377" s="1">
        <f>IFERROR(__xludf.DUMMYFUNCTION("""COMPUTED_VALUE"""),27.02)</f>
        <v>27.02</v>
      </c>
      <c r="F377" s="1">
        <f>IFERROR(__xludf.DUMMYFUNCTION("""COMPUTED_VALUE"""),377.0)</f>
        <v>377</v>
      </c>
      <c r="G377" s="2" t="s">
        <v>9</v>
      </c>
    </row>
    <row r="378">
      <c r="A378" s="3">
        <f>IFERROR(__xludf.DUMMYFUNCTION("""COMPUTED_VALUE"""),45112.66666666667)</f>
        <v>45112.66667</v>
      </c>
      <c r="B378" s="1">
        <f>IFERROR(__xludf.DUMMYFUNCTION("""COMPUTED_VALUE"""),26.91)</f>
        <v>26.91</v>
      </c>
      <c r="C378" s="1">
        <f>IFERROR(__xludf.DUMMYFUNCTION("""COMPUTED_VALUE"""),26.97)</f>
        <v>26.97</v>
      </c>
      <c r="D378" s="1">
        <f>IFERROR(__xludf.DUMMYFUNCTION("""COMPUTED_VALUE"""),26.91)</f>
        <v>26.91</v>
      </c>
      <c r="E378" s="1">
        <f>IFERROR(__xludf.DUMMYFUNCTION("""COMPUTED_VALUE"""),26.97)</f>
        <v>26.97</v>
      </c>
      <c r="F378" s="1">
        <f>IFERROR(__xludf.DUMMYFUNCTION("""COMPUTED_VALUE"""),729.0)</f>
        <v>729</v>
      </c>
      <c r="G378" s="2" t="s">
        <v>9</v>
      </c>
    </row>
    <row r="379">
      <c r="A379" s="3">
        <f>IFERROR(__xludf.DUMMYFUNCTION("""COMPUTED_VALUE"""),45113.66666666667)</f>
        <v>45113.66667</v>
      </c>
      <c r="B379" s="1">
        <f>IFERROR(__xludf.DUMMYFUNCTION("""COMPUTED_VALUE"""),26.47)</f>
        <v>26.47</v>
      </c>
      <c r="C379" s="1">
        <f>IFERROR(__xludf.DUMMYFUNCTION("""COMPUTED_VALUE"""),26.5)</f>
        <v>26.5</v>
      </c>
      <c r="D379" s="1">
        <f>IFERROR(__xludf.DUMMYFUNCTION("""COMPUTED_VALUE"""),26.44)</f>
        <v>26.44</v>
      </c>
      <c r="E379" s="1">
        <f>IFERROR(__xludf.DUMMYFUNCTION("""COMPUTED_VALUE"""),26.5)</f>
        <v>26.5</v>
      </c>
      <c r="F379" s="1">
        <f>IFERROR(__xludf.DUMMYFUNCTION("""COMPUTED_VALUE"""),3974.0)</f>
        <v>3974</v>
      </c>
      <c r="G379" s="2" t="s">
        <v>9</v>
      </c>
    </row>
    <row r="380">
      <c r="A380" s="3">
        <f>IFERROR(__xludf.DUMMYFUNCTION("""COMPUTED_VALUE"""),45114.66666666667)</f>
        <v>45114.66667</v>
      </c>
      <c r="B380" s="1">
        <f>IFERROR(__xludf.DUMMYFUNCTION("""COMPUTED_VALUE"""),26.73)</f>
        <v>26.73</v>
      </c>
      <c r="C380" s="1">
        <f>IFERROR(__xludf.DUMMYFUNCTION("""COMPUTED_VALUE"""),26.73)</f>
        <v>26.73</v>
      </c>
      <c r="D380" s="1">
        <f>IFERROR(__xludf.DUMMYFUNCTION("""COMPUTED_VALUE"""),26.73)</f>
        <v>26.73</v>
      </c>
      <c r="E380" s="1">
        <f>IFERROR(__xludf.DUMMYFUNCTION("""COMPUTED_VALUE"""),26.73)</f>
        <v>26.73</v>
      </c>
      <c r="F380" s="1">
        <f>IFERROR(__xludf.DUMMYFUNCTION("""COMPUTED_VALUE"""),321.0)</f>
        <v>321</v>
      </c>
      <c r="G380" s="2" t="s">
        <v>9</v>
      </c>
    </row>
    <row r="381">
      <c r="A381" s="3">
        <f>IFERROR(__xludf.DUMMYFUNCTION("""COMPUTED_VALUE"""),45117.66666666667)</f>
        <v>45117.66667</v>
      </c>
      <c r="B381" s="1">
        <f>IFERROR(__xludf.DUMMYFUNCTION("""COMPUTED_VALUE"""),27.11)</f>
        <v>27.11</v>
      </c>
      <c r="C381" s="1">
        <f>IFERROR(__xludf.DUMMYFUNCTION("""COMPUTED_VALUE"""),27.22)</f>
        <v>27.22</v>
      </c>
      <c r="D381" s="1">
        <f>IFERROR(__xludf.DUMMYFUNCTION("""COMPUTED_VALUE"""),27.08)</f>
        <v>27.08</v>
      </c>
      <c r="E381" s="1">
        <f>IFERROR(__xludf.DUMMYFUNCTION("""COMPUTED_VALUE"""),27.22)</f>
        <v>27.22</v>
      </c>
      <c r="F381" s="1">
        <f>IFERROR(__xludf.DUMMYFUNCTION("""COMPUTED_VALUE"""),6919.0)</f>
        <v>6919</v>
      </c>
      <c r="G381" s="2" t="s">
        <v>9</v>
      </c>
    </row>
    <row r="382">
      <c r="A382" s="3">
        <f>IFERROR(__xludf.DUMMYFUNCTION("""COMPUTED_VALUE"""),45118.66666666667)</f>
        <v>45118.66667</v>
      </c>
      <c r="B382" s="1">
        <f>IFERROR(__xludf.DUMMYFUNCTION("""COMPUTED_VALUE"""),27.67)</f>
        <v>27.67</v>
      </c>
      <c r="C382" s="1">
        <f>IFERROR(__xludf.DUMMYFUNCTION("""COMPUTED_VALUE"""),27.74)</f>
        <v>27.74</v>
      </c>
      <c r="D382" s="1">
        <f>IFERROR(__xludf.DUMMYFUNCTION("""COMPUTED_VALUE"""),27.67)</f>
        <v>27.67</v>
      </c>
      <c r="E382" s="1">
        <f>IFERROR(__xludf.DUMMYFUNCTION("""COMPUTED_VALUE"""),27.74)</f>
        <v>27.74</v>
      </c>
      <c r="F382" s="1">
        <f>IFERROR(__xludf.DUMMYFUNCTION("""COMPUTED_VALUE"""),1931.0)</f>
        <v>1931</v>
      </c>
      <c r="G382" s="2" t="s">
        <v>9</v>
      </c>
    </row>
    <row r="383">
      <c r="A383" s="3">
        <f>IFERROR(__xludf.DUMMYFUNCTION("""COMPUTED_VALUE"""),45119.66666666667)</f>
        <v>45119.66667</v>
      </c>
      <c r="B383" s="1">
        <f>IFERROR(__xludf.DUMMYFUNCTION("""COMPUTED_VALUE"""),27.94)</f>
        <v>27.94</v>
      </c>
      <c r="C383" s="1">
        <f>IFERROR(__xludf.DUMMYFUNCTION("""COMPUTED_VALUE"""),27.94)</f>
        <v>27.94</v>
      </c>
      <c r="D383" s="1">
        <f>IFERROR(__xludf.DUMMYFUNCTION("""COMPUTED_VALUE"""),27.89)</f>
        <v>27.89</v>
      </c>
      <c r="E383" s="1">
        <f>IFERROR(__xludf.DUMMYFUNCTION("""COMPUTED_VALUE"""),27.89)</f>
        <v>27.89</v>
      </c>
      <c r="F383" s="1">
        <f>IFERROR(__xludf.DUMMYFUNCTION("""COMPUTED_VALUE"""),473.0)</f>
        <v>473</v>
      </c>
      <c r="G383" s="2" t="s">
        <v>9</v>
      </c>
    </row>
    <row r="384">
      <c r="A384" s="3">
        <f>IFERROR(__xludf.DUMMYFUNCTION("""COMPUTED_VALUE"""),45120.66666666667)</f>
        <v>45120.66667</v>
      </c>
      <c r="B384" s="1">
        <f>IFERROR(__xludf.DUMMYFUNCTION("""COMPUTED_VALUE"""),27.92)</f>
        <v>27.92</v>
      </c>
      <c r="C384" s="1">
        <f>IFERROR(__xludf.DUMMYFUNCTION("""COMPUTED_VALUE"""),28.47)</f>
        <v>28.47</v>
      </c>
      <c r="D384" s="1">
        <f>IFERROR(__xludf.DUMMYFUNCTION("""COMPUTED_VALUE"""),27.92)</f>
        <v>27.92</v>
      </c>
      <c r="E384" s="1">
        <f>IFERROR(__xludf.DUMMYFUNCTION("""COMPUTED_VALUE"""),28.47)</f>
        <v>28.47</v>
      </c>
      <c r="F384" s="1">
        <f>IFERROR(__xludf.DUMMYFUNCTION("""COMPUTED_VALUE"""),2337.0)</f>
        <v>2337</v>
      </c>
      <c r="G384" s="2" t="s">
        <v>9</v>
      </c>
    </row>
    <row r="385">
      <c r="A385" s="3">
        <f>IFERROR(__xludf.DUMMYFUNCTION("""COMPUTED_VALUE"""),45121.66666666667)</f>
        <v>45121.66667</v>
      </c>
      <c r="B385" s="1">
        <f>IFERROR(__xludf.DUMMYFUNCTION("""COMPUTED_VALUE"""),28.49)</f>
        <v>28.49</v>
      </c>
      <c r="C385" s="1">
        <f>IFERROR(__xludf.DUMMYFUNCTION("""COMPUTED_VALUE"""),28.49)</f>
        <v>28.49</v>
      </c>
      <c r="D385" s="1">
        <f>IFERROR(__xludf.DUMMYFUNCTION("""COMPUTED_VALUE"""),28.09)</f>
        <v>28.09</v>
      </c>
      <c r="E385" s="1">
        <f>IFERROR(__xludf.DUMMYFUNCTION("""COMPUTED_VALUE"""),28.16)</f>
        <v>28.16</v>
      </c>
      <c r="F385" s="1">
        <f>IFERROR(__xludf.DUMMYFUNCTION("""COMPUTED_VALUE"""),659.0)</f>
        <v>659</v>
      </c>
      <c r="G385" s="2" t="s">
        <v>9</v>
      </c>
    </row>
    <row r="386">
      <c r="A386" s="3">
        <f>IFERROR(__xludf.DUMMYFUNCTION("""COMPUTED_VALUE"""),45124.66666666667)</f>
        <v>45124.66667</v>
      </c>
      <c r="B386" s="1">
        <f>IFERROR(__xludf.DUMMYFUNCTION("""COMPUTED_VALUE"""),28.51)</f>
        <v>28.51</v>
      </c>
      <c r="C386" s="1">
        <f>IFERROR(__xludf.DUMMYFUNCTION("""COMPUTED_VALUE"""),28.51)</f>
        <v>28.51</v>
      </c>
      <c r="D386" s="1">
        <f>IFERROR(__xludf.DUMMYFUNCTION("""COMPUTED_VALUE"""),28.51)</f>
        <v>28.51</v>
      </c>
      <c r="E386" s="1">
        <f>IFERROR(__xludf.DUMMYFUNCTION("""COMPUTED_VALUE"""),28.51)</f>
        <v>28.51</v>
      </c>
      <c r="F386" s="1">
        <f>IFERROR(__xludf.DUMMYFUNCTION("""COMPUTED_VALUE"""),115.0)</f>
        <v>115</v>
      </c>
      <c r="G386" s="2" t="s">
        <v>9</v>
      </c>
    </row>
    <row r="387">
      <c r="A387" s="3">
        <f>IFERROR(__xludf.DUMMYFUNCTION("""COMPUTED_VALUE"""),45125.66666666667)</f>
        <v>45125.66667</v>
      </c>
      <c r="B387" s="1">
        <f>IFERROR(__xludf.DUMMYFUNCTION("""COMPUTED_VALUE"""),28.49)</f>
        <v>28.49</v>
      </c>
      <c r="C387" s="1">
        <f>IFERROR(__xludf.DUMMYFUNCTION("""COMPUTED_VALUE"""),28.76)</f>
        <v>28.76</v>
      </c>
      <c r="D387" s="1">
        <f>IFERROR(__xludf.DUMMYFUNCTION("""COMPUTED_VALUE"""),28.49)</f>
        <v>28.49</v>
      </c>
      <c r="E387" s="1">
        <f>IFERROR(__xludf.DUMMYFUNCTION("""COMPUTED_VALUE"""),28.76)</f>
        <v>28.76</v>
      </c>
      <c r="F387" s="1">
        <f>IFERROR(__xludf.DUMMYFUNCTION("""COMPUTED_VALUE"""),2049.0)</f>
        <v>2049</v>
      </c>
      <c r="G387" s="2" t="s">
        <v>9</v>
      </c>
    </row>
    <row r="388">
      <c r="A388" s="3">
        <f>IFERROR(__xludf.DUMMYFUNCTION("""COMPUTED_VALUE"""),45126.66666666667)</f>
        <v>45126.66667</v>
      </c>
      <c r="B388" s="1">
        <f>IFERROR(__xludf.DUMMYFUNCTION("""COMPUTED_VALUE"""),28.89)</f>
        <v>28.89</v>
      </c>
      <c r="C388" s="1">
        <f>IFERROR(__xludf.DUMMYFUNCTION("""COMPUTED_VALUE"""),28.91)</f>
        <v>28.91</v>
      </c>
      <c r="D388" s="1">
        <f>IFERROR(__xludf.DUMMYFUNCTION("""COMPUTED_VALUE"""),28.89)</f>
        <v>28.89</v>
      </c>
      <c r="E388" s="1">
        <f>IFERROR(__xludf.DUMMYFUNCTION("""COMPUTED_VALUE"""),28.91)</f>
        <v>28.91</v>
      </c>
      <c r="F388" s="1">
        <f>IFERROR(__xludf.DUMMYFUNCTION("""COMPUTED_VALUE"""),429.0)</f>
        <v>429</v>
      </c>
      <c r="G388" s="2" t="s">
        <v>9</v>
      </c>
    </row>
    <row r="389">
      <c r="A389" s="3">
        <f>IFERROR(__xludf.DUMMYFUNCTION("""COMPUTED_VALUE"""),45127.66666666667)</f>
        <v>45127.66667</v>
      </c>
      <c r="B389" s="1">
        <f>IFERROR(__xludf.DUMMYFUNCTION("""COMPUTED_VALUE"""),28.3)</f>
        <v>28.3</v>
      </c>
      <c r="C389" s="1">
        <f>IFERROR(__xludf.DUMMYFUNCTION("""COMPUTED_VALUE"""),28.3)</f>
        <v>28.3</v>
      </c>
      <c r="D389" s="1">
        <f>IFERROR(__xludf.DUMMYFUNCTION("""COMPUTED_VALUE"""),28.3)</f>
        <v>28.3</v>
      </c>
      <c r="E389" s="1">
        <f>IFERROR(__xludf.DUMMYFUNCTION("""COMPUTED_VALUE"""),28.3)</f>
        <v>28.3</v>
      </c>
      <c r="F389" s="1">
        <f>IFERROR(__xludf.DUMMYFUNCTION("""COMPUTED_VALUE"""),39.0)</f>
        <v>39</v>
      </c>
      <c r="G389" s="2" t="s">
        <v>9</v>
      </c>
    </row>
    <row r="390">
      <c r="A390" s="3">
        <f>IFERROR(__xludf.DUMMYFUNCTION("""COMPUTED_VALUE"""),45128.66666666667)</f>
        <v>45128.66667</v>
      </c>
      <c r="B390" s="1">
        <f>IFERROR(__xludf.DUMMYFUNCTION("""COMPUTED_VALUE"""),28.32)</f>
        <v>28.32</v>
      </c>
      <c r="C390" s="1">
        <f>IFERROR(__xludf.DUMMYFUNCTION("""COMPUTED_VALUE"""),28.34)</f>
        <v>28.34</v>
      </c>
      <c r="D390" s="1">
        <f>IFERROR(__xludf.DUMMYFUNCTION("""COMPUTED_VALUE"""),28.21)</f>
        <v>28.21</v>
      </c>
      <c r="E390" s="1">
        <f>IFERROR(__xludf.DUMMYFUNCTION("""COMPUTED_VALUE"""),28.21)</f>
        <v>28.21</v>
      </c>
      <c r="F390" s="1">
        <f>IFERROR(__xludf.DUMMYFUNCTION("""COMPUTED_VALUE"""),1079.0)</f>
        <v>1079</v>
      </c>
      <c r="G390" s="2" t="s">
        <v>9</v>
      </c>
    </row>
    <row r="391">
      <c r="A391" s="3">
        <f>IFERROR(__xludf.DUMMYFUNCTION("""COMPUTED_VALUE"""),45131.66666666667)</f>
        <v>45131.66667</v>
      </c>
      <c r="B391" s="1">
        <f>IFERROR(__xludf.DUMMYFUNCTION("""COMPUTED_VALUE"""),28.13)</f>
        <v>28.13</v>
      </c>
      <c r="C391" s="1">
        <f>IFERROR(__xludf.DUMMYFUNCTION("""COMPUTED_VALUE"""),28.13)</f>
        <v>28.13</v>
      </c>
      <c r="D391" s="1">
        <f>IFERROR(__xludf.DUMMYFUNCTION("""COMPUTED_VALUE"""),28.13)</f>
        <v>28.13</v>
      </c>
      <c r="E391" s="1">
        <f>IFERROR(__xludf.DUMMYFUNCTION("""COMPUTED_VALUE"""),28.13)</f>
        <v>28.13</v>
      </c>
      <c r="F391" s="1">
        <f>IFERROR(__xludf.DUMMYFUNCTION("""COMPUTED_VALUE"""),53.0)</f>
        <v>53</v>
      </c>
      <c r="G391" s="2" t="s">
        <v>9</v>
      </c>
    </row>
    <row r="392">
      <c r="A392" s="3">
        <f>IFERROR(__xludf.DUMMYFUNCTION("""COMPUTED_VALUE"""),45132.66666666667)</f>
        <v>45132.66667</v>
      </c>
      <c r="B392" s="1">
        <f>IFERROR(__xludf.DUMMYFUNCTION("""COMPUTED_VALUE"""),28.22)</f>
        <v>28.22</v>
      </c>
      <c r="C392" s="1">
        <f>IFERROR(__xludf.DUMMYFUNCTION("""COMPUTED_VALUE"""),28.22)</f>
        <v>28.22</v>
      </c>
      <c r="D392" s="1">
        <f>IFERROR(__xludf.DUMMYFUNCTION("""COMPUTED_VALUE"""),28.16)</f>
        <v>28.16</v>
      </c>
      <c r="E392" s="1">
        <f>IFERROR(__xludf.DUMMYFUNCTION("""COMPUTED_VALUE"""),28.16)</f>
        <v>28.16</v>
      </c>
      <c r="F392" s="1">
        <f>IFERROR(__xludf.DUMMYFUNCTION("""COMPUTED_VALUE"""),135.0)</f>
        <v>135</v>
      </c>
      <c r="G392" s="2" t="s">
        <v>9</v>
      </c>
    </row>
    <row r="393">
      <c r="A393" s="3">
        <f>IFERROR(__xludf.DUMMYFUNCTION("""COMPUTED_VALUE"""),45133.66666666667)</f>
        <v>45133.66667</v>
      </c>
      <c r="B393" s="1">
        <f>IFERROR(__xludf.DUMMYFUNCTION("""COMPUTED_VALUE"""),28.06)</f>
        <v>28.06</v>
      </c>
      <c r="C393" s="1">
        <f>IFERROR(__xludf.DUMMYFUNCTION("""COMPUTED_VALUE"""),28.15)</f>
        <v>28.15</v>
      </c>
      <c r="D393" s="1">
        <f>IFERROR(__xludf.DUMMYFUNCTION("""COMPUTED_VALUE"""),28.04)</f>
        <v>28.04</v>
      </c>
      <c r="E393" s="1">
        <f>IFERROR(__xludf.DUMMYFUNCTION("""COMPUTED_VALUE"""),28.15)</f>
        <v>28.15</v>
      </c>
      <c r="F393" s="1">
        <f>IFERROR(__xludf.DUMMYFUNCTION("""COMPUTED_VALUE"""),7014.0)</f>
        <v>7014</v>
      </c>
      <c r="G393" s="2" t="s">
        <v>9</v>
      </c>
    </row>
    <row r="394">
      <c r="A394" s="3">
        <f>IFERROR(__xludf.DUMMYFUNCTION("""COMPUTED_VALUE"""),45134.66666666667)</f>
        <v>45134.66667</v>
      </c>
      <c r="B394" s="1">
        <f>IFERROR(__xludf.DUMMYFUNCTION("""COMPUTED_VALUE"""),27.8)</f>
        <v>27.8</v>
      </c>
      <c r="C394" s="1">
        <f>IFERROR(__xludf.DUMMYFUNCTION("""COMPUTED_VALUE"""),27.8)</f>
        <v>27.8</v>
      </c>
      <c r="D394" s="1">
        <f>IFERROR(__xludf.DUMMYFUNCTION("""COMPUTED_VALUE"""),27.8)</f>
        <v>27.8</v>
      </c>
      <c r="E394" s="1">
        <f>IFERROR(__xludf.DUMMYFUNCTION("""COMPUTED_VALUE"""),27.8)</f>
        <v>27.8</v>
      </c>
      <c r="F394" s="1">
        <f>IFERROR(__xludf.DUMMYFUNCTION("""COMPUTED_VALUE"""),210.0)</f>
        <v>210</v>
      </c>
      <c r="G394" s="2" t="s">
        <v>9</v>
      </c>
    </row>
    <row r="395">
      <c r="A395" s="3">
        <f>IFERROR(__xludf.DUMMYFUNCTION("""COMPUTED_VALUE"""),45135.66666666667)</f>
        <v>45135.66667</v>
      </c>
      <c r="B395" s="1">
        <f>IFERROR(__xludf.DUMMYFUNCTION("""COMPUTED_VALUE"""),28.53)</f>
        <v>28.53</v>
      </c>
      <c r="C395" s="1">
        <f>IFERROR(__xludf.DUMMYFUNCTION("""COMPUTED_VALUE"""),28.53)</f>
        <v>28.53</v>
      </c>
      <c r="D395" s="1">
        <f>IFERROR(__xludf.DUMMYFUNCTION("""COMPUTED_VALUE"""),28.52)</f>
        <v>28.52</v>
      </c>
      <c r="E395" s="1">
        <f>IFERROR(__xludf.DUMMYFUNCTION("""COMPUTED_VALUE"""),28.52)</f>
        <v>28.52</v>
      </c>
      <c r="F395" s="1">
        <f>IFERROR(__xludf.DUMMYFUNCTION("""COMPUTED_VALUE"""),187.0)</f>
        <v>187</v>
      </c>
      <c r="G395" s="2" t="s">
        <v>9</v>
      </c>
    </row>
  </sheetData>
  <drawing r:id="rId1"/>
</worksheet>
</file>