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ob.sharepoint.com/teams/grp-202122EngineeringPractice/Shared Documents/Summative - Convertible Roof/Modelling/"/>
    </mc:Choice>
  </mc:AlternateContent>
  <xr:revisionPtr revIDLastSave="66" documentId="8_{4CAF5781-0DF4-47E9-86B7-796595DDACFD}" xr6:coauthVersionLast="47" xr6:coauthVersionMax="47" xr10:uidLastSave="{C811BD07-7E7D-426B-91EE-18A4FD578CEF}"/>
  <bookViews>
    <workbookView xWindow="-120" yWindow="330" windowWidth="29040" windowHeight="15990" xr2:uid="{86FF942B-EF6D-416A-9842-9428EE95C2F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9" i="1" l="1"/>
  <c r="E41" i="1"/>
  <c r="D41" i="1"/>
  <c r="E40" i="1"/>
  <c r="I36" i="1" s="1"/>
  <c r="L36" i="1" s="1"/>
  <c r="D40" i="1"/>
  <c r="E39" i="1"/>
  <c r="I40" i="1" s="1"/>
  <c r="L40" i="1" s="1"/>
  <c r="D39" i="1"/>
  <c r="F54" i="1" s="1"/>
  <c r="H54" i="1" s="1"/>
  <c r="E38" i="1"/>
  <c r="G51" i="1" s="1"/>
  <c r="I51" i="1" s="1"/>
  <c r="D38" i="1"/>
  <c r="F51" i="1" s="1"/>
  <c r="H51" i="1" s="1"/>
  <c r="E37" i="1"/>
  <c r="D37" i="1"/>
  <c r="E36" i="1"/>
  <c r="D36" i="1"/>
  <c r="E35" i="1"/>
  <c r="D35" i="1"/>
  <c r="F48" i="1" s="1"/>
  <c r="H48" i="1" s="1"/>
  <c r="J48" i="1" s="1"/>
  <c r="F49" i="1"/>
  <c r="H49" i="1" s="1"/>
  <c r="G47" i="1"/>
  <c r="I47" i="1" s="1"/>
  <c r="F47" i="1"/>
  <c r="H47" i="1" s="1"/>
  <c r="H38" i="1"/>
  <c r="K38" i="1" s="1"/>
  <c r="I37" i="1"/>
  <c r="L37" i="1" s="1"/>
  <c r="H37" i="1"/>
  <c r="K37" i="1" s="1"/>
  <c r="H36" i="1"/>
  <c r="K36" i="1" s="1"/>
  <c r="F50" i="1"/>
  <c r="H50" i="1" s="1"/>
  <c r="J50" i="1" s="1"/>
  <c r="I35" i="1"/>
  <c r="L35" i="1" s="1"/>
  <c r="H35" i="1"/>
  <c r="K35" i="1" s="1"/>
  <c r="G48" i="1"/>
  <c r="I48" i="1" s="1"/>
  <c r="I34" i="1"/>
  <c r="L34" i="1" s="1"/>
  <c r="H34" i="1"/>
  <c r="K34" i="1" s="1"/>
  <c r="E13" i="1"/>
  <c r="D13" i="1"/>
  <c r="E12" i="1"/>
  <c r="D12" i="1"/>
  <c r="D11" i="1"/>
  <c r="E10" i="1"/>
  <c r="D10" i="1"/>
  <c r="E9" i="1"/>
  <c r="D9" i="1"/>
  <c r="E8" i="1"/>
  <c r="D8" i="1"/>
  <c r="E7" i="1"/>
  <c r="D7" i="1"/>
  <c r="E11" i="1"/>
  <c r="I41" i="1" l="1"/>
  <c r="L41" i="1" s="1"/>
  <c r="G49" i="1"/>
  <c r="I49" i="1" s="1"/>
  <c r="K49" i="1" s="1"/>
  <c r="I39" i="1"/>
  <c r="L39" i="1" s="1"/>
  <c r="G54" i="1"/>
  <c r="I54" i="1" s="1"/>
  <c r="G53" i="1"/>
  <c r="I53" i="1" s="1"/>
  <c r="K53" i="1" s="1"/>
  <c r="J41" i="1"/>
  <c r="M41" i="1" s="1"/>
  <c r="H41" i="1"/>
  <c r="K41" i="1" s="1"/>
  <c r="J54" i="1" s="1"/>
  <c r="H40" i="1"/>
  <c r="K40" i="1" s="1"/>
  <c r="F53" i="1"/>
  <c r="H53" i="1" s="1"/>
  <c r="J53" i="1" s="1"/>
  <c r="J39" i="1"/>
  <c r="M39" i="1" s="1"/>
  <c r="I38" i="1"/>
  <c r="L38" i="1" s="1"/>
  <c r="K51" i="1" s="1"/>
  <c r="H39" i="1"/>
  <c r="K39" i="1" s="1"/>
  <c r="G50" i="1"/>
  <c r="I50" i="1" s="1"/>
  <c r="K50" i="1" s="1"/>
  <c r="J34" i="1"/>
  <c r="M34" i="1" s="1"/>
  <c r="K47" i="1"/>
  <c r="K48" i="1"/>
  <c r="J47" i="1"/>
  <c r="J51" i="1"/>
  <c r="J49" i="1"/>
  <c r="J35" i="1"/>
  <c r="M35" i="1" s="1"/>
  <c r="J36" i="1"/>
  <c r="M36" i="1" s="1"/>
  <c r="J37" i="1"/>
  <c r="M37" i="1" s="1"/>
  <c r="J38" i="1"/>
  <c r="M38" i="1" s="1"/>
  <c r="J40" i="1"/>
  <c r="M40" i="1" s="1"/>
  <c r="F52" i="1"/>
  <c r="H52" i="1" s="1"/>
  <c r="G52" i="1"/>
  <c r="I52" i="1" s="1"/>
  <c r="F19" i="1"/>
  <c r="H19" i="1" s="1"/>
  <c r="H6" i="1"/>
  <c r="K6" i="1" s="1"/>
  <c r="K54" i="1" l="1"/>
  <c r="F57" i="1" s="1"/>
  <c r="G57" i="1" s="1"/>
  <c r="K52" i="1"/>
  <c r="J52" i="1"/>
  <c r="F56" i="1"/>
  <c r="G56" i="1" s="1"/>
  <c r="H56" i="1" s="1"/>
  <c r="G25" i="1"/>
  <c r="I25" i="1" s="1"/>
  <c r="H13" i="1"/>
  <c r="K13" i="1" s="1"/>
  <c r="I12" i="1"/>
  <c r="L12" i="1" s="1"/>
  <c r="I13" i="1"/>
  <c r="L13" i="1" s="1"/>
  <c r="G26" i="1"/>
  <c r="I26" i="1" s="1"/>
  <c r="K26" i="1" s="1"/>
  <c r="I11" i="1"/>
  <c r="L11" i="1" s="1"/>
  <c r="F26" i="1"/>
  <c r="H26" i="1" s="1"/>
  <c r="F25" i="1"/>
  <c r="H25" i="1" s="1"/>
  <c r="J13" i="1"/>
  <c r="M13" i="1" s="1"/>
  <c r="H11" i="1"/>
  <c r="K11" i="1" s="1"/>
  <c r="J12" i="1"/>
  <c r="M12" i="1" s="1"/>
  <c r="H12" i="1"/>
  <c r="K12" i="1" s="1"/>
  <c r="G24" i="1"/>
  <c r="I24" i="1" s="1"/>
  <c r="F24" i="1"/>
  <c r="H24" i="1" s="1"/>
  <c r="J11" i="1"/>
  <c r="M11" i="1" s="1"/>
  <c r="H10" i="1"/>
  <c r="K10" i="1" s="1"/>
  <c r="I9" i="1"/>
  <c r="L9" i="1" s="1"/>
  <c r="G23" i="1"/>
  <c r="I23" i="1" s="1"/>
  <c r="G21" i="1"/>
  <c r="I21" i="1" s="1"/>
  <c r="I8" i="1"/>
  <c r="L8" i="1" s="1"/>
  <c r="G22" i="1"/>
  <c r="I22" i="1" s="1"/>
  <c r="G20" i="1"/>
  <c r="I20" i="1" s="1"/>
  <c r="J10" i="1"/>
  <c r="M10" i="1" s="1"/>
  <c r="J9" i="1"/>
  <c r="M9" i="1" s="1"/>
  <c r="I10" i="1"/>
  <c r="L10" i="1" s="1"/>
  <c r="H8" i="1"/>
  <c r="K8" i="1" s="1"/>
  <c r="J8" i="1"/>
  <c r="M8" i="1" s="1"/>
  <c r="F21" i="1"/>
  <c r="H21" i="1" s="1"/>
  <c r="F22" i="1"/>
  <c r="H22" i="1" s="1"/>
  <c r="F23" i="1"/>
  <c r="H23" i="1" s="1"/>
  <c r="F20" i="1"/>
  <c r="H20" i="1" s="1"/>
  <c r="H9" i="1"/>
  <c r="K9" i="1" s="1"/>
  <c r="J7" i="1"/>
  <c r="M7" i="1" s="1"/>
  <c r="I7" i="1"/>
  <c r="L7" i="1" s="1"/>
  <c r="J6" i="1"/>
  <c r="M6" i="1" s="1"/>
  <c r="I6" i="1"/>
  <c r="L6" i="1" s="1"/>
  <c r="G19" i="1"/>
  <c r="I19" i="1" s="1"/>
  <c r="H7" i="1"/>
  <c r="K7" i="1" s="1"/>
  <c r="K20" i="1" l="1"/>
  <c r="J23" i="1"/>
  <c r="K23" i="1"/>
  <c r="J24" i="1"/>
  <c r="K24" i="1"/>
  <c r="K25" i="1"/>
  <c r="J25" i="1"/>
  <c r="J26" i="1"/>
  <c r="K22" i="1"/>
  <c r="J22" i="1"/>
  <c r="K21" i="1"/>
  <c r="J20" i="1"/>
  <c r="J21" i="1"/>
  <c r="K19" i="1"/>
  <c r="F29" i="1" l="1"/>
  <c r="G29" i="1" s="1"/>
  <c r="F28" i="1"/>
  <c r="G28" i="1" s="1"/>
  <c r="H28" i="1" s="1"/>
</calcChain>
</file>

<file path=xl/sharedStrings.xml><?xml version="1.0" encoding="utf-8"?>
<sst xmlns="http://schemas.openxmlformats.org/spreadsheetml/2006/main" count="94" uniqueCount="40">
  <si>
    <t>Joint</t>
  </si>
  <si>
    <t>x_pos</t>
  </si>
  <si>
    <t>y_pos</t>
  </si>
  <si>
    <t>A</t>
  </si>
  <si>
    <t>B</t>
  </si>
  <si>
    <t>C</t>
  </si>
  <si>
    <t>E</t>
  </si>
  <si>
    <t>F</t>
  </si>
  <si>
    <t>G</t>
  </si>
  <si>
    <t>H</t>
  </si>
  <si>
    <t>I</t>
  </si>
  <si>
    <t>Member</t>
  </si>
  <si>
    <t>AB</t>
  </si>
  <si>
    <t>FG</t>
  </si>
  <si>
    <t>GI</t>
  </si>
  <si>
    <t>GH</t>
  </si>
  <si>
    <t>EC</t>
  </si>
  <si>
    <t>CF</t>
  </si>
  <si>
    <t>Length [mm]</t>
  </si>
  <si>
    <t>x_Length [u]</t>
  </si>
  <si>
    <t>y_Length [u]</t>
  </si>
  <si>
    <t>Length [u]</t>
  </si>
  <si>
    <t>linkage unit scale [u]</t>
  </si>
  <si>
    <t>x_Length [mm]</t>
  </si>
  <si>
    <t>y_Length [mm]</t>
  </si>
  <si>
    <t>Centre of Mass</t>
  </si>
  <si>
    <t>x_mid</t>
  </si>
  <si>
    <t>y_mid</t>
  </si>
  <si>
    <t xml:space="preserve">Assume constant density </t>
  </si>
  <si>
    <t>x_com</t>
  </si>
  <si>
    <t>y_com</t>
  </si>
  <si>
    <t>x_mid*length</t>
  </si>
  <si>
    <t>y_mid*length</t>
  </si>
  <si>
    <t>x_mid [mm]</t>
  </si>
  <si>
    <t>y_mid [mm]</t>
  </si>
  <si>
    <t>BC</t>
  </si>
  <si>
    <t>CH</t>
  </si>
  <si>
    <t>Origin</t>
  </si>
  <si>
    <t>Attached Position</t>
  </si>
  <si>
    <t>Folded Position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</si>
</sst>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6" borderId="0" xfId="0" applyFill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4" fontId="0" fillId="2" borderId="0" xfId="0" applyNumberFormat="1" applyFill="1" applyAlignment="1">
      <alignment horizontal="center" vertical="center" wrapText="1"/>
    </xf>
    <xf numFmtId="164" fontId="0" fillId="3" borderId="0" xfId="0" applyNumberFormat="1" applyFill="1" applyAlignment="1">
      <alignment horizontal="center" vertical="center" wrapText="1"/>
    </xf>
    <xf numFmtId="164" fontId="0" fillId="4" borderId="0" xfId="0" applyNumberFormat="1" applyFill="1" applyAlignment="1">
      <alignment horizontal="center" vertical="center" wrapText="1"/>
    </xf>
    <xf numFmtId="164" fontId="0" fillId="5" borderId="0" xfId="0" applyNumberFormat="1" applyFill="1" applyAlignment="1">
      <alignment horizontal="center" vertical="center" wrapText="1"/>
    </xf>
    <xf numFmtId="164" fontId="0" fillId="6" borderId="0" xfId="0" applyNumberForma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164" fontId="2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9F2C0-51E0-4297-A9D3-B6AE0B21F9CA}">
  <dimension ref="C3:M57"/>
  <sheetViews>
    <sheetView tabSelected="1" workbookViewId="0">
      <selection activeCell="C15" sqref="C15"/>
    </sheetView>
  </sheetViews>
  <sheetFormatPr defaultColWidth="9.140625" defaultRowHeight="15" x14ac:dyDescent="0.25"/>
  <cols>
    <col min="1" max="2" width="9.140625" style="1"/>
    <col min="3" max="3" width="8.140625" style="1" bestFit="1" customWidth="1"/>
    <col min="4" max="4" width="8" style="1" bestFit="1" customWidth="1"/>
    <col min="5" max="5" width="6.42578125" style="1" bestFit="1" customWidth="1"/>
    <col min="6" max="6" width="10.42578125" style="1" customWidth="1"/>
    <col min="7" max="7" width="11.5703125" style="1" customWidth="1"/>
    <col min="8" max="8" width="10.5703125" style="1" bestFit="1" customWidth="1"/>
    <col min="9" max="10" width="11.42578125" style="1" bestFit="1" customWidth="1"/>
    <col min="11" max="12" width="12.5703125" style="1" bestFit="1" customWidth="1"/>
    <col min="13" max="13" width="10.85546875" style="1" bestFit="1" customWidth="1"/>
    <col min="14" max="16384" width="9.140625" style="1"/>
  </cols>
  <sheetData>
    <row r="3" spans="3:13" x14ac:dyDescent="0.25">
      <c r="C3" s="19"/>
      <c r="G3" s="23" t="s">
        <v>38</v>
      </c>
      <c r="H3" s="24"/>
      <c r="I3" s="24"/>
      <c r="J3" s="25"/>
    </row>
    <row r="4" spans="3:13" x14ac:dyDescent="0.25">
      <c r="C4" s="1" t="s">
        <v>37</v>
      </c>
      <c r="D4" s="8">
        <v>98.191000000000003</v>
      </c>
      <c r="E4" s="8">
        <v>12.757</v>
      </c>
    </row>
    <row r="5" spans="3:13" ht="30" x14ac:dyDescent="0.25">
      <c r="C5" s="17" t="s">
        <v>0</v>
      </c>
      <c r="D5" s="17" t="s">
        <v>1</v>
      </c>
      <c r="E5" s="17" t="s">
        <v>2</v>
      </c>
      <c r="G5" s="17" t="s">
        <v>11</v>
      </c>
      <c r="H5" s="17" t="s">
        <v>19</v>
      </c>
      <c r="I5" s="17" t="s">
        <v>20</v>
      </c>
      <c r="J5" s="17" t="s">
        <v>21</v>
      </c>
      <c r="K5" s="17" t="s">
        <v>23</v>
      </c>
      <c r="L5" s="17" t="s">
        <v>24</v>
      </c>
      <c r="M5" s="17" t="s">
        <v>18</v>
      </c>
    </row>
    <row r="6" spans="3:13" x14ac:dyDescent="0.25">
      <c r="C6" s="1" t="s">
        <v>3</v>
      </c>
      <c r="D6" s="8">
        <v>0</v>
      </c>
      <c r="E6" s="8">
        <v>0</v>
      </c>
      <c r="G6" s="2" t="s">
        <v>12</v>
      </c>
      <c r="H6" s="10">
        <f>D6-D7</f>
        <v>30.028000000000006</v>
      </c>
      <c r="I6" s="10">
        <f>E7-E6</f>
        <v>33.047000000000004</v>
      </c>
      <c r="J6" s="10">
        <f>SQRT((D6-D7)^2+(E6-E7)^2)</f>
        <v>44.651819593382761</v>
      </c>
      <c r="K6" s="10">
        <f>H6*$D$16</f>
        <v>294.87496000000004</v>
      </c>
      <c r="L6" s="10">
        <f>I6*$D$16</f>
        <v>324.52154000000007</v>
      </c>
      <c r="M6" s="10">
        <f>J6*$D$16</f>
        <v>438.4808684070187</v>
      </c>
    </row>
    <row r="7" spans="3:13" x14ac:dyDescent="0.25">
      <c r="C7" s="1" t="s">
        <v>4</v>
      </c>
      <c r="D7" s="8">
        <f>68.163-D4</f>
        <v>-30.028000000000006</v>
      </c>
      <c r="E7" s="8">
        <f>45.804-E4</f>
        <v>33.047000000000004</v>
      </c>
      <c r="G7" s="3" t="s">
        <v>35</v>
      </c>
      <c r="H7" s="11">
        <f>D7-D8</f>
        <v>14.776999999999994</v>
      </c>
      <c r="I7" s="11">
        <f>E8-E7</f>
        <v>0.98099999999999454</v>
      </c>
      <c r="J7" s="11">
        <f>SQRT((D7-D8)^2+(E7-E8)^2)</f>
        <v>14.809527001224577</v>
      </c>
      <c r="K7" s="11">
        <f t="shared" ref="K7:K8" si="0">H7*$D$16</f>
        <v>145.11013999999994</v>
      </c>
      <c r="L7" s="11">
        <f t="shared" ref="L7:L8" si="1">I7*$D$16</f>
        <v>9.6334199999999459</v>
      </c>
      <c r="M7" s="11">
        <f t="shared" ref="M7:M8" si="2">J7*$D$16</f>
        <v>145.42955515202536</v>
      </c>
    </row>
    <row r="8" spans="3:13" x14ac:dyDescent="0.25">
      <c r="C8" s="1" t="s">
        <v>5</v>
      </c>
      <c r="D8" s="8">
        <f>53.386-D4</f>
        <v>-44.805</v>
      </c>
      <c r="E8" s="8">
        <f>46.785-E4</f>
        <v>34.027999999999999</v>
      </c>
      <c r="G8" s="3" t="s">
        <v>36</v>
      </c>
      <c r="H8" s="11">
        <f>D8-D12</f>
        <v>25.247000000000007</v>
      </c>
      <c r="I8" s="11">
        <f>E8-E12</f>
        <v>-3.7140000000000057</v>
      </c>
      <c r="J8" s="11">
        <f>SQRT((D8-D12)^2+(E8-E12)^2)</f>
        <v>25.518714799143009</v>
      </c>
      <c r="K8" s="11">
        <f t="shared" si="0"/>
        <v>247.92554000000007</v>
      </c>
      <c r="L8" s="11">
        <f t="shared" si="1"/>
        <v>-36.471480000000057</v>
      </c>
      <c r="M8" s="11">
        <f t="shared" si="2"/>
        <v>250.59377932758434</v>
      </c>
    </row>
    <row r="9" spans="3:13" x14ac:dyDescent="0.25">
      <c r="C9" s="1" t="s">
        <v>6</v>
      </c>
      <c r="D9" s="8">
        <f>83.45-D4</f>
        <v>-14.741</v>
      </c>
      <c r="E9" s="8">
        <f>13.027-E4</f>
        <v>0.26999999999999957</v>
      </c>
      <c r="G9" s="4" t="s">
        <v>16</v>
      </c>
      <c r="H9" s="12">
        <f>D9-D8</f>
        <v>30.064</v>
      </c>
      <c r="I9" s="12">
        <f>E8-E9</f>
        <v>33.757999999999996</v>
      </c>
      <c r="J9" s="12">
        <f>SQRT((D8-D9)^2+(E8-E9)^2)</f>
        <v>45.204498227499435</v>
      </c>
      <c r="K9" s="12">
        <f t="shared" ref="K9:M13" si="3">H9*$D$16</f>
        <v>295.22847999999999</v>
      </c>
      <c r="L9" s="12">
        <f t="shared" si="3"/>
        <v>331.50355999999999</v>
      </c>
      <c r="M9" s="12">
        <f t="shared" si="3"/>
        <v>443.90817259404446</v>
      </c>
    </row>
    <row r="10" spans="3:13" x14ac:dyDescent="0.25">
      <c r="C10" s="1" t="s">
        <v>7</v>
      </c>
      <c r="D10" s="8">
        <f>43.394-D4</f>
        <v>-54.797000000000004</v>
      </c>
      <c r="E10" s="8">
        <f>51.445-E4</f>
        <v>38.688000000000002</v>
      </c>
      <c r="G10" s="4" t="s">
        <v>17</v>
      </c>
      <c r="H10" s="12">
        <f>D8-D10</f>
        <v>9.9920000000000044</v>
      </c>
      <c r="I10" s="12">
        <f>D8-D10</f>
        <v>9.9920000000000044</v>
      </c>
      <c r="J10" s="12">
        <f>SQRT((D8-D10)^2+(E8-E10)^2)</f>
        <v>11.025228523708709</v>
      </c>
      <c r="K10" s="12">
        <f t="shared" si="3"/>
        <v>98.12144000000005</v>
      </c>
      <c r="L10" s="12">
        <f t="shared" si="3"/>
        <v>98.12144000000005</v>
      </c>
      <c r="M10" s="12">
        <f t="shared" si="3"/>
        <v>108.26774410281952</v>
      </c>
    </row>
    <row r="11" spans="3:13" x14ac:dyDescent="0.25">
      <c r="C11" s="1" t="s">
        <v>8</v>
      </c>
      <c r="D11" s="8">
        <f>18.945-D4</f>
        <v>-79.246000000000009</v>
      </c>
      <c r="E11" s="8">
        <f>55.191-E6</f>
        <v>55.191000000000003</v>
      </c>
      <c r="G11" s="5" t="s">
        <v>13</v>
      </c>
      <c r="H11" s="13">
        <f>D10-D11</f>
        <v>24.449000000000005</v>
      </c>
      <c r="I11" s="13">
        <f>E11-E10</f>
        <v>16.503</v>
      </c>
      <c r="J11" s="13">
        <f>SQRT((D11-D10)^2+(E11-E10)^2)</f>
        <v>29.497501758623564</v>
      </c>
      <c r="K11" s="13">
        <f t="shared" si="3"/>
        <v>240.08918000000006</v>
      </c>
      <c r="L11" s="13">
        <f t="shared" si="3"/>
        <v>162.05946</v>
      </c>
      <c r="M11" s="13">
        <f t="shared" si="3"/>
        <v>289.6654672696834</v>
      </c>
    </row>
    <row r="12" spans="3:13" x14ac:dyDescent="0.25">
      <c r="C12" s="1" t="s">
        <v>9</v>
      </c>
      <c r="D12" s="8">
        <f>28.139-D4</f>
        <v>-70.052000000000007</v>
      </c>
      <c r="E12" s="8">
        <f>50.499-E4</f>
        <v>37.742000000000004</v>
      </c>
      <c r="G12" s="5" t="s">
        <v>14</v>
      </c>
      <c r="H12" s="13">
        <f>D11-D13</f>
        <v>37.913999999999987</v>
      </c>
      <c r="I12" s="13">
        <f>E11-E13</f>
        <v>22.238999999999997</v>
      </c>
      <c r="J12" s="13">
        <f>SQRT((D13-D11)^2+(E13-E11)^2)</f>
        <v>43.955028347164095</v>
      </c>
      <c r="K12" s="13">
        <f t="shared" si="3"/>
        <v>372.31547999999987</v>
      </c>
      <c r="L12" s="13">
        <f t="shared" si="3"/>
        <v>218.38697999999997</v>
      </c>
      <c r="M12" s="13">
        <f t="shared" si="3"/>
        <v>431.63837836915144</v>
      </c>
    </row>
    <row r="13" spans="3:13" x14ac:dyDescent="0.25">
      <c r="C13" s="1" t="s">
        <v>10</v>
      </c>
      <c r="D13" s="8">
        <f>-18.969-D4</f>
        <v>-117.16</v>
      </c>
      <c r="E13" s="8">
        <f>45.709-E4</f>
        <v>32.952000000000005</v>
      </c>
      <c r="G13" s="6" t="s">
        <v>15</v>
      </c>
      <c r="H13" s="14">
        <f>D12-D11</f>
        <v>9.1940000000000026</v>
      </c>
      <c r="I13" s="14">
        <f>E11-E12</f>
        <v>17.448999999999998</v>
      </c>
      <c r="J13" s="14">
        <f>SQRT((D12-D11)^2+(E12-E11)^2)</f>
        <v>19.723012878361157</v>
      </c>
      <c r="K13" s="14">
        <f t="shared" si="3"/>
        <v>90.285080000000022</v>
      </c>
      <c r="L13" s="14">
        <f t="shared" si="3"/>
        <v>171.34917999999999</v>
      </c>
      <c r="M13" s="14">
        <f t="shared" si="3"/>
        <v>193.67998646550657</v>
      </c>
    </row>
    <row r="16" spans="3:13" ht="60" x14ac:dyDescent="0.25">
      <c r="C16" s="7" t="s">
        <v>22</v>
      </c>
      <c r="D16" s="9">
        <v>9.82</v>
      </c>
      <c r="F16" s="22" t="s">
        <v>25</v>
      </c>
      <c r="G16" s="22"/>
      <c r="H16" s="18"/>
    </row>
    <row r="17" spans="3:13" ht="14.25" customHeight="1" x14ac:dyDescent="0.25">
      <c r="F17" s="21" t="s">
        <v>28</v>
      </c>
      <c r="G17" s="21"/>
      <c r="H17" s="16"/>
      <c r="I17" s="16"/>
    </row>
    <row r="18" spans="3:13" ht="30" x14ac:dyDescent="0.25">
      <c r="F18" s="17" t="s">
        <v>26</v>
      </c>
      <c r="G18" s="17" t="s">
        <v>27</v>
      </c>
      <c r="H18" s="17" t="s">
        <v>33</v>
      </c>
      <c r="I18" s="17" t="s">
        <v>34</v>
      </c>
      <c r="J18" s="17" t="s">
        <v>31</v>
      </c>
      <c r="K18" s="17" t="s">
        <v>32</v>
      </c>
    </row>
    <row r="19" spans="3:13" x14ac:dyDescent="0.25">
      <c r="E19" s="2" t="s">
        <v>12</v>
      </c>
      <c r="F19" s="8">
        <f>(D6+D7)/2</f>
        <v>-15.014000000000003</v>
      </c>
      <c r="G19" s="8">
        <f>(E6+E7)/2</f>
        <v>16.523500000000002</v>
      </c>
      <c r="H19" s="8">
        <f>F19*$D$16</f>
        <v>-147.43748000000002</v>
      </c>
      <c r="I19" s="8">
        <f>G19*$D$16</f>
        <v>162.26077000000004</v>
      </c>
      <c r="J19" s="8">
        <f>H19*K6</f>
        <v>-43475.621017500816</v>
      </c>
      <c r="K19" s="8">
        <f>I19*L6</f>
        <v>52657.114961985826</v>
      </c>
    </row>
    <row r="20" spans="3:13" x14ac:dyDescent="0.25">
      <c r="E20" s="3" t="s">
        <v>35</v>
      </c>
      <c r="F20" s="8">
        <f>(D7+D8)/2</f>
        <v>-37.416499999999999</v>
      </c>
      <c r="G20" s="8">
        <f>(E7+E8)/2</f>
        <v>33.537500000000001</v>
      </c>
      <c r="H20" s="8">
        <f t="shared" ref="H20:H26" si="4">F20*$D$16</f>
        <v>-367.43002999999999</v>
      </c>
      <c r="I20" s="8">
        <f t="shared" ref="I20:I26" si="5">G20*$D$16</f>
        <v>329.33825000000002</v>
      </c>
      <c r="J20" s="8">
        <f t="shared" ref="J20:J21" si="6">H20*K7</f>
        <v>-53317.823093504179</v>
      </c>
      <c r="K20" s="8">
        <f t="shared" ref="K20:K21" si="7">I20*L7</f>
        <v>3172.6536843149825</v>
      </c>
    </row>
    <row r="21" spans="3:13" x14ac:dyDescent="0.25">
      <c r="E21" s="3" t="s">
        <v>36</v>
      </c>
      <c r="F21" s="8">
        <f>(D8+D12)/2</f>
        <v>-57.4285</v>
      </c>
      <c r="G21" s="8">
        <f>(E8+E12)/2</f>
        <v>35.885000000000005</v>
      </c>
      <c r="H21" s="8">
        <f t="shared" si="4"/>
        <v>-563.94786999999997</v>
      </c>
      <c r="I21" s="8">
        <f t="shared" si="5"/>
        <v>352.39070000000004</v>
      </c>
      <c r="J21" s="8">
        <f t="shared" si="6"/>
        <v>-139817.08020159983</v>
      </c>
      <c r="K21" s="8">
        <f t="shared" si="7"/>
        <v>-12852.210367236021</v>
      </c>
    </row>
    <row r="22" spans="3:13" x14ac:dyDescent="0.25">
      <c r="E22" s="4" t="s">
        <v>16</v>
      </c>
      <c r="F22" s="8">
        <f>(D8+D9)/2</f>
        <v>-29.773</v>
      </c>
      <c r="G22" s="8">
        <f>(E8+E9)/2</f>
        <v>17.149000000000001</v>
      </c>
      <c r="H22" s="8">
        <f t="shared" si="4"/>
        <v>-292.37085999999999</v>
      </c>
      <c r="I22" s="8">
        <f t="shared" si="5"/>
        <v>168.40318000000002</v>
      </c>
      <c r="J22" s="8">
        <f t="shared" ref="J22:K26" si="8">H22*K9</f>
        <v>-86316.204594092793</v>
      </c>
      <c r="K22" s="8">
        <f t="shared" si="8"/>
        <v>55826.253685320808</v>
      </c>
    </row>
    <row r="23" spans="3:13" x14ac:dyDescent="0.25">
      <c r="E23" s="4" t="s">
        <v>17</v>
      </c>
      <c r="F23" s="8">
        <f>(D8+D10)/2</f>
        <v>-49.801000000000002</v>
      </c>
      <c r="G23" s="8">
        <f>(E8+E10)/2</f>
        <v>36.358000000000004</v>
      </c>
      <c r="H23" s="8">
        <f t="shared" si="4"/>
        <v>-489.04582000000005</v>
      </c>
      <c r="I23" s="8">
        <f t="shared" si="5"/>
        <v>357.03556000000003</v>
      </c>
      <c r="J23" s="8">
        <f t="shared" si="8"/>
        <v>-47985.880084380828</v>
      </c>
      <c r="K23" s="8">
        <f t="shared" si="8"/>
        <v>35032.843278406421</v>
      </c>
    </row>
    <row r="24" spans="3:13" x14ac:dyDescent="0.25">
      <c r="E24" s="5" t="s">
        <v>13</v>
      </c>
      <c r="F24" s="8">
        <f>(D11+D10)/2</f>
        <v>-67.021500000000003</v>
      </c>
      <c r="G24" s="8">
        <f>(E11+E10)/2</f>
        <v>46.939500000000002</v>
      </c>
      <c r="H24" s="8">
        <f t="shared" si="4"/>
        <v>-658.15113000000008</v>
      </c>
      <c r="I24" s="8">
        <f t="shared" si="5"/>
        <v>460.94589000000002</v>
      </c>
      <c r="J24" s="8">
        <f t="shared" si="8"/>
        <v>-158014.96511777345</v>
      </c>
      <c r="K24" s="8">
        <f t="shared" si="8"/>
        <v>74700.642022619402</v>
      </c>
    </row>
    <row r="25" spans="3:13" x14ac:dyDescent="0.25">
      <c r="E25" s="5" t="s">
        <v>14</v>
      </c>
      <c r="F25" s="8">
        <f>(D13+D11)/2</f>
        <v>-98.203000000000003</v>
      </c>
      <c r="G25" s="8">
        <f>(E13+E11)/2</f>
        <v>44.0715</v>
      </c>
      <c r="H25" s="8">
        <f t="shared" si="4"/>
        <v>-964.35346000000004</v>
      </c>
      <c r="I25" s="8">
        <f t="shared" si="5"/>
        <v>432.78213</v>
      </c>
      <c r="J25" s="8">
        <f t="shared" si="8"/>
        <v>-359043.72134956071</v>
      </c>
      <c r="K25" s="8">
        <f t="shared" si="8"/>
        <v>94513.982368667377</v>
      </c>
    </row>
    <row r="26" spans="3:13" x14ac:dyDescent="0.25">
      <c r="E26" s="6" t="s">
        <v>15</v>
      </c>
      <c r="F26" s="8">
        <f>(D11+D12)/2</f>
        <v>-74.649000000000001</v>
      </c>
      <c r="G26" s="8">
        <f>(E11+E12)/2</f>
        <v>46.466500000000003</v>
      </c>
      <c r="H26" s="8">
        <f t="shared" si="4"/>
        <v>-733.05318</v>
      </c>
      <c r="I26" s="8">
        <f t="shared" si="5"/>
        <v>456.30103000000003</v>
      </c>
      <c r="J26" s="8">
        <f t="shared" si="8"/>
        <v>-66183.765000554413</v>
      </c>
      <c r="K26" s="8">
        <f t="shared" si="8"/>
        <v>78186.807323655405</v>
      </c>
    </row>
    <row r="28" spans="3:13" ht="30" x14ac:dyDescent="0.25">
      <c r="E28" s="17" t="s">
        <v>29</v>
      </c>
      <c r="F28" s="8">
        <f>(SUM(J19:J26))/SUM(K6:K13)</f>
        <v>-534.85518092010011</v>
      </c>
      <c r="G28" s="8">
        <f>F28/D16</f>
        <v>-54.465904370682289</v>
      </c>
      <c r="H28" s="20">
        <f>D4+G28</f>
        <v>43.725095629317714</v>
      </c>
    </row>
    <row r="29" spans="3:13" ht="30" x14ac:dyDescent="0.25">
      <c r="E29" s="17" t="s">
        <v>30</v>
      </c>
      <c r="F29" s="8">
        <f>(SUM(K19:K26))/SUM(L6:L13)</f>
        <v>298.05086775793637</v>
      </c>
      <c r="G29" s="8">
        <f>F29/D16</f>
        <v>30.351412195309202</v>
      </c>
      <c r="H29" s="20">
        <v>43.107999999999997</v>
      </c>
    </row>
    <row r="31" spans="3:13" x14ac:dyDescent="0.25">
      <c r="C31" s="19"/>
      <c r="D31" s="15"/>
      <c r="E31" s="15"/>
      <c r="F31" s="15"/>
      <c r="G31" s="23" t="s">
        <v>39</v>
      </c>
      <c r="H31" s="24"/>
      <c r="I31" s="24"/>
      <c r="J31" s="25"/>
      <c r="K31" s="15"/>
      <c r="L31" s="15"/>
      <c r="M31" s="15"/>
    </row>
    <row r="32" spans="3:13" x14ac:dyDescent="0.25">
      <c r="C32" s="15" t="s">
        <v>37</v>
      </c>
      <c r="D32" s="8">
        <v>98.191000000000003</v>
      </c>
      <c r="E32" s="8">
        <v>12.757</v>
      </c>
      <c r="F32" s="15"/>
      <c r="G32" s="15"/>
      <c r="H32" s="15"/>
      <c r="I32" s="15"/>
      <c r="J32" s="15"/>
      <c r="K32" s="15"/>
      <c r="L32" s="15"/>
      <c r="M32" s="15"/>
    </row>
    <row r="33" spans="3:13" ht="30" x14ac:dyDescent="0.25">
      <c r="C33" s="17" t="s">
        <v>0</v>
      </c>
      <c r="D33" s="17" t="s">
        <v>1</v>
      </c>
      <c r="E33" s="17" t="s">
        <v>2</v>
      </c>
      <c r="F33" s="15"/>
      <c r="G33" s="17" t="s">
        <v>11</v>
      </c>
      <c r="H33" s="17" t="s">
        <v>19</v>
      </c>
      <c r="I33" s="17" t="s">
        <v>20</v>
      </c>
      <c r="J33" s="17" t="s">
        <v>21</v>
      </c>
      <c r="K33" s="17" t="s">
        <v>23</v>
      </c>
      <c r="L33" s="17" t="s">
        <v>24</v>
      </c>
      <c r="M33" s="17" t="s">
        <v>18</v>
      </c>
    </row>
    <row r="34" spans="3:13" x14ac:dyDescent="0.25">
      <c r="C34" s="15" t="s">
        <v>3</v>
      </c>
      <c r="D34" s="8">
        <v>0</v>
      </c>
      <c r="E34" s="8">
        <v>0</v>
      </c>
      <c r="F34" s="15"/>
      <c r="G34" s="2" t="s">
        <v>12</v>
      </c>
      <c r="H34" s="10">
        <f>D34-D35</f>
        <v>-44.503999999999991</v>
      </c>
      <c r="I34" s="10">
        <f>E35-E34</f>
        <v>3.6270000000000007</v>
      </c>
      <c r="J34" s="10">
        <f>SQRT((D34-D35)^2+(E34-E35)^2)</f>
        <v>44.651552548595653</v>
      </c>
      <c r="K34" s="10">
        <f>H34*$D$16</f>
        <v>-437.02927999999991</v>
      </c>
      <c r="L34" s="10">
        <f>I34*$D$16</f>
        <v>35.617140000000006</v>
      </c>
      <c r="M34" s="10">
        <f>J34*$D$16</f>
        <v>438.47824602720931</v>
      </c>
    </row>
    <row r="35" spans="3:13" x14ac:dyDescent="0.25">
      <c r="C35" s="15" t="s">
        <v>4</v>
      </c>
      <c r="D35" s="8">
        <f>142.695-D32</f>
        <v>44.503999999999991</v>
      </c>
      <c r="E35" s="8">
        <f>16.384-E32</f>
        <v>3.6270000000000007</v>
      </c>
      <c r="F35" s="15"/>
      <c r="G35" s="3" t="s">
        <v>35</v>
      </c>
      <c r="H35" s="11">
        <f>D35-D36</f>
        <v>14.495000000000005</v>
      </c>
      <c r="I35" s="11">
        <f>E36-E35</f>
        <v>3.0360000000000014</v>
      </c>
      <c r="J35" s="11">
        <f>SQRT((D35-D36)^2+(E35-E36)^2)</f>
        <v>14.809534800256223</v>
      </c>
      <c r="K35" s="11">
        <f t="shared" ref="K35:K41" si="9">H35*$D$16</f>
        <v>142.34090000000006</v>
      </c>
      <c r="L35" s="11">
        <f t="shared" ref="L35:L41" si="10">I35*$D$16</f>
        <v>29.813520000000015</v>
      </c>
      <c r="M35" s="11">
        <f t="shared" ref="M35:M41" si="11">J35*$D$16</f>
        <v>145.42963173851612</v>
      </c>
    </row>
    <row r="36" spans="3:13" x14ac:dyDescent="0.25">
      <c r="C36" s="15" t="s">
        <v>5</v>
      </c>
      <c r="D36" s="8">
        <f>128.2-D32</f>
        <v>30.008999999999986</v>
      </c>
      <c r="E36" s="8">
        <f>19.42-E32</f>
        <v>6.663000000000002</v>
      </c>
      <c r="F36" s="15"/>
      <c r="G36" s="3" t="s">
        <v>36</v>
      </c>
      <c r="H36" s="11">
        <f>D36-D40</f>
        <v>24.47999999999999</v>
      </c>
      <c r="I36" s="11">
        <f>E36-E40</f>
        <v>-7.2039999999999971</v>
      </c>
      <c r="J36" s="11">
        <f>SQRT((D36-D40)^2+(E36-E40)^2)</f>
        <v>25.517993965043559</v>
      </c>
      <c r="K36" s="11">
        <f t="shared" si="9"/>
        <v>240.39359999999991</v>
      </c>
      <c r="L36" s="11">
        <f t="shared" si="10"/>
        <v>-70.74327999999997</v>
      </c>
      <c r="M36" s="11">
        <f t="shared" si="11"/>
        <v>250.58670073672775</v>
      </c>
    </row>
    <row r="37" spans="3:13" x14ac:dyDescent="0.25">
      <c r="C37" s="15" t="s">
        <v>6</v>
      </c>
      <c r="D37" s="8">
        <f>83.45-D32</f>
        <v>-14.741</v>
      </c>
      <c r="E37" s="8">
        <f>13.027-E32</f>
        <v>0.26999999999999957</v>
      </c>
      <c r="F37" s="15"/>
      <c r="G37" s="4" t="s">
        <v>16</v>
      </c>
      <c r="H37" s="12">
        <f>D37-D36</f>
        <v>-44.749999999999986</v>
      </c>
      <c r="I37" s="12">
        <f>E36-E37</f>
        <v>6.3930000000000025</v>
      </c>
      <c r="J37" s="12">
        <f>SQRT((D36-D37)^2+(E36-E37)^2)</f>
        <v>45.204346571983528</v>
      </c>
      <c r="K37" s="12">
        <f t="shared" si="9"/>
        <v>-439.44499999999988</v>
      </c>
      <c r="L37" s="12">
        <f t="shared" si="10"/>
        <v>62.779260000000029</v>
      </c>
      <c r="M37" s="12">
        <f t="shared" si="11"/>
        <v>443.90668333687825</v>
      </c>
    </row>
    <row r="38" spans="3:13" x14ac:dyDescent="0.25">
      <c r="C38" s="15" t="s">
        <v>7</v>
      </c>
      <c r="D38" s="8">
        <f>137.607-D32</f>
        <v>39.415999999999997</v>
      </c>
      <c r="E38" s="8">
        <f>25.171-E32</f>
        <v>12.414</v>
      </c>
      <c r="F38" s="15"/>
      <c r="G38" s="4" t="s">
        <v>17</v>
      </c>
      <c r="H38" s="12">
        <f>D36-D38</f>
        <v>-9.4070000000000107</v>
      </c>
      <c r="I38" s="12">
        <f>D36-D38</f>
        <v>-9.4070000000000107</v>
      </c>
      <c r="J38" s="12">
        <f>SQRT((D36-D38)^2+(E36-E38)^2)</f>
        <v>11.025681384839677</v>
      </c>
      <c r="K38" s="12">
        <f t="shared" si="9"/>
        <v>-92.376740000000112</v>
      </c>
      <c r="L38" s="12">
        <f t="shared" si="10"/>
        <v>-92.376740000000112</v>
      </c>
      <c r="M38" s="12">
        <f t="shared" si="11"/>
        <v>108.27219119912563</v>
      </c>
    </row>
    <row r="39" spans="3:13" x14ac:dyDescent="0.25">
      <c r="C39" s="15" t="s">
        <v>8</v>
      </c>
      <c r="D39" s="8">
        <f>113.394-D32</f>
        <v>15.203000000000003</v>
      </c>
      <c r="E39" s="8">
        <f>30.223-E32</f>
        <v>17.466000000000001</v>
      </c>
      <c r="F39" s="15"/>
      <c r="G39" s="5" t="s">
        <v>13</v>
      </c>
      <c r="H39" s="13">
        <f>D38-D39</f>
        <v>24.212999999999994</v>
      </c>
      <c r="I39" s="13">
        <f>E39-E38</f>
        <v>5.0520000000000014</v>
      </c>
      <c r="J39" s="13">
        <f>SQRT((D39-D38)^2+(E39-E38)^2)</f>
        <v>24.734430921288642</v>
      </c>
      <c r="K39" s="13">
        <f t="shared" si="9"/>
        <v>237.77165999999994</v>
      </c>
      <c r="L39" s="13">
        <f t="shared" si="10"/>
        <v>49.610640000000018</v>
      </c>
      <c r="M39" s="13">
        <f t="shared" si="11"/>
        <v>242.89211164705446</v>
      </c>
    </row>
    <row r="40" spans="3:13" x14ac:dyDescent="0.25">
      <c r="C40" s="15" t="s">
        <v>9</v>
      </c>
      <c r="D40" s="8">
        <f>103.72-D32</f>
        <v>5.5289999999999964</v>
      </c>
      <c r="E40" s="8">
        <f>26.624-E32</f>
        <v>13.866999999999999</v>
      </c>
      <c r="F40" s="15"/>
      <c r="G40" s="5" t="s">
        <v>14</v>
      </c>
      <c r="H40" s="13">
        <f>D39-D41</f>
        <v>38.368000000000009</v>
      </c>
      <c r="I40" s="13">
        <f>E39-E41</f>
        <v>7.4339999999999993</v>
      </c>
      <c r="J40" s="13">
        <f>SQRT((D41-D39)^2+(E41-E39)^2)</f>
        <v>39.081552937415381</v>
      </c>
      <c r="K40" s="13">
        <f t="shared" si="9"/>
        <v>376.7737600000001</v>
      </c>
      <c r="L40" s="13">
        <f t="shared" si="10"/>
        <v>73.00188</v>
      </c>
      <c r="M40" s="13">
        <f t="shared" si="11"/>
        <v>383.78084984541903</v>
      </c>
    </row>
    <row r="41" spans="3:13" x14ac:dyDescent="0.25">
      <c r="C41" s="15" t="s">
        <v>10</v>
      </c>
      <c r="D41" s="8">
        <f>75.026-D32</f>
        <v>-23.165000000000006</v>
      </c>
      <c r="E41" s="8">
        <f>22.789-E32</f>
        <v>10.032000000000002</v>
      </c>
      <c r="F41" s="15"/>
      <c r="G41" s="6" t="s">
        <v>15</v>
      </c>
      <c r="H41" s="14">
        <f>D40-D39</f>
        <v>-9.6740000000000066</v>
      </c>
      <c r="I41" s="14">
        <f>E39-E40</f>
        <v>3.599000000000002</v>
      </c>
      <c r="J41" s="14">
        <f>SQRT((D40-D39)^2+(E40-E39)^2)</f>
        <v>10.321776833472041</v>
      </c>
      <c r="K41" s="14">
        <f t="shared" si="9"/>
        <v>-94.998680000000064</v>
      </c>
      <c r="L41" s="14">
        <f t="shared" si="10"/>
        <v>35.34218000000002</v>
      </c>
      <c r="M41" s="14">
        <f t="shared" si="11"/>
        <v>101.35984850469545</v>
      </c>
    </row>
    <row r="42" spans="3:13" x14ac:dyDescent="0.25">
      <c r="F42" s="15"/>
      <c r="G42" s="15"/>
      <c r="H42" s="15"/>
      <c r="I42" s="15"/>
      <c r="J42" s="15"/>
      <c r="K42" s="15"/>
      <c r="L42" s="15"/>
      <c r="M42" s="15"/>
    </row>
    <row r="43" spans="3:13" x14ac:dyDescent="0.25"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</row>
    <row r="44" spans="3:13" ht="60" x14ac:dyDescent="0.25">
      <c r="C44" s="7" t="s">
        <v>22</v>
      </c>
      <c r="D44" s="9">
        <v>9.82</v>
      </c>
      <c r="E44" s="15"/>
      <c r="F44" s="22" t="s">
        <v>25</v>
      </c>
      <c r="G44" s="22"/>
      <c r="H44" s="18"/>
      <c r="I44" s="15"/>
      <c r="J44" s="15"/>
      <c r="K44" s="15"/>
      <c r="L44" s="15"/>
      <c r="M44" s="15"/>
    </row>
    <row r="45" spans="3:13" x14ac:dyDescent="0.25">
      <c r="C45" s="15"/>
      <c r="D45" s="15"/>
      <c r="E45" s="15"/>
      <c r="F45" s="21" t="s">
        <v>28</v>
      </c>
      <c r="G45" s="21"/>
      <c r="H45" s="16"/>
      <c r="I45" s="16"/>
      <c r="J45" s="15"/>
      <c r="K45" s="15"/>
      <c r="L45" s="15"/>
      <c r="M45" s="15"/>
    </row>
    <row r="46" spans="3:13" ht="30" x14ac:dyDescent="0.25">
      <c r="C46" s="15"/>
      <c r="D46" s="15"/>
      <c r="E46" s="15"/>
      <c r="F46" s="17" t="s">
        <v>26</v>
      </c>
      <c r="G46" s="17" t="s">
        <v>27</v>
      </c>
      <c r="H46" s="17" t="s">
        <v>33</v>
      </c>
      <c r="I46" s="17" t="s">
        <v>34</v>
      </c>
      <c r="J46" s="17" t="s">
        <v>31</v>
      </c>
      <c r="K46" s="17" t="s">
        <v>32</v>
      </c>
      <c r="L46" s="15"/>
      <c r="M46" s="15"/>
    </row>
    <row r="47" spans="3:13" x14ac:dyDescent="0.25">
      <c r="C47" s="15"/>
      <c r="D47" s="15"/>
      <c r="E47" s="2" t="s">
        <v>12</v>
      </c>
      <c r="F47" s="8">
        <f>(D34+D35)/2</f>
        <v>22.251999999999995</v>
      </c>
      <c r="G47" s="8">
        <f>(E34+E35)/2</f>
        <v>1.8135000000000003</v>
      </c>
      <c r="H47" s="8">
        <f>F47*$D$16</f>
        <v>218.51463999999996</v>
      </c>
      <c r="I47" s="8">
        <f>G47*$D$16</f>
        <v>17.808570000000003</v>
      </c>
      <c r="J47" s="8">
        <f>H47*K34</f>
        <v>-95497.295788659161</v>
      </c>
      <c r="K47" s="8">
        <f>I47*L34</f>
        <v>634.2903308898002</v>
      </c>
      <c r="L47" s="15"/>
      <c r="M47" s="15"/>
    </row>
    <row r="48" spans="3:13" x14ac:dyDescent="0.25">
      <c r="C48" s="15"/>
      <c r="D48" s="15"/>
      <c r="E48" s="3" t="s">
        <v>35</v>
      </c>
      <c r="F48" s="8">
        <f>(D35+D36)/2</f>
        <v>37.256499999999988</v>
      </c>
      <c r="G48" s="8">
        <f>(E35+E36)/2</f>
        <v>5.1450000000000014</v>
      </c>
      <c r="H48" s="8">
        <f t="shared" ref="H48:H54" si="12">F48*$D$16</f>
        <v>365.8588299999999</v>
      </c>
      <c r="I48" s="8">
        <f t="shared" ref="I48:I54" si="13">G48*$D$16</f>
        <v>50.523900000000012</v>
      </c>
      <c r="J48" s="8">
        <f t="shared" ref="J48:J54" si="14">H48*K35</f>
        <v>52076.675135147008</v>
      </c>
      <c r="K48" s="8">
        <f t="shared" ref="K48:K54" si="15">I48*L35</f>
        <v>1506.295303128001</v>
      </c>
      <c r="L48" s="15"/>
      <c r="M48" s="15"/>
    </row>
    <row r="49" spans="3:13" x14ac:dyDescent="0.25">
      <c r="C49" s="15"/>
      <c r="D49" s="15"/>
      <c r="E49" s="3" t="s">
        <v>36</v>
      </c>
      <c r="F49" s="8">
        <f>(D36+D40)/2</f>
        <v>17.768999999999991</v>
      </c>
      <c r="G49" s="8">
        <f>(E36+E40)/2</f>
        <v>10.265000000000001</v>
      </c>
      <c r="H49" s="8">
        <f t="shared" si="12"/>
        <v>174.49157999999991</v>
      </c>
      <c r="I49" s="8">
        <f t="shared" si="13"/>
        <v>100.8023</v>
      </c>
      <c r="J49" s="8">
        <f t="shared" si="14"/>
        <v>41946.659085887964</v>
      </c>
      <c r="K49" s="8">
        <f t="shared" si="15"/>
        <v>-7131.085333543997</v>
      </c>
      <c r="L49" s="15"/>
      <c r="M49" s="15"/>
    </row>
    <row r="50" spans="3:13" x14ac:dyDescent="0.25">
      <c r="C50" s="15"/>
      <c r="D50" s="15"/>
      <c r="E50" s="4" t="s">
        <v>16</v>
      </c>
      <c r="F50" s="8">
        <f>(D36+D37)/2</f>
        <v>7.6339999999999932</v>
      </c>
      <c r="G50" s="8">
        <f>(E36+E37)/2</f>
        <v>3.4665000000000008</v>
      </c>
      <c r="H50" s="8">
        <f t="shared" si="12"/>
        <v>74.965879999999942</v>
      </c>
      <c r="I50" s="8">
        <f t="shared" si="13"/>
        <v>34.041030000000006</v>
      </c>
      <c r="J50" s="8">
        <f t="shared" si="14"/>
        <v>-32943.381136599965</v>
      </c>
      <c r="K50" s="8">
        <f t="shared" si="15"/>
        <v>2137.0706730378015</v>
      </c>
      <c r="L50" s="15"/>
      <c r="M50" s="15"/>
    </row>
    <row r="51" spans="3:13" x14ac:dyDescent="0.25">
      <c r="C51" s="15"/>
      <c r="D51" s="15"/>
      <c r="E51" s="4" t="s">
        <v>17</v>
      </c>
      <c r="F51" s="8">
        <f>(D36+D38)/2</f>
        <v>34.712499999999991</v>
      </c>
      <c r="G51" s="8">
        <f>(E36+E38)/2</f>
        <v>9.5385000000000009</v>
      </c>
      <c r="H51" s="8">
        <f t="shared" si="12"/>
        <v>340.8767499999999</v>
      </c>
      <c r="I51" s="8">
        <f t="shared" si="13"/>
        <v>93.668070000000014</v>
      </c>
      <c r="J51" s="8">
        <f t="shared" si="14"/>
        <v>-31489.082906795029</v>
      </c>
      <c r="K51" s="8">
        <f t="shared" si="15"/>
        <v>-8652.7509486918116</v>
      </c>
      <c r="L51" s="15"/>
      <c r="M51" s="15"/>
    </row>
    <row r="52" spans="3:13" x14ac:dyDescent="0.25">
      <c r="C52" s="15"/>
      <c r="D52" s="15"/>
      <c r="E52" s="5" t="s">
        <v>13</v>
      </c>
      <c r="F52" s="8">
        <f>(D39+D38)/2</f>
        <v>27.3095</v>
      </c>
      <c r="G52" s="8">
        <f>(E39+E38)/2</f>
        <v>14.940000000000001</v>
      </c>
      <c r="H52" s="8">
        <f t="shared" si="12"/>
        <v>268.17928999999998</v>
      </c>
      <c r="I52" s="8">
        <f t="shared" si="13"/>
        <v>146.71080000000001</v>
      </c>
      <c r="J52" s="8">
        <f t="shared" si="14"/>
        <v>63765.434960921382</v>
      </c>
      <c r="K52" s="8">
        <f t="shared" si="15"/>
        <v>7278.4166829120031</v>
      </c>
      <c r="L52" s="15"/>
      <c r="M52" s="15"/>
    </row>
    <row r="53" spans="3:13" x14ac:dyDescent="0.25">
      <c r="C53" s="15"/>
      <c r="D53" s="15"/>
      <c r="E53" s="5" t="s">
        <v>14</v>
      </c>
      <c r="F53" s="8">
        <f>(D41+D39)/2</f>
        <v>-3.9810000000000016</v>
      </c>
      <c r="G53" s="8">
        <f>(E41+E39)/2</f>
        <v>13.749000000000002</v>
      </c>
      <c r="H53" s="8">
        <f t="shared" si="12"/>
        <v>-39.093420000000016</v>
      </c>
      <c r="I53" s="8">
        <f t="shared" si="13"/>
        <v>135.01518000000002</v>
      </c>
      <c r="J53" s="8">
        <f t="shared" si="14"/>
        <v>-14729.374844659209</v>
      </c>
      <c r="K53" s="8">
        <f t="shared" si="15"/>
        <v>9856.3619685384019</v>
      </c>
      <c r="L53" s="15"/>
      <c r="M53" s="15"/>
    </row>
    <row r="54" spans="3:13" x14ac:dyDescent="0.25">
      <c r="C54" s="15"/>
      <c r="D54" s="15"/>
      <c r="E54" s="6" t="s">
        <v>15</v>
      </c>
      <c r="F54" s="8">
        <f>(D39+D40)/2</f>
        <v>10.366</v>
      </c>
      <c r="G54" s="8">
        <f>(E39+E40)/2</f>
        <v>15.666499999999999</v>
      </c>
      <c r="H54" s="8">
        <f t="shared" si="12"/>
        <v>101.79412000000001</v>
      </c>
      <c r="I54" s="8">
        <f t="shared" si="13"/>
        <v>153.84503000000001</v>
      </c>
      <c r="J54" s="8">
        <f t="shared" si="14"/>
        <v>-9670.3070317616075</v>
      </c>
      <c r="K54" s="8">
        <f t="shared" si="15"/>
        <v>5437.2187423654032</v>
      </c>
      <c r="L54" s="15"/>
      <c r="M54" s="15"/>
    </row>
    <row r="55" spans="3:13" x14ac:dyDescent="0.25"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</row>
    <row r="56" spans="3:13" ht="30" x14ac:dyDescent="0.25">
      <c r="C56" s="15"/>
      <c r="D56" s="15"/>
      <c r="E56" s="17" t="s">
        <v>29</v>
      </c>
      <c r="F56" s="8">
        <f>(SUM(J47:J54))/SUM(K34:K41)</f>
        <v>398.68950335300235</v>
      </c>
      <c r="G56" s="8">
        <f>F56/D44</f>
        <v>40.599745758961539</v>
      </c>
      <c r="H56" s="20">
        <f>D32+G56</f>
        <v>138.79074575896155</v>
      </c>
      <c r="I56" s="15"/>
      <c r="J56" s="15"/>
      <c r="K56" s="15"/>
      <c r="L56" s="15"/>
      <c r="M56" s="15"/>
    </row>
    <row r="57" spans="3:13" ht="30" x14ac:dyDescent="0.25">
      <c r="C57" s="15"/>
      <c r="D57" s="15"/>
      <c r="E57" s="17" t="s">
        <v>30</v>
      </c>
      <c r="F57" s="8">
        <f>(SUM(K47:K54))/SUM(L34:L41)</f>
        <v>89.933385281723872</v>
      </c>
      <c r="G57" s="8">
        <f>F57/D44</f>
        <v>9.1581858739026352</v>
      </c>
      <c r="H57" s="20">
        <v>43.107999999999997</v>
      </c>
      <c r="I57" s="15"/>
      <c r="J57" s="15"/>
      <c r="K57" s="15"/>
      <c r="L57" s="15"/>
      <c r="M57" s="15"/>
    </row>
  </sheetData>
  <mergeCells count="6">
    <mergeCell ref="F45:G45"/>
    <mergeCell ref="F16:G16"/>
    <mergeCell ref="F17:G17"/>
    <mergeCell ref="G3:J3"/>
    <mergeCell ref="G31:J31"/>
    <mergeCell ref="F44:G44"/>
  </mergeCells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BB32484AA12344F874CE04C381EE0F9" ma:contentTypeVersion="10" ma:contentTypeDescription="Create a new document." ma:contentTypeScope="" ma:versionID="127830fe5cb4d93233e838f69fd992f8">
  <xsd:schema xmlns:xsd="http://www.w3.org/2001/XMLSchema" xmlns:xs="http://www.w3.org/2001/XMLSchema" xmlns:p="http://schemas.microsoft.com/office/2006/metadata/properties" xmlns:ns2="849eac14-19d5-4730-b86f-5876e241b65e" targetNamespace="http://schemas.microsoft.com/office/2006/metadata/properties" ma:root="true" ma:fieldsID="a0b758d21b529c7d233dae165949a810" ns2:_="">
    <xsd:import namespace="849eac14-19d5-4730-b86f-5876e241b65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9eac14-19d5-4730-b86f-5876e241b65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D877989-55DF-431A-8858-CCA4FD06D8B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49eac14-19d5-4730-b86f-5876e241b65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2D78A59-4C32-4523-9591-4374210F89B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9B5E805-481A-4ADA-B0CA-B571B29314DB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Viral Shah</dc:creator>
  <cp:lastModifiedBy>Viral Shah</cp:lastModifiedBy>
  <dcterms:created xsi:type="dcterms:W3CDTF">2022-03-09T13:50:18Z</dcterms:created>
  <dcterms:modified xsi:type="dcterms:W3CDTF">2022-03-11T16:18:11Z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0x010100FBB32484AA12344F874CE04C381EE0F9</vt:lpwstr>
  </property>
</Properties>
</file>