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dario\Desktop\test\dwave_tests\"/>
    </mc:Choice>
  </mc:AlternateContent>
  <xr:revisionPtr revIDLastSave="0" documentId="13_ncr:1_{49D39305-0CB9-4B6B-A8DE-26DF5799A6F5}" xr6:coauthVersionLast="47" xr6:coauthVersionMax="47" xr10:uidLastSave="{00000000-0000-0000-0000-000000000000}"/>
  <bookViews>
    <workbookView xWindow="0" yWindow="480" windowWidth="13260" windowHeight="11424" xr2:uid="{00000000-000D-0000-FFFF-FFFF00000000}"/>
  </bookViews>
  <sheets>
    <sheet name="Hoja1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5" i="2"/>
  <c r="F8" i="2"/>
  <c r="F13" i="2"/>
  <c r="F16" i="2"/>
  <c r="F1" i="2"/>
  <c r="E2" i="2"/>
  <c r="F2" i="2" s="1"/>
  <c r="E3" i="2"/>
  <c r="F3" i="2" s="1"/>
  <c r="E4" i="2"/>
  <c r="F4" i="2" s="1"/>
  <c r="E5" i="2"/>
  <c r="E6" i="2"/>
  <c r="F6" i="2" s="1"/>
  <c r="E7" i="2"/>
  <c r="F7" i="2" s="1"/>
  <c r="E8" i="2"/>
  <c r="E9" i="2"/>
  <c r="F9" i="2" s="1"/>
  <c r="E10" i="2"/>
  <c r="F10" i="2" s="1"/>
  <c r="E11" i="2"/>
  <c r="F11" i="2" s="1"/>
  <c r="E12" i="2"/>
  <c r="F12" i="2" s="1"/>
  <c r="E13" i="2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F20" i="2" s="1"/>
  <c r="E1" i="2"/>
  <c r="M45" i="1"/>
  <c r="L44" i="1"/>
  <c r="M44" i="1"/>
  <c r="G58" i="1"/>
  <c r="F57" i="1"/>
  <c r="G57" i="1"/>
  <c r="M39" i="1"/>
  <c r="L38" i="1"/>
  <c r="M38" i="1"/>
  <c r="M26" i="1"/>
  <c r="L25" i="1"/>
  <c r="M25" i="1"/>
  <c r="M20" i="1"/>
  <c r="L19" i="1"/>
  <c r="M19" i="1"/>
  <c r="G64" i="1"/>
  <c r="F63" i="1"/>
  <c r="G63" i="1"/>
  <c r="G44" i="1"/>
  <c r="F43" i="1"/>
  <c r="G43" i="1"/>
  <c r="G39" i="1"/>
  <c r="F38" i="1"/>
  <c r="G38" i="1"/>
  <c r="G26" i="1"/>
  <c r="F25" i="1"/>
  <c r="G25" i="1"/>
  <c r="G20" i="1"/>
  <c r="F19" i="1"/>
  <c r="G19" i="1"/>
  <c r="D57" i="1"/>
  <c r="E58" i="1" s="1"/>
  <c r="E65" i="1" s="1"/>
  <c r="E57" i="1"/>
  <c r="D65" i="1"/>
  <c r="E64" i="1"/>
  <c r="D63" i="1"/>
  <c r="E63" i="1"/>
  <c r="E25" i="1"/>
  <c r="E26" i="1" s="1"/>
  <c r="D25" i="1"/>
  <c r="D27" i="1" s="1"/>
  <c r="D19" i="1"/>
  <c r="E19" i="1"/>
  <c r="E20" i="1" s="1"/>
  <c r="E27" i="1" l="1"/>
  <c r="K38" i="1"/>
  <c r="J38" i="1"/>
  <c r="J44" i="1"/>
  <c r="J46" i="1" s="1"/>
  <c r="K44" i="1"/>
  <c r="K45" i="1" s="1"/>
  <c r="D38" i="1"/>
  <c r="E38" i="1"/>
  <c r="D44" i="1"/>
  <c r="E44" i="1"/>
  <c r="K19" i="1"/>
  <c r="J19" i="1"/>
  <c r="E46" i="1" l="1"/>
  <c r="K46" i="1"/>
  <c r="D46" i="1"/>
  <c r="K39" i="1"/>
  <c r="E45" i="1"/>
  <c r="E39" i="1"/>
  <c r="K20" i="1"/>
  <c r="J25" i="1"/>
  <c r="J27" i="1" s="1"/>
  <c r="K25" i="1"/>
  <c r="K27" i="1" s="1"/>
  <c r="K26" i="1" l="1"/>
</calcChain>
</file>

<file path=xl/sharedStrings.xml><?xml version="1.0" encoding="utf-8"?>
<sst xmlns="http://schemas.openxmlformats.org/spreadsheetml/2006/main" count="216" uniqueCount="104">
  <si>
    <t>OLD</t>
  </si>
  <si>
    <t>NEW</t>
  </si>
  <si>
    <t>Adv1</t>
  </si>
  <si>
    <t>Adv2</t>
  </si>
  <si>
    <t>runs</t>
  </si>
  <si>
    <t>variabili</t>
  </si>
  <si>
    <t>nodi</t>
  </si>
  <si>
    <t>transaz</t>
  </si>
  <si>
    <t>gain</t>
  </si>
  <si>
    <t>successi</t>
  </si>
  <si>
    <t>succ/runs</t>
  </si>
  <si>
    <t>qubits</t>
  </si>
  <si>
    <t>chain</t>
  </si>
  <si>
    <t>Valore transazioni: 1~18</t>
  </si>
  <si>
    <t>[CAP, FLOOR] = [-7,8]</t>
  </si>
  <si>
    <t>transaz/nodi = [1.5 , 2.2]</t>
  </si>
  <si>
    <t>transaz su singolo nodo = [2,3,4,5]</t>
  </si>
  <si>
    <t>4 problemi per ogni NTRANSAZ</t>
  </si>
  <si>
    <t>16000 runs per ogni NTRANSAZ</t>
  </si>
  <si>
    <t>4000 runs per problema, divisi come 16 sample da 250 runs</t>
  </si>
  <si>
    <t>4x4000</t>
  </si>
  <si>
    <t>2 2 2 2</t>
  </si>
  <si>
    <t>4 3~5 4~6 5~6</t>
  </si>
  <si>
    <t>2 2 2 2~3</t>
  </si>
  <si>
    <t>4~6 4~7 5~6 5~7</t>
  </si>
  <si>
    <t>Adv2 vs Adv1</t>
  </si>
  <si>
    <t>4k runs = 16 * 250 runs -&gt; -0,68% D-wave time</t>
  </si>
  <si>
    <t>** = provato alzando lambda0, ed il risultato è migliorato (primo valore in parentesi)</t>
  </si>
  <si>
    <t>* = provato alzando lambda0, ma senza avere miglioramenti (secondo valore in parentesi)</t>
  </si>
  <si>
    <t>3~5 4~6 4~6 5 5~7</t>
  </si>
  <si>
    <t>2 2~3 2~3 2~3</t>
  </si>
  <si>
    <t>4~7 5~7 6~8 6~8</t>
  </si>
  <si>
    <t>stringhe che soddisfano CFIO</t>
  </si>
  <si>
    <t>2 2 2~3 2</t>
  </si>
  <si>
    <t>4~5 4~6 4~6 5~7</t>
  </si>
  <si>
    <t>2~3 2 2~3 2~3</t>
  </si>
  <si>
    <t>5~8 5~7 6~8 6~9</t>
  </si>
  <si>
    <t>IDEA: plot elementi nella matrice qubo vs successi</t>
  </si>
  <si>
    <t>4~6 3~5 4~6 4~5</t>
  </si>
  <si>
    <t>5~7 5~6 5~7 5~7</t>
  </si>
  <si>
    <t>2 2 2~3 2~3</t>
  </si>
  <si>
    <t>2~3 2~3 2~3 3</t>
  </si>
  <si>
    <t>5~7 5~7 6~8 7~8</t>
  </si>
  <si>
    <t>4~6 5~7 5~7 5~8</t>
  </si>
  <si>
    <t>(19{36}) 5 + 3 + 6 + 5{22}</t>
  </si>
  <si>
    <t>(1012{1149}) 610{610} + 226{226} + 132{132} + 44{181}</t>
  </si>
  <si>
    <t>(2735{3149}) 1888 + 493 + 175 + 179{593}</t>
  </si>
  <si>
    <t>(63{85}) 14 + 29 + 17 + 3{25}</t>
  </si>
  <si>
    <t>(2{8}) 1{4} 0{3} 1{1} 0{0}</t>
  </si>
  <si>
    <t>(10{23}) 8{18} 0{1} 1{1} 1{3}</t>
  </si>
  <si>
    <t>(296{659}) 214{315} 73(307) 3{8} 6{29}</t>
  </si>
  <si>
    <t>(1149{2015}) 684{1088} 397(779) 26{35} 42{113}</t>
  </si>
  <si>
    <t>(4{6}) 0{0} 3{5} 1{1} 0{0}</t>
  </si>
  <si>
    <t>(2{5}) 0{0} 1{4} 0{0} 1{1}</t>
  </si>
  <si>
    <t>(735{934}) 61{129} 11{23} 629{748} 34{34}</t>
  </si>
  <si>
    <t>(322{454}) 25{45} 3{9} 288{394} 6{6}</t>
  </si>
  <si>
    <t>(6{24}) 0{0} 1{8} 2{2} 3{14}</t>
  </si>
  <si>
    <t>(661{869}) 380{380} 143{288} 40{40} 98{161}</t>
  </si>
  <si>
    <t>(1765{2284}) 757{757} 270{733} 33**(18,20){33} 705{761}</t>
  </si>
  <si>
    <t>(29{42}) 2*(1){2} 19{23} 6*(0){6} 2{11}</t>
  </si>
  <si>
    <t>(330{463}) 9{43} 117{216} 62{62} 142{142}</t>
  </si>
  <si>
    <t>(198{256}) 14{37} 28{63} 74{74} 82{82}</t>
  </si>
  <si>
    <t>(1366{2054}) 613{1178} 126{249} 471{471} 156{156}</t>
  </si>
  <si>
    <t>(3940{5152}) 1840{2628} 483{907} 1391{1391} 226{226}</t>
  </si>
  <si>
    <t>6,6,5,5 (max: 43-46 {4.3%}, 68-72 {5.6%}, 36-38 {5.3%}, 54-57 {5.3%}) media: 5,125%</t>
  </si>
  <si>
    <t>8,7,7,6 (max: 50-53 {5.7%}, 66-70 {5.7%}, 18-19 {5.3%}, 56-59 {5.1%}) media: 5,45%</t>
  </si>
  <si>
    <t>9,8,8,7 (max: 48-50 {4%}, 55-58 {5.2%}, 55-58 {5.2%}, 54-57{5.3%}) media: 4,925%</t>
  </si>
  <si>
    <t>10,9,9,8 (max: 86-91 {5.5%}, 53-56 {5.4%}, 76-80 {5.0%}, 81-86 {5.8%}) media: 5,425%</t>
  </si>
  <si>
    <t>12,11,10,9 (max: 83-88 {5.7%}, 91-96 {5.2%}, 60-63 {4.8%}, 78-82 {4.9%}) media: 5,15%</t>
  </si>
  <si>
    <t>50 50 50 50 (media: 50)</t>
  </si>
  <si>
    <t>60 60 60 60 (media: 60)</t>
  </si>
  <si>
    <t>15 16 16 18  (media: 16,25)</t>
  </si>
  <si>
    <t>70 70 70 68  (media: 69,5)</t>
  </si>
  <si>
    <t>18 20 22 21  (media: 20,25)</t>
  </si>
  <si>
    <t>80 78 80 80 (media: 79,5)</t>
  </si>
  <si>
    <t>20 23 23 27 (media: 23,25)</t>
  </si>
  <si>
    <t>86 90 90 90 (media: 89)</t>
  </si>
  <si>
    <t>21 24 26 28 (media: 24,75)</t>
  </si>
  <si>
    <t>14 15 17 15 (media: 15,25)</t>
  </si>
  <si>
    <t>81~102 84~96 93~114 85~100 (media: 94,375)</t>
  </si>
  <si>
    <t>85~115 88~103 100~113 89~121 (media: 101,75)</t>
  </si>
  <si>
    <t>18~22 19~23 26~29 22~25  (media: 23)</t>
  </si>
  <si>
    <t>17~20 18~21 22~25 19~22 (media: 20,5)</t>
  </si>
  <si>
    <t>91~107 95~130 102~133 104~135 (media: 112,125)</t>
  </si>
  <si>
    <t>92~109 91~107 101~115 108~130 (media: 106,625)</t>
  </si>
  <si>
    <t>17~20 20~22 19~22 25~29 (media: 21,75)</t>
  </si>
  <si>
    <t>16~18 20~22 18~20 23~27 (media: 20,5)</t>
  </si>
  <si>
    <t>112~148 127~169 139~178 133~183 (media: 148,625)</t>
  </si>
  <si>
    <t>108~124 118~145 135~159 127~161 (media: 134,625)</t>
  </si>
  <si>
    <t>21~23 26~30 30~35 30~33 (media: 28,5)</t>
  </si>
  <si>
    <t>20~23 25~29 28~31 27~32 (media: 26,875)</t>
  </si>
  <si>
    <t>137~171 143~180 148~181 161~199 (media: 165)</t>
  </si>
  <si>
    <t>23~29 29~35 31~39 38~44 (media: 33,5)</t>
  </si>
  <si>
    <t>136~152 133~159 145~175 149~174 (media: 152,875)</t>
  </si>
  <si>
    <t>23~29 28~34 29~33 36~40 (media: 31,5)</t>
  </si>
  <si>
    <t>141~176 152~191 181~220 179~230 (media: 183,75)</t>
  </si>
  <si>
    <t>147~173 156~180 170~196 173~200 (media: 174,375)</t>
  </si>
  <si>
    <t>27~31 31~37 37~44 43~49 (media: 37,375)</t>
  </si>
  <si>
    <t>27~29 30~32 34~40 39~46 (media: 34,625)</t>
  </si>
  <si>
    <t>18 16 7 9 (tot: 1024): average = 0,012</t>
  </si>
  <si>
    <t>26 8 7 41 (tot: 16384): average = 0,00125</t>
  </si>
  <si>
    <t>7{4} 35{1} 5{1} 17{1} (tot: 4096): average = 0,0039</t>
  </si>
  <si>
    <t>31 32 16 38 (tot: 65.536): average = 0,000446</t>
  </si>
  <si>
    <t>32 28 8 14 (tot: 262144): average = 0,0003128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</si>
</sst>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3" xfId="0" applyFill="1" applyBorder="1"/>
    <xf numFmtId="0" fontId="0" fillId="2" borderId="4" xfId="0" applyFill="1" applyBorder="1"/>
    <xf numFmtId="0" fontId="0" fillId="4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1" fillId="2" borderId="0" xfId="0" applyFont="1" applyFill="1"/>
    <xf numFmtId="164" fontId="0" fillId="3" borderId="0" xfId="0" applyNumberFormat="1" applyFill="1"/>
    <xf numFmtId="164" fontId="0" fillId="4" borderId="5" xfId="0" applyNumberFormat="1" applyFill="1" applyBorder="1"/>
    <xf numFmtId="2" fontId="1" fillId="4" borderId="8" xfId="0" applyNumberFormat="1" applyFont="1" applyFill="1" applyBorder="1"/>
    <xf numFmtId="2" fontId="1" fillId="3" borderId="7" xfId="0" applyNumberFormat="1" applyFont="1" applyFill="1" applyBorder="1"/>
    <xf numFmtId="165" fontId="0" fillId="3" borderId="0" xfId="0" applyNumberFormat="1" applyFill="1"/>
    <xf numFmtId="2" fontId="0" fillId="3" borderId="7" xfId="0" applyNumberFormat="1" applyFill="1" applyBorder="1"/>
    <xf numFmtId="0" fontId="4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5"/>
  <sheetViews>
    <sheetView tabSelected="1" topLeftCell="A42" zoomScale="71" zoomScaleNormal="85" workbookViewId="0">
      <selection activeCell="J35" sqref="J35"/>
    </sheetView>
  </sheetViews>
  <sheetFormatPr defaultRowHeight="14.4" x14ac:dyDescent="0.3"/>
  <cols>
    <col min="2" max="2" width="15.33203125" customWidth="1"/>
    <col min="3" max="3" width="12.109375" bestFit="1" customWidth="1"/>
    <col min="4" max="4" width="47.44140625" customWidth="1"/>
    <col min="5" max="5" width="50.109375" customWidth="1"/>
    <col min="6" max="6" width="9.44140625" customWidth="1"/>
    <col min="7" max="7" width="12.88671875" customWidth="1"/>
    <col min="8" max="8" width="12.88671875" bestFit="1" customWidth="1"/>
    <col min="9" max="9" width="27.88671875" bestFit="1" customWidth="1"/>
    <col min="10" max="10" width="47.33203125" customWidth="1"/>
    <col min="11" max="11" width="50.44140625" bestFit="1" customWidth="1"/>
    <col min="12" max="12" width="11" customWidth="1"/>
    <col min="13" max="13" width="11.21875" customWidth="1"/>
    <col min="14" max="14" width="33.77734375" bestFit="1" customWidth="1"/>
    <col min="15" max="15" width="29.6640625" bestFit="1" customWidth="1"/>
    <col min="17" max="17" width="9.44140625" bestFit="1" customWidth="1"/>
  </cols>
  <sheetData>
    <row r="2" spans="2:15" x14ac:dyDescent="0.3">
      <c r="B2" t="s">
        <v>15</v>
      </c>
      <c r="E2" t="s">
        <v>26</v>
      </c>
      <c r="J2" t="s">
        <v>37</v>
      </c>
    </row>
    <row r="3" spans="2:15" x14ac:dyDescent="0.3">
      <c r="B3" t="s">
        <v>16</v>
      </c>
      <c r="E3" t="s">
        <v>28</v>
      </c>
    </row>
    <row r="4" spans="2:15" x14ac:dyDescent="0.3">
      <c r="B4" t="s">
        <v>14</v>
      </c>
      <c r="E4" t="s">
        <v>27</v>
      </c>
    </row>
    <row r="5" spans="2:15" x14ac:dyDescent="0.3">
      <c r="B5" t="s">
        <v>18</v>
      </c>
    </row>
    <row r="6" spans="2:15" x14ac:dyDescent="0.3">
      <c r="B6" t="s">
        <v>17</v>
      </c>
    </row>
    <row r="7" spans="2:15" x14ac:dyDescent="0.3">
      <c r="B7" t="s">
        <v>19</v>
      </c>
    </row>
    <row r="8" spans="2:15" x14ac:dyDescent="0.3">
      <c r="B8" t="s">
        <v>13</v>
      </c>
    </row>
    <row r="10" spans="2:15" x14ac:dyDescent="0.3">
      <c r="C10" s="1" t="s">
        <v>32</v>
      </c>
      <c r="D10" s="1"/>
      <c r="E10" s="1" t="s">
        <v>99</v>
      </c>
      <c r="I10" s="1" t="s">
        <v>32</v>
      </c>
      <c r="J10" s="1"/>
      <c r="K10" s="1" t="s">
        <v>101</v>
      </c>
    </row>
    <row r="11" spans="2:15" x14ac:dyDescent="0.3">
      <c r="B11" s="1"/>
      <c r="C11" s="2" t="s">
        <v>6</v>
      </c>
      <c r="D11" s="14" t="s">
        <v>64</v>
      </c>
      <c r="E11" s="2"/>
      <c r="H11" s="1"/>
      <c r="I11" s="2" t="s">
        <v>6</v>
      </c>
      <c r="J11" s="14" t="s">
        <v>65</v>
      </c>
      <c r="K11" s="2"/>
    </row>
    <row r="12" spans="2:15" x14ac:dyDescent="0.3">
      <c r="B12" s="2"/>
      <c r="C12" s="2" t="s">
        <v>7</v>
      </c>
      <c r="D12" s="14">
        <v>10</v>
      </c>
      <c r="E12" s="2"/>
      <c r="H12" s="2"/>
      <c r="I12" s="2" t="s">
        <v>7</v>
      </c>
      <c r="J12" s="14">
        <v>12</v>
      </c>
      <c r="K12" s="2"/>
    </row>
    <row r="13" spans="2:15" x14ac:dyDescent="0.3">
      <c r="B13" s="2"/>
      <c r="C13" s="2"/>
      <c r="D13" s="3" t="s">
        <v>0</v>
      </c>
      <c r="E13" s="4" t="s">
        <v>1</v>
      </c>
      <c r="H13" s="2"/>
      <c r="I13" s="2"/>
      <c r="J13" s="3" t="s">
        <v>0</v>
      </c>
      <c r="K13" s="4" t="s">
        <v>1</v>
      </c>
    </row>
    <row r="14" spans="2:15" ht="15" thickBot="1" x14ac:dyDescent="0.35">
      <c r="B14" s="2"/>
      <c r="C14" s="2" t="s">
        <v>5</v>
      </c>
      <c r="D14" s="3" t="s">
        <v>69</v>
      </c>
      <c r="E14" s="4" t="s">
        <v>78</v>
      </c>
      <c r="H14" s="2"/>
      <c r="I14" s="2" t="s">
        <v>5</v>
      </c>
      <c r="J14" s="3" t="s">
        <v>70</v>
      </c>
      <c r="K14" s="4" t="s">
        <v>71</v>
      </c>
      <c r="O14" s="21"/>
    </row>
    <row r="15" spans="2:15" x14ac:dyDescent="0.3">
      <c r="B15" s="5" t="s">
        <v>2</v>
      </c>
      <c r="C15" s="6" t="s">
        <v>11</v>
      </c>
      <c r="D15" s="7" t="s">
        <v>80</v>
      </c>
      <c r="E15" s="8" t="s">
        <v>81</v>
      </c>
      <c r="H15" s="5" t="s">
        <v>2</v>
      </c>
      <c r="I15" s="6" t="s">
        <v>11</v>
      </c>
      <c r="J15" s="7" t="s">
        <v>83</v>
      </c>
      <c r="K15" s="8" t="s">
        <v>85</v>
      </c>
    </row>
    <row r="16" spans="2:15" x14ac:dyDescent="0.3">
      <c r="B16" s="9"/>
      <c r="C16" s="2" t="s">
        <v>12</v>
      </c>
      <c r="D16" s="3" t="s">
        <v>39</v>
      </c>
      <c r="E16" s="10" t="s">
        <v>40</v>
      </c>
      <c r="H16" s="9"/>
      <c r="I16" s="2" t="s">
        <v>12</v>
      </c>
      <c r="J16" s="3" t="s">
        <v>24</v>
      </c>
      <c r="K16" s="10" t="s">
        <v>23</v>
      </c>
    </row>
    <row r="17" spans="2:13" x14ac:dyDescent="0.3">
      <c r="B17" s="9"/>
      <c r="C17" s="2" t="s">
        <v>9</v>
      </c>
      <c r="D17" s="3" t="s">
        <v>61</v>
      </c>
      <c r="E17" s="10" t="s">
        <v>62</v>
      </c>
      <c r="H17" s="9"/>
      <c r="I17" s="2" t="s">
        <v>9</v>
      </c>
      <c r="J17" s="3" t="s">
        <v>44</v>
      </c>
      <c r="K17" s="10" t="s">
        <v>45</v>
      </c>
    </row>
    <row r="18" spans="2:13" x14ac:dyDescent="0.3">
      <c r="B18" s="9"/>
      <c r="C18" s="2" t="s">
        <v>4</v>
      </c>
      <c r="D18" s="3" t="s">
        <v>20</v>
      </c>
      <c r="E18" s="10" t="s">
        <v>20</v>
      </c>
      <c r="H18" s="9"/>
      <c r="I18" s="2" t="s">
        <v>4</v>
      </c>
      <c r="J18" s="3" t="s">
        <v>20</v>
      </c>
      <c r="K18" s="10" t="s">
        <v>20</v>
      </c>
    </row>
    <row r="19" spans="2:13" x14ac:dyDescent="0.3">
      <c r="B19" s="9"/>
      <c r="C19" s="2" t="s">
        <v>10</v>
      </c>
      <c r="D19" s="15">
        <f>198/16000</f>
        <v>1.2375000000000001E-2</v>
      </c>
      <c r="E19" s="16">
        <f>1366/16000</f>
        <v>8.5375000000000006E-2</v>
      </c>
      <c r="F19" s="22">
        <f>256/16000</f>
        <v>1.6E-2</v>
      </c>
      <c r="G19" s="22">
        <f>2054/16000</f>
        <v>0.12837499999999999</v>
      </c>
      <c r="H19" s="9"/>
      <c r="I19" s="2" t="s">
        <v>10</v>
      </c>
      <c r="J19" s="19">
        <f>19/16000</f>
        <v>1.1875E-3</v>
      </c>
      <c r="K19" s="16">
        <f>1012/16000</f>
        <v>6.3250000000000001E-2</v>
      </c>
      <c r="L19">
        <f>36/16000</f>
        <v>2.2499999999999998E-3</v>
      </c>
      <c r="M19">
        <f>1149/16000</f>
        <v>7.1812500000000001E-2</v>
      </c>
    </row>
    <row r="20" spans="2:13" ht="15" thickBot="1" x14ac:dyDescent="0.35">
      <c r="B20" s="11"/>
      <c r="C20" s="12" t="s">
        <v>8</v>
      </c>
      <c r="D20" s="13"/>
      <c r="E20" s="17">
        <f>E19/D19</f>
        <v>6.8989898989898988</v>
      </c>
      <c r="G20" s="23">
        <f>G19/F19</f>
        <v>8.0234375</v>
      </c>
      <c r="H20" s="11"/>
      <c r="I20" s="12" t="s">
        <v>8</v>
      </c>
      <c r="J20" s="13"/>
      <c r="K20" s="17">
        <f>K19/J19</f>
        <v>53.263157894736842</v>
      </c>
      <c r="M20">
        <f>M19/L19</f>
        <v>31.916666666666671</v>
      </c>
    </row>
    <row r="21" spans="2:13" x14ac:dyDescent="0.3">
      <c r="B21" s="5" t="s">
        <v>3</v>
      </c>
      <c r="C21" s="6" t="s">
        <v>11</v>
      </c>
      <c r="D21" s="7" t="s">
        <v>79</v>
      </c>
      <c r="E21" s="8" t="s">
        <v>82</v>
      </c>
      <c r="H21" s="5" t="s">
        <v>3</v>
      </c>
      <c r="I21" s="6" t="s">
        <v>11</v>
      </c>
      <c r="J21" s="7" t="s">
        <v>84</v>
      </c>
      <c r="K21" s="8" t="s">
        <v>86</v>
      </c>
    </row>
    <row r="22" spans="2:13" x14ac:dyDescent="0.3">
      <c r="B22" s="9"/>
      <c r="C22" s="2" t="s">
        <v>12</v>
      </c>
      <c r="D22" s="3" t="s">
        <v>38</v>
      </c>
      <c r="E22" s="10" t="s">
        <v>21</v>
      </c>
      <c r="H22" s="9"/>
      <c r="I22" s="2" t="s">
        <v>12</v>
      </c>
      <c r="J22" s="3" t="s">
        <v>22</v>
      </c>
      <c r="K22" s="10" t="s">
        <v>21</v>
      </c>
    </row>
    <row r="23" spans="2:13" x14ac:dyDescent="0.3">
      <c r="B23" s="9"/>
      <c r="C23" s="2" t="s">
        <v>9</v>
      </c>
      <c r="D23" s="3" t="s">
        <v>60</v>
      </c>
      <c r="E23" s="10" t="s">
        <v>63</v>
      </c>
      <c r="H23" s="9"/>
      <c r="I23" s="2" t="s">
        <v>9</v>
      </c>
      <c r="J23" s="3" t="s">
        <v>47</v>
      </c>
      <c r="K23" s="10" t="s">
        <v>46</v>
      </c>
    </row>
    <row r="24" spans="2:13" x14ac:dyDescent="0.3">
      <c r="B24" s="9"/>
      <c r="C24" s="2" t="s">
        <v>4</v>
      </c>
      <c r="D24" s="3" t="s">
        <v>20</v>
      </c>
      <c r="E24" s="10" t="s">
        <v>20</v>
      </c>
      <c r="H24" s="9"/>
      <c r="I24" s="2" t="s">
        <v>4</v>
      </c>
      <c r="J24" s="3" t="s">
        <v>20</v>
      </c>
      <c r="K24" s="10" t="s">
        <v>20</v>
      </c>
    </row>
    <row r="25" spans="2:13" x14ac:dyDescent="0.3">
      <c r="B25" s="9"/>
      <c r="C25" s="2" t="s">
        <v>10</v>
      </c>
      <c r="D25" s="15">
        <f>350/16000</f>
        <v>2.1874999999999999E-2</v>
      </c>
      <c r="E25" s="16">
        <f>3777/16000</f>
        <v>0.23606250000000001</v>
      </c>
      <c r="F25" s="22">
        <f>463/16000</f>
        <v>2.8937500000000001E-2</v>
      </c>
      <c r="G25" s="22">
        <f>5152/16000</f>
        <v>0.32200000000000001</v>
      </c>
      <c r="H25" s="9"/>
      <c r="I25" s="2" t="s">
        <v>10</v>
      </c>
      <c r="J25" s="15">
        <f>63/16000</f>
        <v>3.9375E-3</v>
      </c>
      <c r="K25" s="16">
        <f>2735/16000</f>
        <v>0.17093749999999999</v>
      </c>
      <c r="L25">
        <f>85/16000</f>
        <v>5.3125000000000004E-3</v>
      </c>
      <c r="M25">
        <f>3149/16000</f>
        <v>0.1968125</v>
      </c>
    </row>
    <row r="26" spans="2:13" ht="15" thickBot="1" x14ac:dyDescent="0.35">
      <c r="B26" s="11"/>
      <c r="C26" s="12" t="s">
        <v>8</v>
      </c>
      <c r="D26" s="13"/>
      <c r="E26" s="17">
        <f>E25/D25</f>
        <v>10.791428571428572</v>
      </c>
      <c r="G26" s="23">
        <f>G25/F25</f>
        <v>11.127429805615551</v>
      </c>
      <c r="H26" s="11"/>
      <c r="I26" s="12" t="s">
        <v>8</v>
      </c>
      <c r="J26" s="13"/>
      <c r="K26" s="17">
        <f>K25/J25</f>
        <v>43.412698412698411</v>
      </c>
      <c r="M26">
        <f>M25/L25</f>
        <v>37.047058823529412</v>
      </c>
    </row>
    <row r="27" spans="2:13" ht="15" thickBot="1" x14ac:dyDescent="0.35">
      <c r="B27" s="11" t="s">
        <v>25</v>
      </c>
      <c r="C27" s="12"/>
      <c r="D27" s="18">
        <f>D25/D19</f>
        <v>1.7676767676767675</v>
      </c>
      <c r="E27" s="17">
        <f>E26/E20</f>
        <v>1.5642041413930141</v>
      </c>
      <c r="H27" s="11" t="s">
        <v>25</v>
      </c>
      <c r="I27" s="12"/>
      <c r="J27" s="18">
        <f>J25/J19</f>
        <v>3.3157894736842106</v>
      </c>
      <c r="K27" s="17">
        <f>K25/K19</f>
        <v>2.7025691699604741</v>
      </c>
    </row>
    <row r="29" spans="2:13" x14ac:dyDescent="0.3">
      <c r="C29" s="1" t="s">
        <v>32</v>
      </c>
      <c r="D29" s="1"/>
      <c r="E29" s="1" t="s">
        <v>100</v>
      </c>
      <c r="I29" s="1" t="s">
        <v>32</v>
      </c>
      <c r="J29" s="1"/>
      <c r="K29" s="1" t="s">
        <v>102</v>
      </c>
    </row>
    <row r="30" spans="2:13" x14ac:dyDescent="0.3">
      <c r="B30" s="1"/>
      <c r="C30" s="2" t="s">
        <v>6</v>
      </c>
      <c r="D30" s="14" t="s">
        <v>66</v>
      </c>
      <c r="E30" s="2"/>
      <c r="H30" s="1"/>
      <c r="I30" s="2" t="s">
        <v>6</v>
      </c>
      <c r="J30" s="14" t="s">
        <v>67</v>
      </c>
      <c r="K30" s="2"/>
    </row>
    <row r="31" spans="2:13" x14ac:dyDescent="0.3">
      <c r="B31" s="2"/>
      <c r="C31" s="2" t="s">
        <v>7</v>
      </c>
      <c r="D31" s="14">
        <v>14</v>
      </c>
      <c r="E31" s="2"/>
      <c r="H31" s="2"/>
      <c r="I31" s="2" t="s">
        <v>7</v>
      </c>
      <c r="J31" s="14">
        <v>16</v>
      </c>
      <c r="K31" s="2"/>
    </row>
    <row r="32" spans="2:13" x14ac:dyDescent="0.3">
      <c r="B32" s="2"/>
      <c r="C32" s="2"/>
      <c r="D32" s="3" t="s">
        <v>0</v>
      </c>
      <c r="E32" s="4" t="s">
        <v>1</v>
      </c>
      <c r="H32" s="2"/>
      <c r="I32" s="2"/>
      <c r="J32" s="3" t="s">
        <v>0</v>
      </c>
      <c r="K32" s="4" t="s">
        <v>1</v>
      </c>
    </row>
    <row r="33" spans="2:13" ht="15" thickBot="1" x14ac:dyDescent="0.35">
      <c r="B33" s="2"/>
      <c r="C33" s="2" t="s">
        <v>5</v>
      </c>
      <c r="D33" s="3" t="s">
        <v>72</v>
      </c>
      <c r="E33" s="4" t="s">
        <v>73</v>
      </c>
      <c r="H33" s="2"/>
      <c r="I33" s="2" t="s">
        <v>5</v>
      </c>
      <c r="J33" s="3" t="s">
        <v>74</v>
      </c>
      <c r="K33" s="4" t="s">
        <v>75</v>
      </c>
    </row>
    <row r="34" spans="2:13" x14ac:dyDescent="0.3">
      <c r="B34" s="5" t="s">
        <v>2</v>
      </c>
      <c r="C34" s="6" t="s">
        <v>11</v>
      </c>
      <c r="D34" s="7" t="s">
        <v>87</v>
      </c>
      <c r="E34" s="8" t="s">
        <v>89</v>
      </c>
      <c r="H34" s="5" t="s">
        <v>2</v>
      </c>
      <c r="I34" s="6" t="s">
        <v>11</v>
      </c>
      <c r="J34" s="7" t="s">
        <v>91</v>
      </c>
      <c r="K34" s="8" t="s">
        <v>92</v>
      </c>
    </row>
    <row r="35" spans="2:13" x14ac:dyDescent="0.3">
      <c r="B35" s="9"/>
      <c r="C35" s="2" t="s">
        <v>12</v>
      </c>
      <c r="D35" s="3" t="s">
        <v>31</v>
      </c>
      <c r="E35" s="10" t="s">
        <v>30</v>
      </c>
      <c r="H35" s="9"/>
      <c r="I35" s="2" t="s">
        <v>12</v>
      </c>
      <c r="J35" s="3" t="s">
        <v>36</v>
      </c>
      <c r="K35" s="10" t="s">
        <v>35</v>
      </c>
    </row>
    <row r="36" spans="2:13" x14ac:dyDescent="0.3">
      <c r="B36" s="9"/>
      <c r="C36" s="2" t="s">
        <v>9</v>
      </c>
      <c r="D36" s="3" t="s">
        <v>56</v>
      </c>
      <c r="E36" s="10" t="s">
        <v>57</v>
      </c>
      <c r="H36" s="9"/>
      <c r="I36" s="2" t="s">
        <v>9</v>
      </c>
      <c r="J36" s="3" t="s">
        <v>48</v>
      </c>
      <c r="K36" s="10" t="s">
        <v>50</v>
      </c>
    </row>
    <row r="37" spans="2:13" x14ac:dyDescent="0.3">
      <c r="B37" s="9"/>
      <c r="C37" s="2" t="s">
        <v>4</v>
      </c>
      <c r="D37" s="3" t="s">
        <v>20</v>
      </c>
      <c r="E37" s="10" t="s">
        <v>20</v>
      </c>
      <c r="H37" s="9"/>
      <c r="I37" s="2" t="s">
        <v>4</v>
      </c>
      <c r="J37" s="3" t="s">
        <v>20</v>
      </c>
      <c r="K37" s="10" t="s">
        <v>20</v>
      </c>
    </row>
    <row r="38" spans="2:13" x14ac:dyDescent="0.3">
      <c r="B38" s="9"/>
      <c r="C38" s="2" t="s">
        <v>10</v>
      </c>
      <c r="D38" s="15">
        <f>6/16000</f>
        <v>3.7500000000000001E-4</v>
      </c>
      <c r="E38" s="16">
        <f>661/16000</f>
        <v>4.1312500000000002E-2</v>
      </c>
      <c r="F38">
        <f>24/16000</f>
        <v>1.5E-3</v>
      </c>
      <c r="G38">
        <f>869/16000</f>
        <v>5.43125E-2</v>
      </c>
      <c r="H38" s="9"/>
      <c r="I38" s="2" t="s">
        <v>10</v>
      </c>
      <c r="J38" s="15">
        <f>2/16000</f>
        <v>1.25E-4</v>
      </c>
      <c r="K38" s="16">
        <f>296/16000</f>
        <v>1.8499999999999999E-2</v>
      </c>
      <c r="L38">
        <f>8/16000</f>
        <v>5.0000000000000001E-4</v>
      </c>
      <c r="M38">
        <f>659/16000</f>
        <v>4.1187500000000002E-2</v>
      </c>
    </row>
    <row r="39" spans="2:13" ht="15" thickBot="1" x14ac:dyDescent="0.35">
      <c r="B39" s="11"/>
      <c r="C39" s="12" t="s">
        <v>8</v>
      </c>
      <c r="D39" s="13"/>
      <c r="E39" s="17">
        <f>E38/D38</f>
        <v>110.16666666666667</v>
      </c>
      <c r="G39">
        <f>G38/F38</f>
        <v>36.208333333333336</v>
      </c>
      <c r="H39" s="11"/>
      <c r="I39" s="12" t="s">
        <v>8</v>
      </c>
      <c r="J39" s="13"/>
      <c r="K39" s="17">
        <f>K38/J38</f>
        <v>148</v>
      </c>
      <c r="M39">
        <f>M38/L38</f>
        <v>82.375</v>
      </c>
    </row>
    <row r="40" spans="2:13" x14ac:dyDescent="0.3">
      <c r="B40" s="5" t="s">
        <v>3</v>
      </c>
      <c r="C40" s="6" t="s">
        <v>11</v>
      </c>
      <c r="D40" s="7" t="s">
        <v>88</v>
      </c>
      <c r="E40" s="8" t="s">
        <v>90</v>
      </c>
      <c r="H40" s="5" t="s">
        <v>3</v>
      </c>
      <c r="I40" s="6" t="s">
        <v>11</v>
      </c>
      <c r="J40" s="7" t="s">
        <v>93</v>
      </c>
      <c r="K40" s="8" t="s">
        <v>94</v>
      </c>
    </row>
    <row r="41" spans="2:13" x14ac:dyDescent="0.3">
      <c r="B41" s="9"/>
      <c r="C41" s="2" t="s">
        <v>12</v>
      </c>
      <c r="D41" s="3" t="s">
        <v>29</v>
      </c>
      <c r="E41" s="10" t="s">
        <v>21</v>
      </c>
      <c r="H41" s="9"/>
      <c r="I41" s="2" t="s">
        <v>12</v>
      </c>
      <c r="J41" s="3" t="s">
        <v>34</v>
      </c>
      <c r="K41" s="10" t="s">
        <v>33</v>
      </c>
    </row>
    <row r="42" spans="2:13" x14ac:dyDescent="0.3">
      <c r="B42" s="9"/>
      <c r="C42" s="2" t="s">
        <v>9</v>
      </c>
      <c r="D42" s="3" t="s">
        <v>59</v>
      </c>
      <c r="E42" s="10" t="s">
        <v>58</v>
      </c>
      <c r="H42" s="9"/>
      <c r="I42" s="2" t="s">
        <v>9</v>
      </c>
      <c r="J42" s="3" t="s">
        <v>49</v>
      </c>
      <c r="K42" s="10" t="s">
        <v>51</v>
      </c>
    </row>
    <row r="43" spans="2:13" x14ac:dyDescent="0.3">
      <c r="B43" s="9"/>
      <c r="C43" s="2" t="s">
        <v>4</v>
      </c>
      <c r="D43" s="3" t="s">
        <v>20</v>
      </c>
      <c r="E43" s="10" t="s">
        <v>20</v>
      </c>
      <c r="F43">
        <f>42/16000</f>
        <v>2.6250000000000002E-3</v>
      </c>
      <c r="G43">
        <f>2284/16000</f>
        <v>0.14274999999999999</v>
      </c>
      <c r="H43" s="9"/>
      <c r="I43" s="2" t="s">
        <v>4</v>
      </c>
      <c r="J43" s="3" t="s">
        <v>20</v>
      </c>
      <c r="K43" s="10" t="s">
        <v>20</v>
      </c>
    </row>
    <row r="44" spans="2:13" x14ac:dyDescent="0.3">
      <c r="B44" s="9"/>
      <c r="C44" s="2" t="s">
        <v>10</v>
      </c>
      <c r="D44" s="15">
        <f>29/16000</f>
        <v>1.8125000000000001E-3</v>
      </c>
      <c r="E44" s="16">
        <f>1765/16000</f>
        <v>0.11031249999999999</v>
      </c>
      <c r="G44">
        <f>G43/F43</f>
        <v>54.380952380952372</v>
      </c>
      <c r="H44" s="9"/>
      <c r="I44" s="2" t="s">
        <v>10</v>
      </c>
      <c r="J44" s="15">
        <f>10/16000</f>
        <v>6.2500000000000001E-4</v>
      </c>
      <c r="K44" s="16">
        <f>1149/16000</f>
        <v>7.1812500000000001E-2</v>
      </c>
      <c r="L44">
        <f>23/16000</f>
        <v>1.4375E-3</v>
      </c>
      <c r="M44">
        <f>2015/16000</f>
        <v>0.12593750000000001</v>
      </c>
    </row>
    <row r="45" spans="2:13" ht="15" thickBot="1" x14ac:dyDescent="0.35">
      <c r="B45" s="11"/>
      <c r="C45" s="12" t="s">
        <v>8</v>
      </c>
      <c r="D45" s="13"/>
      <c r="E45" s="17">
        <f>E44/D44</f>
        <v>60.862068965517238</v>
      </c>
      <c r="H45" s="11"/>
      <c r="I45" s="12" t="s">
        <v>8</v>
      </c>
      <c r="J45" s="13"/>
      <c r="K45" s="17">
        <f>K44/J44</f>
        <v>114.9</v>
      </c>
      <c r="M45">
        <f>M44/L44</f>
        <v>87.608695652173921</v>
      </c>
    </row>
    <row r="46" spans="2:13" ht="15" thickBot="1" x14ac:dyDescent="0.35">
      <c r="B46" s="11" t="s">
        <v>25</v>
      </c>
      <c r="C46" s="12"/>
      <c r="D46" s="20">
        <f>D44/D38</f>
        <v>4.833333333333333</v>
      </c>
      <c r="E46" s="17">
        <f>E44/E38</f>
        <v>2.6701966717095309</v>
      </c>
      <c r="H46" s="11" t="s">
        <v>25</v>
      </c>
      <c r="I46" s="12"/>
      <c r="J46" s="20">
        <f>J44/J38</f>
        <v>5</v>
      </c>
      <c r="K46" s="17">
        <f>K44/K38</f>
        <v>3.881756756756757</v>
      </c>
    </row>
    <row r="48" spans="2:13" x14ac:dyDescent="0.3">
      <c r="C48" s="1" t="s">
        <v>32</v>
      </c>
      <c r="D48" s="1"/>
      <c r="E48" s="1" t="s">
        <v>103</v>
      </c>
    </row>
    <row r="49" spans="2:7" x14ac:dyDescent="0.3">
      <c r="B49" s="1"/>
      <c r="C49" s="2" t="s">
        <v>6</v>
      </c>
      <c r="D49" s="14" t="s">
        <v>68</v>
      </c>
      <c r="E49" s="2"/>
    </row>
    <row r="50" spans="2:7" x14ac:dyDescent="0.3">
      <c r="B50" s="2"/>
      <c r="C50" s="2" t="s">
        <v>7</v>
      </c>
      <c r="D50" s="14">
        <v>18</v>
      </c>
      <c r="E50" s="2"/>
    </row>
    <row r="51" spans="2:7" x14ac:dyDescent="0.3">
      <c r="B51" s="2"/>
      <c r="C51" s="2"/>
      <c r="D51" s="3" t="s">
        <v>0</v>
      </c>
      <c r="E51" s="4" t="s">
        <v>1</v>
      </c>
    </row>
    <row r="52" spans="2:7" ht="15" thickBot="1" x14ac:dyDescent="0.35">
      <c r="B52" s="2"/>
      <c r="C52" s="2" t="s">
        <v>5</v>
      </c>
      <c r="D52" s="3" t="s">
        <v>76</v>
      </c>
      <c r="E52" s="4" t="s">
        <v>77</v>
      </c>
    </row>
    <row r="53" spans="2:7" x14ac:dyDescent="0.3">
      <c r="B53" s="5" t="s">
        <v>2</v>
      </c>
      <c r="C53" s="6" t="s">
        <v>11</v>
      </c>
      <c r="D53" s="7" t="s">
        <v>95</v>
      </c>
      <c r="E53" s="8" t="s">
        <v>97</v>
      </c>
    </row>
    <row r="54" spans="2:7" x14ac:dyDescent="0.3">
      <c r="B54" s="9"/>
      <c r="C54" s="2" t="s">
        <v>12</v>
      </c>
      <c r="D54" s="3" t="s">
        <v>42</v>
      </c>
      <c r="E54" s="10" t="s">
        <v>41</v>
      </c>
    </row>
    <row r="55" spans="2:7" x14ac:dyDescent="0.3">
      <c r="B55" s="9"/>
      <c r="C55" s="2" t="s">
        <v>9</v>
      </c>
      <c r="D55" s="3" t="s">
        <v>53</v>
      </c>
      <c r="E55" s="10" t="s">
        <v>55</v>
      </c>
      <c r="G55" s="21"/>
    </row>
    <row r="56" spans="2:7" x14ac:dyDescent="0.3">
      <c r="B56" s="9"/>
      <c r="C56" s="2" t="s">
        <v>4</v>
      </c>
      <c r="D56" s="3" t="s">
        <v>20</v>
      </c>
      <c r="E56" s="10" t="s">
        <v>20</v>
      </c>
    </row>
    <row r="57" spans="2:7" x14ac:dyDescent="0.3">
      <c r="B57" s="9"/>
      <c r="C57" s="2" t="s">
        <v>10</v>
      </c>
      <c r="D57" s="15">
        <f>2/16000</f>
        <v>1.25E-4</v>
      </c>
      <c r="E57" s="10">
        <f>322/16000</f>
        <v>2.0125000000000001E-2</v>
      </c>
      <c r="F57">
        <f>5/16000</f>
        <v>3.1250000000000001E-4</v>
      </c>
      <c r="G57">
        <f>454/16000</f>
        <v>2.8375000000000001E-2</v>
      </c>
    </row>
    <row r="58" spans="2:7" ht="15" thickBot="1" x14ac:dyDescent="0.35">
      <c r="B58" s="11"/>
      <c r="C58" s="12" t="s">
        <v>8</v>
      </c>
      <c r="D58" s="13"/>
      <c r="E58" s="17">
        <f>E57/D57</f>
        <v>161</v>
      </c>
      <c r="G58">
        <f>G57/F57</f>
        <v>90.8</v>
      </c>
    </row>
    <row r="59" spans="2:7" x14ac:dyDescent="0.3">
      <c r="B59" s="5" t="s">
        <v>3</v>
      </c>
      <c r="C59" s="6" t="s">
        <v>11</v>
      </c>
      <c r="D59" s="7" t="s">
        <v>96</v>
      </c>
      <c r="E59" s="8" t="s">
        <v>98</v>
      </c>
    </row>
    <row r="60" spans="2:7" x14ac:dyDescent="0.3">
      <c r="B60" s="9"/>
      <c r="C60" s="2" t="s">
        <v>12</v>
      </c>
      <c r="D60" s="3" t="s">
        <v>43</v>
      </c>
      <c r="E60" s="10" t="s">
        <v>23</v>
      </c>
    </row>
    <row r="61" spans="2:7" x14ac:dyDescent="0.3">
      <c r="B61" s="9"/>
      <c r="C61" s="2" t="s">
        <v>9</v>
      </c>
      <c r="D61" s="3" t="s">
        <v>52</v>
      </c>
      <c r="E61" s="10" t="s">
        <v>54</v>
      </c>
    </row>
    <row r="62" spans="2:7" x14ac:dyDescent="0.3">
      <c r="B62" s="9"/>
      <c r="C62" s="2" t="s">
        <v>4</v>
      </c>
      <c r="D62" s="3" t="s">
        <v>20</v>
      </c>
      <c r="E62" s="10" t="s">
        <v>20</v>
      </c>
    </row>
    <row r="63" spans="2:7" x14ac:dyDescent="0.3">
      <c r="B63" s="9"/>
      <c r="C63" s="2" t="s">
        <v>10</v>
      </c>
      <c r="D63" s="15">
        <f>4/16000</f>
        <v>2.5000000000000001E-4</v>
      </c>
      <c r="E63" s="16">
        <f>735/16000</f>
        <v>4.5937499999999999E-2</v>
      </c>
      <c r="F63">
        <f>6/16000</f>
        <v>3.7500000000000001E-4</v>
      </c>
      <c r="G63">
        <f>934/16000</f>
        <v>5.8375000000000003E-2</v>
      </c>
    </row>
    <row r="64" spans="2:7" ht="15" thickBot="1" x14ac:dyDescent="0.35">
      <c r="B64" s="11"/>
      <c r="C64" s="12" t="s">
        <v>8</v>
      </c>
      <c r="D64" s="13"/>
      <c r="E64" s="17">
        <f>E63/D63</f>
        <v>183.75</v>
      </c>
      <c r="G64">
        <f>G63/F63</f>
        <v>155.66666666666669</v>
      </c>
    </row>
    <row r="65" spans="2:5" ht="15" thickBot="1" x14ac:dyDescent="0.35">
      <c r="B65" s="11" t="s">
        <v>25</v>
      </c>
      <c r="C65" s="12"/>
      <c r="D65" s="18">
        <f>D63/D57</f>
        <v>2</v>
      </c>
      <c r="E65" s="17">
        <f>E64/E58</f>
        <v>1.1413043478260869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15F3A-07D5-407E-8CDF-CF64C6B99084}">
  <dimension ref="B1:F22"/>
  <sheetViews>
    <sheetView workbookViewId="0">
      <selection activeCell="F25" sqref="F25"/>
    </sheetView>
  </sheetViews>
  <sheetFormatPr defaultRowHeight="14.4" x14ac:dyDescent="0.3"/>
  <sheetData>
    <row r="1" spans="2:6" x14ac:dyDescent="0.3">
      <c r="B1">
        <v>10</v>
      </c>
      <c r="C1">
        <v>50</v>
      </c>
      <c r="D1">
        <v>14</v>
      </c>
      <c r="E1">
        <f>(D1-B1)/(C1-B1)</f>
        <v>0.1</v>
      </c>
      <c r="F1">
        <f>1-E1</f>
        <v>0.9</v>
      </c>
    </row>
    <row r="2" spans="2:6" x14ac:dyDescent="0.3">
      <c r="B2">
        <v>10</v>
      </c>
      <c r="C2">
        <v>50</v>
      </c>
      <c r="D2">
        <v>15</v>
      </c>
      <c r="E2">
        <f t="shared" ref="E2:E20" si="0">(D2-B2)/(C2-B2)</f>
        <v>0.125</v>
      </c>
      <c r="F2">
        <f t="shared" ref="F2:F20" si="1">1-E2</f>
        <v>0.875</v>
      </c>
    </row>
    <row r="3" spans="2:6" x14ac:dyDescent="0.3">
      <c r="B3">
        <v>10</v>
      </c>
      <c r="C3">
        <v>50</v>
      </c>
      <c r="D3">
        <v>17</v>
      </c>
      <c r="E3">
        <f t="shared" si="0"/>
        <v>0.17499999999999999</v>
      </c>
      <c r="F3">
        <f t="shared" si="1"/>
        <v>0.82499999999999996</v>
      </c>
    </row>
    <row r="4" spans="2:6" x14ac:dyDescent="0.3">
      <c r="B4">
        <v>10</v>
      </c>
      <c r="C4">
        <v>50</v>
      </c>
      <c r="D4">
        <v>15</v>
      </c>
      <c r="E4">
        <f t="shared" si="0"/>
        <v>0.125</v>
      </c>
      <c r="F4">
        <f t="shared" si="1"/>
        <v>0.875</v>
      </c>
    </row>
    <row r="5" spans="2:6" x14ac:dyDescent="0.3">
      <c r="B5">
        <v>12</v>
      </c>
      <c r="C5">
        <v>60</v>
      </c>
      <c r="D5">
        <v>15</v>
      </c>
      <c r="E5">
        <f t="shared" si="0"/>
        <v>6.25E-2</v>
      </c>
      <c r="F5">
        <f t="shared" si="1"/>
        <v>0.9375</v>
      </c>
    </row>
    <row r="6" spans="2:6" x14ac:dyDescent="0.3">
      <c r="B6">
        <v>12</v>
      </c>
      <c r="C6">
        <v>60</v>
      </c>
      <c r="D6">
        <v>16</v>
      </c>
      <c r="E6">
        <f t="shared" si="0"/>
        <v>8.3333333333333329E-2</v>
      </c>
      <c r="F6">
        <f t="shared" si="1"/>
        <v>0.91666666666666663</v>
      </c>
    </row>
    <row r="7" spans="2:6" x14ac:dyDescent="0.3">
      <c r="B7">
        <v>12</v>
      </c>
      <c r="C7">
        <v>60</v>
      </c>
      <c r="D7">
        <v>16</v>
      </c>
      <c r="E7">
        <f t="shared" si="0"/>
        <v>8.3333333333333329E-2</v>
      </c>
      <c r="F7">
        <f t="shared" si="1"/>
        <v>0.91666666666666663</v>
      </c>
    </row>
    <row r="8" spans="2:6" x14ac:dyDescent="0.3">
      <c r="B8">
        <v>12</v>
      </c>
      <c r="C8">
        <v>60</v>
      </c>
      <c r="D8">
        <v>18</v>
      </c>
      <c r="E8">
        <f t="shared" si="0"/>
        <v>0.125</v>
      </c>
      <c r="F8">
        <f t="shared" si="1"/>
        <v>0.875</v>
      </c>
    </row>
    <row r="9" spans="2:6" x14ac:dyDescent="0.3">
      <c r="B9">
        <v>14</v>
      </c>
      <c r="C9">
        <v>70</v>
      </c>
      <c r="D9">
        <v>18</v>
      </c>
      <c r="E9">
        <f t="shared" si="0"/>
        <v>7.1428571428571425E-2</v>
      </c>
      <c r="F9">
        <f t="shared" si="1"/>
        <v>0.9285714285714286</v>
      </c>
    </row>
    <row r="10" spans="2:6" x14ac:dyDescent="0.3">
      <c r="B10">
        <v>14</v>
      </c>
      <c r="C10">
        <v>70</v>
      </c>
      <c r="D10">
        <v>20</v>
      </c>
      <c r="E10">
        <f t="shared" si="0"/>
        <v>0.10714285714285714</v>
      </c>
      <c r="F10">
        <f t="shared" si="1"/>
        <v>0.8928571428571429</v>
      </c>
    </row>
    <row r="11" spans="2:6" x14ac:dyDescent="0.3">
      <c r="B11">
        <v>14</v>
      </c>
      <c r="C11">
        <v>70</v>
      </c>
      <c r="D11">
        <v>22</v>
      </c>
      <c r="E11">
        <f t="shared" si="0"/>
        <v>0.14285714285714285</v>
      </c>
      <c r="F11">
        <f t="shared" si="1"/>
        <v>0.85714285714285721</v>
      </c>
    </row>
    <row r="12" spans="2:6" x14ac:dyDescent="0.3">
      <c r="B12">
        <v>14</v>
      </c>
      <c r="C12">
        <v>68</v>
      </c>
      <c r="D12">
        <v>21</v>
      </c>
      <c r="E12">
        <f t="shared" si="0"/>
        <v>0.12962962962962962</v>
      </c>
      <c r="F12">
        <f t="shared" si="1"/>
        <v>0.87037037037037035</v>
      </c>
    </row>
    <row r="13" spans="2:6" x14ac:dyDescent="0.3">
      <c r="B13">
        <v>16</v>
      </c>
      <c r="C13">
        <v>80</v>
      </c>
      <c r="D13">
        <v>20</v>
      </c>
      <c r="E13">
        <f t="shared" si="0"/>
        <v>6.25E-2</v>
      </c>
      <c r="F13">
        <f t="shared" si="1"/>
        <v>0.9375</v>
      </c>
    </row>
    <row r="14" spans="2:6" x14ac:dyDescent="0.3">
      <c r="B14">
        <v>16</v>
      </c>
      <c r="C14">
        <v>78</v>
      </c>
      <c r="D14">
        <v>23</v>
      </c>
      <c r="E14">
        <f t="shared" si="0"/>
        <v>0.11290322580645161</v>
      </c>
      <c r="F14">
        <f t="shared" si="1"/>
        <v>0.88709677419354838</v>
      </c>
    </row>
    <row r="15" spans="2:6" x14ac:dyDescent="0.3">
      <c r="B15">
        <v>16</v>
      </c>
      <c r="C15">
        <v>80</v>
      </c>
      <c r="D15">
        <v>23</v>
      </c>
      <c r="E15">
        <f t="shared" si="0"/>
        <v>0.109375</v>
      </c>
      <c r="F15">
        <f t="shared" si="1"/>
        <v>0.890625</v>
      </c>
    </row>
    <row r="16" spans="2:6" x14ac:dyDescent="0.3">
      <c r="B16">
        <v>16</v>
      </c>
      <c r="C16">
        <v>80</v>
      </c>
      <c r="D16">
        <v>27</v>
      </c>
      <c r="E16">
        <f t="shared" si="0"/>
        <v>0.171875</v>
      </c>
      <c r="F16">
        <f t="shared" si="1"/>
        <v>0.828125</v>
      </c>
    </row>
    <row r="17" spans="2:6" x14ac:dyDescent="0.3">
      <c r="B17">
        <v>18</v>
      </c>
      <c r="C17">
        <v>86</v>
      </c>
      <c r="D17">
        <v>21</v>
      </c>
      <c r="E17">
        <f t="shared" si="0"/>
        <v>4.4117647058823532E-2</v>
      </c>
      <c r="F17">
        <f t="shared" si="1"/>
        <v>0.95588235294117652</v>
      </c>
    </row>
    <row r="18" spans="2:6" x14ac:dyDescent="0.3">
      <c r="B18">
        <v>18</v>
      </c>
      <c r="C18">
        <v>90</v>
      </c>
      <c r="D18">
        <v>24</v>
      </c>
      <c r="E18">
        <f t="shared" si="0"/>
        <v>8.3333333333333329E-2</v>
      </c>
      <c r="F18">
        <f t="shared" si="1"/>
        <v>0.91666666666666663</v>
      </c>
    </row>
    <row r="19" spans="2:6" x14ac:dyDescent="0.3">
      <c r="B19">
        <v>18</v>
      </c>
      <c r="C19">
        <v>90</v>
      </c>
      <c r="D19">
        <v>26</v>
      </c>
      <c r="E19">
        <f t="shared" si="0"/>
        <v>0.1111111111111111</v>
      </c>
      <c r="F19">
        <f t="shared" si="1"/>
        <v>0.88888888888888884</v>
      </c>
    </row>
    <row r="20" spans="2:6" x14ac:dyDescent="0.3">
      <c r="B20">
        <v>18</v>
      </c>
      <c r="C20">
        <v>90</v>
      </c>
      <c r="D20">
        <v>28</v>
      </c>
      <c r="E20">
        <f t="shared" si="0"/>
        <v>0.1388888888888889</v>
      </c>
      <c r="F20">
        <f t="shared" si="1"/>
        <v>0.86111111111111116</v>
      </c>
    </row>
    <row r="22" spans="2:6" x14ac:dyDescent="0.3">
      <c r="F22">
        <f>SUM(F1:F20)/20</f>
        <v>0.89178354630382617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Hoja1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De Santis</dc:creator>
  <cp:lastModifiedBy>Dario De Santis</cp:lastModifiedBy>
  <dcterms:created xsi:type="dcterms:W3CDTF">2015-06-05T18:19:34Z</dcterms:created>
  <dcterms:modified xsi:type="dcterms:W3CDTF">2024-04-04T14:53:32Z</dcterms:modified>
</cp:coreProperties>
</file>