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060" yWindow="260" windowWidth="25600" windowHeight="16060" tabRatio="500"/>
  </bookViews>
  <sheets>
    <sheet name="Sheet1" sheetId="1" r:id="rId1"/>
    <sheet name="Generic Orbit Calculator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26" i="1" l="1"/>
  <c r="G31" i="1"/>
  <c r="G30" i="1"/>
  <c r="G36" i="1"/>
  <c r="G39" i="1"/>
  <c r="G38" i="1"/>
  <c r="G37" i="1"/>
  <c r="B31" i="1"/>
  <c r="B22" i="1"/>
  <c r="B23" i="1"/>
  <c r="B24" i="1"/>
  <c r="B35" i="1"/>
  <c r="B33" i="1"/>
  <c r="B34" i="1"/>
  <c r="B26" i="1"/>
  <c r="B29" i="1"/>
  <c r="B30" i="1"/>
  <c r="B27" i="1"/>
  <c r="B32" i="1"/>
  <c r="G18" i="1"/>
  <c r="G17" i="1"/>
  <c r="B3" i="2"/>
  <c r="B14" i="2"/>
  <c r="B10" i="2"/>
  <c r="B8" i="2"/>
  <c r="B11" i="2"/>
  <c r="B13" i="2"/>
  <c r="B12" i="2"/>
  <c r="B9" i="2"/>
  <c r="G25" i="1"/>
  <c r="G23" i="1"/>
  <c r="G24" i="1"/>
  <c r="B17" i="1"/>
  <c r="B25" i="1"/>
  <c r="G10" i="1"/>
  <c r="G8" i="1"/>
  <c r="G9" i="1"/>
  <c r="B4" i="1"/>
  <c r="B8" i="1"/>
  <c r="B9" i="1"/>
  <c r="B11" i="1"/>
  <c r="B12" i="1"/>
  <c r="B13" i="1"/>
</calcChain>
</file>

<file path=xl/sharedStrings.xml><?xml version="1.0" encoding="utf-8"?>
<sst xmlns="http://schemas.openxmlformats.org/spreadsheetml/2006/main" count="123" uniqueCount="71">
  <si>
    <t>Mass:</t>
  </si>
  <si>
    <t>Length of day:</t>
  </si>
  <si>
    <t>kg</t>
  </si>
  <si>
    <t>s</t>
  </si>
  <si>
    <t>Gravitational constant:</t>
  </si>
  <si>
    <t>m^3 kg^-1 s^-2</t>
  </si>
  <si>
    <t>m</t>
  </si>
  <si>
    <t>Equatorial radius:</t>
  </si>
  <si>
    <t>G x M</t>
  </si>
  <si>
    <t>m^3 s^-2</t>
  </si>
  <si>
    <t>Angular speed</t>
  </si>
  <si>
    <t>rad/s</t>
  </si>
  <si>
    <t>Orbital radius:</t>
  </si>
  <si>
    <t>Orbital radius ^3</t>
  </si>
  <si>
    <t>Orbit height:</t>
  </si>
  <si>
    <t>km</t>
  </si>
  <si>
    <t>PLANETOID-STATIONARY ORBIT CALCULATOR</t>
  </si>
  <si>
    <t>Radius</t>
  </si>
  <si>
    <t>rpm:</t>
  </si>
  <si>
    <t>R x (π x rpm / 30)^2</t>
  </si>
  <si>
    <t>m / s^2</t>
  </si>
  <si>
    <t>G's</t>
  </si>
  <si>
    <t>ROTATIONAL GRAVITY IN A HABITAT</t>
  </si>
  <si>
    <t>m/s</t>
  </si>
  <si>
    <t>Tang. velocity</t>
  </si>
  <si>
    <t xml:space="preserve">ks. myös. </t>
  </si>
  <si>
    <t>http://www.artificial-gravity.com/sw/SpinCalc/SpinCalc.htm</t>
  </si>
  <si>
    <t>Thrust:</t>
  </si>
  <si>
    <t>G</t>
  </si>
  <si>
    <t>hours</t>
  </si>
  <si>
    <t>c</t>
  </si>
  <si>
    <t>Relativistic eff:</t>
  </si>
  <si>
    <t>subj. velocity</t>
  </si>
  <si>
    <t>AU</t>
  </si>
  <si>
    <t>https://www.flickr.com/photos/arenamontanus/sets/72157624693618421/with/4931416139/</t>
  </si>
  <si>
    <t>km/s</t>
  </si>
  <si>
    <t>total distance</t>
  </si>
  <si>
    <t>Cruising time</t>
  </si>
  <si>
    <t>Total distance</t>
  </si>
  <si>
    <t>Time under thrust:</t>
  </si>
  <si>
    <t>FUSION ROCKET CALCULATOR</t>
  </si>
  <si>
    <t>Size m^3:</t>
  </si>
  <si>
    <t>m^3</t>
  </si>
  <si>
    <t>tons</t>
  </si>
  <si>
    <t>Reactor power:</t>
  </si>
  <si>
    <t>GW</t>
  </si>
  <si>
    <t>Reactor mass:</t>
  </si>
  <si>
    <t>Reactor size:</t>
  </si>
  <si>
    <t>Initial acceleration:</t>
  </si>
  <si>
    <t>Total mass</t>
  </si>
  <si>
    <t>Dry mass:</t>
  </si>
  <si>
    <t>Δv:</t>
  </si>
  <si>
    <t>Impulse:</t>
  </si>
  <si>
    <t>Radius of orbit</t>
  </si>
  <si>
    <t>GENERIC ORBIT CALCULATOR</t>
  </si>
  <si>
    <t>Radius of body</t>
  </si>
  <si>
    <t>Orbital period</t>
  </si>
  <si>
    <t>h</t>
  </si>
  <si>
    <t>Velocity</t>
  </si>
  <si>
    <t>Gravity on surface</t>
  </si>
  <si>
    <t>m/s^2</t>
  </si>
  <si>
    <t>Density of body</t>
  </si>
  <si>
    <t>kg/m^3</t>
  </si>
  <si>
    <t>Deceleration time:</t>
  </si>
  <si>
    <t>Total time:</t>
  </si>
  <si>
    <t>days</t>
  </si>
  <si>
    <t>Total ∆v</t>
  </si>
  <si>
    <t>total ∆v</t>
  </si>
  <si>
    <t>Distance w. decel</t>
  </si>
  <si>
    <t>ANTIMATTER ROCKET CALCULATOR</t>
  </si>
  <si>
    <t>(looks okay?)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</si>
</sst>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11"/>
    <xf numFmtId="0" fontId="0" fillId="0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6" fillId="3" borderId="0" xfId="0" applyFont="1" applyFill="1"/>
    <xf numFmtId="20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tificial-gravity.com/sw/SpinCalc/SpinCalc.htm" TargetMode="External"/><Relationship Id="rId2" Type="http://schemas.openxmlformats.org/officeDocument/2006/relationships/hyperlink" Target="https://www.flickr.com/photos/arenamontanus/sets/72157624693618421/with/49314161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7" zoomScale="150" zoomScaleNormal="130" zoomScalePageLayoutView="130" workbookViewId="0">
      <selection activeCell="G20" sqref="G20"/>
    </sheetView>
  </sheetViews>
  <sheetFormatPr baseColWidth="10" defaultRowHeight="15" x14ac:dyDescent="0"/>
  <cols>
    <col min="1" max="1" width="17" customWidth="1"/>
    <col min="2" max="2" width="17.83203125" customWidth="1"/>
    <col min="3" max="3" width="14.6640625" customWidth="1"/>
    <col min="6" max="6" width="20" customWidth="1"/>
  </cols>
  <sheetData>
    <row r="1" spans="1:8">
      <c r="A1" s="2" t="s">
        <v>16</v>
      </c>
      <c r="F1" s="2" t="s">
        <v>22</v>
      </c>
    </row>
    <row r="3" spans="1:8">
      <c r="A3" t="s">
        <v>0</v>
      </c>
      <c r="B3" s="1">
        <v>1.4819E+23</v>
      </c>
      <c r="C3" t="s">
        <v>2</v>
      </c>
    </row>
    <row r="4" spans="1:8">
      <c r="A4" t="s">
        <v>1</v>
      </c>
      <c r="B4">
        <f>24*3600*7.1546</f>
        <v>618157.44000000006</v>
      </c>
      <c r="C4" t="s">
        <v>3</v>
      </c>
      <c r="F4" t="s">
        <v>17</v>
      </c>
      <c r="G4">
        <v>30</v>
      </c>
      <c r="H4" t="s">
        <v>6</v>
      </c>
    </row>
    <row r="5" spans="1:8">
      <c r="A5" s="3" t="s">
        <v>4</v>
      </c>
      <c r="B5" s="4">
        <v>6.6742799999999995E-11</v>
      </c>
      <c r="C5" s="3" t="s">
        <v>5</v>
      </c>
      <c r="F5" t="s">
        <v>18</v>
      </c>
      <c r="G5">
        <v>0.8</v>
      </c>
    </row>
    <row r="6" spans="1:8">
      <c r="A6" t="s">
        <v>7</v>
      </c>
      <c r="B6">
        <v>2634</v>
      </c>
      <c r="C6" t="s">
        <v>15</v>
      </c>
    </row>
    <row r="8" spans="1:8">
      <c r="A8" s="3" t="s">
        <v>8</v>
      </c>
      <c r="B8" s="4">
        <f>B5*B3</f>
        <v>9890615532000</v>
      </c>
      <c r="C8" s="3" t="s">
        <v>9</v>
      </c>
      <c r="F8" s="3" t="s">
        <v>19</v>
      </c>
      <c r="G8" s="3">
        <f>G4*(3.14*G5/30)^2</f>
        <v>0.21033813333333343</v>
      </c>
      <c r="H8" s="3" t="s">
        <v>20</v>
      </c>
    </row>
    <row r="9" spans="1:8">
      <c r="A9" s="3" t="s">
        <v>10</v>
      </c>
      <c r="B9" s="3">
        <f>2*3.14/B4</f>
        <v>1.0159224161404576E-5</v>
      </c>
      <c r="C9" s="3" t="s">
        <v>11</v>
      </c>
      <c r="F9" s="3" t="s">
        <v>21</v>
      </c>
      <c r="G9" s="5">
        <f>G8/9.81</f>
        <v>2.1441196058443773E-2</v>
      </c>
      <c r="H9" s="3"/>
    </row>
    <row r="10" spans="1:8">
      <c r="A10" s="3"/>
      <c r="B10" s="3"/>
      <c r="C10" s="3"/>
      <c r="F10" s="3" t="s">
        <v>24</v>
      </c>
      <c r="G10" s="3">
        <f>(G4)*2*3.14*G5/60</f>
        <v>2.512</v>
      </c>
      <c r="H10" s="3" t="s">
        <v>23</v>
      </c>
    </row>
    <row r="11" spans="1:8">
      <c r="A11" s="3" t="s">
        <v>13</v>
      </c>
      <c r="B11" s="4">
        <f>B8/B9^2</f>
        <v>9.5830164617310033E+22</v>
      </c>
      <c r="C11" s="3"/>
    </row>
    <row r="12" spans="1:8">
      <c r="A12" s="3" t="s">
        <v>12</v>
      </c>
      <c r="B12" s="3">
        <f>B11^(1/3)</f>
        <v>45761551.960354559</v>
      </c>
      <c r="C12" s="3" t="s">
        <v>6</v>
      </c>
      <c r="F12" s="3" t="s">
        <v>25</v>
      </c>
      <c r="G12" s="6" t="s">
        <v>26</v>
      </c>
    </row>
    <row r="13" spans="1:8">
      <c r="A13" s="3" t="s">
        <v>14</v>
      </c>
      <c r="B13" s="5">
        <f>(B12/1000-B6)</f>
        <v>43127.551960354562</v>
      </c>
      <c r="C13" s="3" t="s">
        <v>15</v>
      </c>
      <c r="G13" s="6" t="s">
        <v>34</v>
      </c>
    </row>
    <row r="16" spans="1:8">
      <c r="A16" s="3" t="s">
        <v>30</v>
      </c>
      <c r="B16" s="8">
        <v>299792458</v>
      </c>
      <c r="C16" s="3" t="s">
        <v>23</v>
      </c>
      <c r="F16" s="2" t="s">
        <v>40</v>
      </c>
    </row>
    <row r="17" spans="1:8">
      <c r="B17" s="3">
        <f>B16/1000</f>
        <v>299792.45799999998</v>
      </c>
      <c r="C17" s="3" t="s">
        <v>35</v>
      </c>
      <c r="F17" s="3" t="s">
        <v>41</v>
      </c>
      <c r="G17">
        <f>100*15*19</f>
        <v>28500</v>
      </c>
      <c r="H17" t="s">
        <v>42</v>
      </c>
    </row>
    <row r="18" spans="1:8">
      <c r="F18" s="3" t="s">
        <v>49</v>
      </c>
      <c r="G18" s="3">
        <f>G17/7</f>
        <v>4071.4285714285716</v>
      </c>
      <c r="H18" s="3" t="s">
        <v>43</v>
      </c>
    </row>
    <row r="19" spans="1:8">
      <c r="F19" t="s">
        <v>50</v>
      </c>
      <c r="G19">
        <v>2000</v>
      </c>
      <c r="H19" t="s">
        <v>43</v>
      </c>
    </row>
    <row r="20" spans="1:8">
      <c r="A20" t="s">
        <v>27</v>
      </c>
      <c r="B20" s="19">
        <v>1.3888888888888889E-3</v>
      </c>
      <c r="C20" t="s">
        <v>28</v>
      </c>
      <c r="F20" s="3" t="s">
        <v>52</v>
      </c>
      <c r="G20">
        <v>100000</v>
      </c>
      <c r="H20" t="s">
        <v>3</v>
      </c>
    </row>
    <row r="21" spans="1:8">
      <c r="A21" t="s">
        <v>39</v>
      </c>
      <c r="B21">
        <v>1200</v>
      </c>
      <c r="C21" t="s">
        <v>29</v>
      </c>
    </row>
    <row r="22" spans="1:8">
      <c r="A22" s="3" t="s">
        <v>32</v>
      </c>
      <c r="B22" s="3">
        <f>B20*9.81*B21*60*60</f>
        <v>58860.000000000007</v>
      </c>
      <c r="C22" s="3" t="s">
        <v>23</v>
      </c>
      <c r="F22" s="3" t="s">
        <v>44</v>
      </c>
      <c r="G22">
        <v>80</v>
      </c>
      <c r="H22" t="s">
        <v>45</v>
      </c>
    </row>
    <row r="23" spans="1:8">
      <c r="A23" s="3" t="s">
        <v>31</v>
      </c>
      <c r="B23" s="3">
        <f>1/(SQRT(1-B22^2/B16^2))</f>
        <v>1.0000000192738789</v>
      </c>
      <c r="C23" s="3"/>
      <c r="F23" s="3" t="s">
        <v>46</v>
      </c>
      <c r="G23" s="3">
        <f>G22*3.1</f>
        <v>248</v>
      </c>
      <c r="H23" s="3" t="s">
        <v>43</v>
      </c>
    </row>
    <row r="24" spans="1:8">
      <c r="A24" s="3" t="s">
        <v>67</v>
      </c>
      <c r="B24" s="9">
        <f>B22/B23/1000</f>
        <v>58.859998865539517</v>
      </c>
      <c r="C24" s="3" t="s">
        <v>35</v>
      </c>
      <c r="F24" s="3" t="s">
        <v>47</v>
      </c>
      <c r="G24" s="3">
        <f>INT(G23*1000/215)</f>
        <v>1153</v>
      </c>
      <c r="H24" s="3" t="s">
        <v>42</v>
      </c>
    </row>
    <row r="25" spans="1:8">
      <c r="A25" s="7"/>
      <c r="B25" s="3">
        <f>B24/B17</f>
        <v>1.9633582264947947E-4</v>
      </c>
      <c r="C25" s="3" t="s">
        <v>30</v>
      </c>
      <c r="F25" s="3" t="s">
        <v>48</v>
      </c>
      <c r="G25" s="10">
        <f>G22*1000000/(0.5*G18*G20)/9.81</f>
        <v>4.0059373714612725E-2</v>
      </c>
      <c r="H25" s="3" t="s">
        <v>28</v>
      </c>
    </row>
    <row r="26" spans="1:8" ht="16">
      <c r="A26" s="3" t="s">
        <v>36</v>
      </c>
      <c r="B26" s="12">
        <f>0.5*(B20*9.81*(B21*3600)^2)/1000</f>
        <v>127137600.00000001</v>
      </c>
      <c r="C26" s="3" t="s">
        <v>15</v>
      </c>
      <c r="F26" s="11" t="s">
        <v>51</v>
      </c>
      <c r="G26" s="9">
        <f>9.81*G20*LN(G18/G19)/1000</f>
        <v>697.34066926381854</v>
      </c>
      <c r="H26" s="3" t="s">
        <v>35</v>
      </c>
    </row>
    <row r="27" spans="1:8">
      <c r="A27" s="7"/>
      <c r="B27" s="10">
        <f>B26/149597870.7</f>
        <v>0.8498623637161169</v>
      </c>
      <c r="C27" s="3" t="s">
        <v>33</v>
      </c>
    </row>
    <row r="28" spans="1:8">
      <c r="A28" s="7" t="s">
        <v>37</v>
      </c>
      <c r="B28">
        <v>7000</v>
      </c>
      <c r="C28" s="7" t="s">
        <v>29</v>
      </c>
    </row>
    <row r="29" spans="1:8">
      <c r="A29" s="3" t="s">
        <v>38</v>
      </c>
      <c r="B29" s="12">
        <f>B28*3600*B24+B26</f>
        <v>1610409571.4115958</v>
      </c>
      <c r="C29" s="3" t="s">
        <v>15</v>
      </c>
      <c r="F29" s="2" t="s">
        <v>69</v>
      </c>
      <c r="H29" s="7" t="s">
        <v>70</v>
      </c>
    </row>
    <row r="30" spans="1:8">
      <c r="A30" s="7"/>
      <c r="B30" s="3">
        <f>B29/149597870.7</f>
        <v>10.7649230826358</v>
      </c>
      <c r="C30" s="3" t="s">
        <v>33</v>
      </c>
      <c r="F30" s="3" t="s">
        <v>41</v>
      </c>
      <c r="G30">
        <f>160*40*32</f>
        <v>204800</v>
      </c>
      <c r="H30" t="s">
        <v>42</v>
      </c>
    </row>
    <row r="31" spans="1:8">
      <c r="A31" s="3" t="s">
        <v>63</v>
      </c>
      <c r="B31" s="3">
        <f>B21</f>
        <v>1200</v>
      </c>
      <c r="C31" s="3" t="s">
        <v>29</v>
      </c>
      <c r="F31" s="3" t="s">
        <v>49</v>
      </c>
      <c r="G31" s="3">
        <f>G30/7</f>
        <v>29257.142857142859</v>
      </c>
      <c r="H31" s="3" t="s">
        <v>43</v>
      </c>
    </row>
    <row r="32" spans="1:8">
      <c r="A32" s="3" t="s">
        <v>68</v>
      </c>
      <c r="B32" s="10">
        <f>B30+B27</f>
        <v>11.614785446351917</v>
      </c>
      <c r="C32" s="3" t="s">
        <v>33</v>
      </c>
      <c r="F32" t="s">
        <v>50</v>
      </c>
      <c r="G32">
        <v>14000</v>
      </c>
      <c r="H32" t="s">
        <v>43</v>
      </c>
    </row>
    <row r="33" spans="1:8">
      <c r="A33" s="3" t="s">
        <v>64</v>
      </c>
      <c r="B33" s="3">
        <f>B21+B28+B31</f>
        <v>9400</v>
      </c>
      <c r="C33" s="3" t="s">
        <v>29</v>
      </c>
      <c r="F33" s="3" t="s">
        <v>52</v>
      </c>
      <c r="G33">
        <v>130000</v>
      </c>
      <c r="H33" t="s">
        <v>3</v>
      </c>
    </row>
    <row r="34" spans="1:8">
      <c r="B34" s="9">
        <f>B33/24</f>
        <v>391.66666666666669</v>
      </c>
      <c r="C34" s="3" t="s">
        <v>65</v>
      </c>
    </row>
    <row r="35" spans="1:8">
      <c r="A35" t="s">
        <v>66</v>
      </c>
      <c r="B35" s="9">
        <f>(B20*9.81*B31*60*60/1000)+B24</f>
        <v>117.71999886553952</v>
      </c>
      <c r="C35" s="3" t="s">
        <v>35</v>
      </c>
      <c r="F35" s="3" t="s">
        <v>44</v>
      </c>
      <c r="G35">
        <v>320</v>
      </c>
      <c r="H35" t="s">
        <v>45</v>
      </c>
    </row>
    <row r="36" spans="1:8">
      <c r="F36" s="3" t="s">
        <v>46</v>
      </c>
      <c r="G36" s="3">
        <f>G35*1.5</f>
        <v>480</v>
      </c>
      <c r="H36" s="3" t="s">
        <v>43</v>
      </c>
    </row>
    <row r="37" spans="1:8">
      <c r="F37" s="3" t="s">
        <v>47</v>
      </c>
      <c r="G37" s="3">
        <f>INT(G36*1000/215)</f>
        <v>2232</v>
      </c>
      <c r="H37" s="3" t="s">
        <v>42</v>
      </c>
    </row>
    <row r="38" spans="1:8">
      <c r="F38" s="3" t="s">
        <v>48</v>
      </c>
      <c r="G38" s="10">
        <f>G35*1000000/(0.5*G31*G33)/9.81</f>
        <v>1.7152826785854305E-2</v>
      </c>
      <c r="H38" s="3" t="s">
        <v>28</v>
      </c>
    </row>
    <row r="39" spans="1:8" ht="16">
      <c r="F39" s="11" t="s">
        <v>51</v>
      </c>
      <c r="G39" s="9">
        <f>9.81*G33*LOG(G31/G32)/1000</f>
        <v>408.22847384238878</v>
      </c>
      <c r="H39" s="3" t="s">
        <v>35</v>
      </c>
    </row>
  </sheetData>
  <hyperlinks>
    <hyperlink ref="G12" r:id="rId1"/>
    <hyperlink ref="G1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baseColWidth="10" defaultRowHeight="18" x14ac:dyDescent="0"/>
  <cols>
    <col min="1" max="4" width="25" style="14" customWidth="1"/>
    <col min="5" max="16384" width="10.83203125" style="14"/>
  </cols>
  <sheetData>
    <row r="1" spans="1:4">
      <c r="A1" s="13" t="s">
        <v>54</v>
      </c>
    </row>
    <row r="2" spans="1:4">
      <c r="C2" s="15"/>
    </row>
    <row r="3" spans="1:4">
      <c r="A3" s="14" t="s">
        <v>0</v>
      </c>
      <c r="B3" s="15">
        <f>B7*(4/3*3.14*(B4*B4*B4))</f>
        <v>3.7780515519177595E+24</v>
      </c>
      <c r="C3" s="14" t="s">
        <v>2</v>
      </c>
    </row>
    <row r="4" spans="1:4">
      <c r="A4" s="14" t="s">
        <v>55</v>
      </c>
      <c r="B4" s="14">
        <v>5178000</v>
      </c>
      <c r="C4" s="14" t="s">
        <v>6</v>
      </c>
    </row>
    <row r="5" spans="1:4">
      <c r="A5" s="16" t="s">
        <v>4</v>
      </c>
      <c r="B5" s="17">
        <v>6.6742799999999995E-11</v>
      </c>
      <c r="C5" s="16" t="s">
        <v>5</v>
      </c>
    </row>
    <row r="6" spans="1:4">
      <c r="A6" s="14" t="s">
        <v>53</v>
      </c>
      <c r="B6" s="14">
        <v>10000</v>
      </c>
      <c r="C6" s="14" t="s">
        <v>6</v>
      </c>
    </row>
    <row r="7" spans="1:4">
      <c r="A7" s="14" t="s">
        <v>61</v>
      </c>
      <c r="B7" s="14">
        <v>6500</v>
      </c>
      <c r="C7" s="14" t="s">
        <v>62</v>
      </c>
    </row>
    <row r="8" spans="1:4">
      <c r="A8" s="16" t="s">
        <v>8</v>
      </c>
      <c r="B8" s="17">
        <f>B5*B3</f>
        <v>252157739119336.62</v>
      </c>
      <c r="C8" s="16" t="s">
        <v>9</v>
      </c>
    </row>
    <row r="9" spans="1:4">
      <c r="A9" s="16" t="s">
        <v>10</v>
      </c>
      <c r="B9" s="16">
        <f>SQRT(B8/B10)</f>
        <v>15.879475404412345</v>
      </c>
      <c r="C9" s="16" t="s">
        <v>11</v>
      </c>
    </row>
    <row r="10" spans="1:4">
      <c r="A10" s="16" t="s">
        <v>13</v>
      </c>
      <c r="B10" s="16">
        <f>B6^3</f>
        <v>1000000000000</v>
      </c>
      <c r="C10" s="16"/>
    </row>
    <row r="11" spans="1:4">
      <c r="A11" s="16" t="s">
        <v>56</v>
      </c>
      <c r="B11" s="17">
        <f>SQRT((4*3.14^2*B10/B8))/3600</f>
        <v>1.0985529433546179E-4</v>
      </c>
      <c r="C11" s="16" t="s">
        <v>57</v>
      </c>
      <c r="D11" s="15"/>
    </row>
    <row r="12" spans="1:4">
      <c r="A12" s="16" t="s">
        <v>58</v>
      </c>
      <c r="B12" s="17">
        <f>SQRT(B8/B6)</f>
        <v>158794.75404412346</v>
      </c>
      <c r="C12" s="16" t="s">
        <v>23</v>
      </c>
    </row>
    <row r="13" spans="1:4">
      <c r="A13" s="16" t="s">
        <v>14</v>
      </c>
      <c r="B13" s="18">
        <f>B6-B4</f>
        <v>-5168000</v>
      </c>
      <c r="C13" s="16" t="s">
        <v>6</v>
      </c>
    </row>
    <row r="14" spans="1:4">
      <c r="A14" s="16" t="s">
        <v>59</v>
      </c>
      <c r="B14" s="16">
        <f>B5*B3/(B4*B4)</f>
        <v>9.4047706633919983</v>
      </c>
      <c r="C14" s="16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Generic Orbit Calculator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2015-04-11T06:50:49Z</dcterms:created>
  <dcterms:modified xsi:type="dcterms:W3CDTF">2022-04-10T07:18:05Z</dcterms:modified>
</cp:coreProperties>
</file>