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us/Desktop/School/fall2026/fall-2026-courses/phys485/lab5/"/>
    </mc:Choice>
  </mc:AlternateContent>
  <xr:revisionPtr revIDLastSave="0" documentId="13_ncr:1_{57A74BCE-7797-284D-AEDC-0C61C82CB66D}" xr6:coauthVersionLast="47" xr6:coauthVersionMax="47" xr10:uidLastSave="{00000000-0000-0000-0000-000000000000}"/>
  <bookViews>
    <workbookView xWindow="4680" yWindow="660" windowWidth="33720" windowHeight="19460" activeTab="4" xr2:uid="{BD90706E-362E-F14F-BF2E-1F0855A90E0A}"/>
  </bookViews>
  <sheets>
    <sheet name="4L.5 common-emitter" sheetId="5" r:id="rId1"/>
    <sheet name="4L.5.1 common emitter gain" sheetId="2" r:id="rId2"/>
    <sheet name="4L.6 transistor switch" sheetId="3" r:id="rId3"/>
    <sheet name="4L.6.1 transistor switch sat" sheetId="4" r:id="rId4"/>
    <sheet name="4L.6.2 transistor switch induc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0" i="1" s="1"/>
  <c r="L37" i="2"/>
  <c r="B31" i="2"/>
  <c r="B9" i="2"/>
  <c r="B10" i="2"/>
  <c r="B9" i="5"/>
  <c r="B28" i="5"/>
  <c r="B32" i="5"/>
  <c r="B11" i="1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B24" i="3"/>
  <c r="B23" i="3"/>
  <c r="E59" i="2"/>
  <c r="E58" i="2"/>
  <c r="E57" i="2"/>
  <c r="E56" i="2"/>
  <c r="B25" i="2" s="1"/>
  <c r="E55" i="2"/>
  <c r="E54" i="2"/>
  <c r="E53" i="2"/>
  <c r="E52" i="2"/>
  <c r="E51" i="2"/>
  <c r="E50" i="2"/>
  <c r="E49" i="2"/>
  <c r="E48" i="2"/>
  <c r="E47" i="2"/>
  <c r="E43" i="2"/>
  <c r="E42" i="2"/>
  <c r="E41" i="2"/>
  <c r="E40" i="2"/>
  <c r="B24" i="2" s="1"/>
  <c r="E39" i="2"/>
  <c r="E38" i="2"/>
  <c r="E37" i="2"/>
  <c r="E36" i="2"/>
  <c r="E35" i="2"/>
  <c r="E34" i="2"/>
  <c r="E33" i="2"/>
  <c r="E32" i="2"/>
  <c r="E31" i="2"/>
  <c r="B11" i="2"/>
  <c r="B12" i="2" s="1"/>
  <c r="B10" i="3"/>
  <c r="B11" i="3" s="1"/>
  <c r="B12" i="3" s="1"/>
  <c r="M30" i="5"/>
  <c r="M31" i="5"/>
  <c r="M32" i="5"/>
  <c r="N32" i="5" s="1"/>
  <c r="M33" i="5"/>
  <c r="M34" i="5"/>
  <c r="M35" i="5"/>
  <c r="M36" i="5"/>
  <c r="M37" i="5"/>
  <c r="M38" i="5"/>
  <c r="M39" i="5"/>
  <c r="M40" i="5"/>
  <c r="N40" i="5" s="1"/>
  <c r="M41" i="5"/>
  <c r="M42" i="5"/>
  <c r="B20" i="5"/>
  <c r="B11" i="5"/>
  <c r="B10" i="5"/>
  <c r="B12" i="5" s="1"/>
  <c r="B15" i="5" s="1"/>
  <c r="B33" i="5"/>
  <c r="F12" i="4" l="1"/>
  <c r="N38" i="5"/>
  <c r="N37" i="5"/>
  <c r="N36" i="5"/>
  <c r="N42" i="5"/>
  <c r="N41" i="5"/>
  <c r="N33" i="5"/>
  <c r="B22" i="3"/>
  <c r="F15" i="4"/>
  <c r="F14" i="4"/>
  <c r="F13" i="4"/>
  <c r="F11" i="4"/>
  <c r="F10" i="4"/>
  <c r="F9" i="4"/>
  <c r="F8" i="4"/>
  <c r="F7" i="4"/>
  <c r="F6" i="4"/>
  <c r="N31" i="5"/>
  <c r="B15" i="2"/>
  <c r="B17" i="2" s="1"/>
  <c r="B14" i="2"/>
  <c r="B16" i="2" s="1"/>
  <c r="B18" i="2"/>
  <c r="B13" i="2"/>
  <c r="B19" i="2" s="1"/>
  <c r="N39" i="5"/>
  <c r="B29" i="5" s="1"/>
  <c r="N35" i="5"/>
  <c r="N34" i="5"/>
  <c r="N30" i="5"/>
  <c r="B13" i="5"/>
  <c r="B16" i="5"/>
  <c r="B14" i="5"/>
  <c r="B18" i="5" l="1"/>
  <c r="B19" i="5" s="1"/>
  <c r="B34" i="5"/>
  <c r="B17" i="5"/>
  <c r="O33" i="5" l="1"/>
  <c r="O41" i="5"/>
  <c r="O38" i="5"/>
  <c r="O31" i="5"/>
  <c r="O36" i="5"/>
  <c r="O37" i="5"/>
  <c r="O39" i="5"/>
  <c r="O30" i="5"/>
  <c r="O34" i="5"/>
  <c r="O42" i="5"/>
  <c r="O35" i="5"/>
  <c r="O32" i="5"/>
  <c r="O40" i="5"/>
</calcChain>
</file>

<file path=xl/sharedStrings.xml><?xml version="1.0" encoding="utf-8"?>
<sst xmlns="http://schemas.openxmlformats.org/spreadsheetml/2006/main" count="463" uniqueCount="383">
  <si>
    <t>4L.5 Predictions</t>
  </si>
  <si>
    <t>V_supply (V)</t>
  </si>
  <si>
    <t>R1 top of divider (ohm)</t>
  </si>
  <si>
    <t>R2 bottom of divider (ohm)</t>
  </si>
  <si>
    <t>R_C (ohm)</t>
  </si>
  <si>
    <t>R_E (ohm)</t>
  </si>
  <si>
    <t>beta</t>
  </si>
  <si>
    <t>from 4L.2.1</t>
  </si>
  <si>
    <t>V_BE (V)</t>
  </si>
  <si>
    <t>C_in (F)</t>
  </si>
  <si>
    <t>0.33 uF input cap</t>
  </si>
  <si>
    <t>V_TH (V)</t>
  </si>
  <si>
    <t>Thevenin voltage of divider</t>
  </si>
  <si>
    <t>R_TH (ohm)</t>
  </si>
  <si>
    <t>Thevenin resistance of divider</t>
  </si>
  <si>
    <t>I_E (mA)</t>
  </si>
  <si>
    <t>r_e (ohm)</t>
  </si>
  <si>
    <t>25 mV / I_E</t>
  </si>
  <si>
    <t>V_B predicted (V)</t>
  </si>
  <si>
    <t>V_E predicted (V)</t>
  </si>
  <si>
    <t>V_C predicted (V)</t>
  </si>
  <si>
    <t>quiescent collector voltage</t>
  </si>
  <si>
    <t>Gain predicted</t>
  </si>
  <si>
    <t>minus sign = inverted</t>
  </si>
  <si>
    <t>R_in (ohm)</t>
  </si>
  <si>
    <t>f_3dB predicted (Hz)</t>
  </si>
  <si>
    <t>Z_out predicted (ohm)</t>
  </si>
  <si>
    <t>about R_C</t>
  </si>
  <si>
    <t>4L.5 Measurements</t>
  </si>
  <si>
    <t>V_B measured (V)</t>
  </si>
  <si>
    <t>DMM point 3, generator off</t>
  </si>
  <si>
    <t>V_E measured (V)</t>
  </si>
  <si>
    <t>DMM point 4, generator off</t>
  </si>
  <si>
    <t>V_C measured (V)</t>
  </si>
  <si>
    <t>DMM point 2, generator off</t>
  </si>
  <si>
    <t>V_in (Vpp)</t>
  </si>
  <si>
    <t>Scope CH1 point 1, 1 kHz</t>
  </si>
  <si>
    <t>V_out (Vpp)</t>
  </si>
  <si>
    <t>Scope CH2 point 2, 1 kHz</t>
  </si>
  <si>
    <t>Gain measured</t>
  </si>
  <si>
    <t>negative because inverted</t>
  </si>
  <si>
    <t>f_3dB measured (Hz)</t>
  </si>
  <si>
    <t>frequency where V_out = 0.707 x its 1 kHz value</t>
  </si>
  <si>
    <t>V_0 no load (Vpp)</t>
  </si>
  <si>
    <t>CH2, load disconnected</t>
  </si>
  <si>
    <t>V_L with load (Vpp)</t>
  </si>
  <si>
    <t>R_L (ohm)</t>
  </si>
  <si>
    <t>Z_out measured (ohm)</t>
  </si>
  <si>
    <t>Gain with load predicted</t>
  </si>
  <si>
    <t>Question</t>
  </si>
  <si>
    <t>Answer</t>
  </si>
  <si>
    <t>Where are the input and output?</t>
  </si>
  <si>
    <t>Input = generator side of the 0.33 uF cap. Output = collector.</t>
  </si>
  <si>
    <t>What should the voltage gain be?</t>
  </si>
  <si>
    <t>Gain = -R_C/(R_E + r_e) = -7500/(750 + 28) = -9.6 (see B17).</t>
  </si>
  <si>
    <t>Why that formula?</t>
  </si>
  <si>
    <t>The same signal current flows through R_E and R_C. The emitter follows the base, so i = v_in/R_E and v_out = -i*R_C.</t>
  </si>
  <si>
    <t>Is the signal inverted?</t>
  </si>
  <si>
    <t>Yes, 180 degrees. More input means more collector current, a bigger drop across R_C, and a lower collector voltage.</t>
  </si>
  <si>
    <t>What is the quiescent collector voltage?</t>
  </si>
  <si>
    <t>V_C = 15 - I_C*R_C = 8.24 V (B16). Uses the Thevenin divider (1.36 V, 5.09k) with base current included, not the half-supply rule.</t>
  </si>
  <si>
    <t>Is the measured V_C correct?</t>
  </si>
  <si>
    <t>Compare B25 to B16. Within about 5% counts as correct.</t>
  </si>
  <si>
    <t>At what frequency should you measure gain?</t>
  </si>
  <si>
    <t>1 to 10 kHz. At least 10x above f_3dB so the input cap acts as a short, and well below the frequencies where stray capacitance lowers the gain.</t>
  </si>
  <si>
    <t>What is the low-frequency 3 dB point?</t>
  </si>
  <si>
    <t>f_3dB = 1/(2*pi*R_in*C) = 99 Hz (B19). R_in = 56k || 5.6k || (beta+1)(R_E + r_e) = 4.9k.</t>
  </si>
  <si>
    <t>How do you measure f_3dB?</t>
  </si>
  <si>
    <t>Lower the frequency until V_out drops to 0.707 of its 1 kHz value.</t>
  </si>
  <si>
    <t>What should Z_out be?</t>
  </si>
  <si>
    <t>About R_C = 7.5k. The collector acts like a current source (very high impedance), so R_C is all the load sees.</t>
  </si>
  <si>
    <t>How do you check Z_out?</t>
  </si>
  <si>
    <t>Connect 7.5k from collector to ground through a 3.3 uF cap. The output should drop to about half. Z_out = R_L*(V_0/V_L - 1) (B33).</t>
  </si>
  <si>
    <t>Why use a blocking capacitor?</t>
  </si>
  <si>
    <t>The collector sits at 8.2 V DC. A resistor straight to ground would draw DC current and shift the bias. The cap passes only the AC signal.</t>
  </si>
  <si>
    <t>measuring gain</t>
  </si>
  <si>
    <t>measuring Z_out</t>
  </si>
  <si>
    <t>Step</t>
  </si>
  <si>
    <t>Measurement</t>
  </si>
  <si>
    <t>Instrument</t>
  </si>
  <si>
    <t>Where to connect</t>
  </si>
  <si>
    <t>Settings</t>
  </si>
  <si>
    <t>Record in</t>
  </si>
  <si>
    <t>Expected</t>
  </si>
  <si>
    <t>Setup check</t>
  </si>
  <si>
    <t>—</t>
  </si>
  <si>
    <t>Whole circuit</t>
  </si>
  <si>
    <t>+15 V supply on. Generator OFF. Confirm collector-&gt;7.5k, emitter-&gt;750, base-&gt;56k/5.6k.</t>
  </si>
  <si>
    <t>V_B (DC base voltage)</t>
  </si>
  <si>
    <t>Multimeter</t>
  </si>
  <si>
    <t>Red lead: base row. Black lead: GND rail.</t>
  </si>
  <si>
    <t>DC volts</t>
  </si>
  <si>
    <t>B23</t>
  </si>
  <si>
    <t>≈ 1.33 V</t>
  </si>
  <si>
    <t>V_E (DC emitter voltage)</t>
  </si>
  <si>
    <t>Red lead: emitter row. Black lead: GND rail.</t>
  </si>
  <si>
    <t>B24</t>
  </si>
  <si>
    <t>≈ 0.68 V</t>
  </si>
  <si>
    <t>V_C (quiescent collector voltage)</t>
  </si>
  <si>
    <t>Red lead: collector row. Black lead: GND rail.</t>
  </si>
  <si>
    <t>B25</t>
  </si>
  <si>
    <t>≈ 8.2 V</t>
  </si>
  <si>
    <t>Compare DC to predictions</t>
  </si>
  <si>
    <t>Measured B23:B25 vs predicted B14:B16</t>
  </si>
  <si>
    <t>Within ~5%</t>
  </si>
  <si>
    <t>Scope setup</t>
  </si>
  <si>
    <t>Scope + generator</t>
  </si>
  <si>
    <t>CH1: generator side of 0.33 uF. CH2: collector. Grounds: GND rail.</t>
  </si>
  <si>
    <t>Generator ON: sine, 1 kHz, 0.3 Vpp, 0 V offset. Both channels AC-coupled, probe 1:1, Pk-Pk, averaging on, trigger CH1.</t>
  </si>
  <si>
    <t>Two clean sine waves</t>
  </si>
  <si>
    <t>Check for clipping</t>
  </si>
  <si>
    <t>Scope</t>
  </si>
  <si>
    <t>CH2 (collector)</t>
  </si>
  <si>
    <t>Look at the output shape</t>
  </si>
  <si>
    <t>Clean sine. If tops/bottoms are flat, lower the amplitude.</t>
  </si>
  <si>
    <t>V_in at 1 kHz</t>
  </si>
  <si>
    <t>Scope CH1</t>
  </si>
  <si>
    <t>Generator side of 0.33 uF</t>
  </si>
  <si>
    <t>Pk-Pk</t>
  </si>
  <si>
    <t>B26</t>
  </si>
  <si>
    <t>≈ 0.3 Vpp</t>
  </si>
  <si>
    <t>V_out at 1 kHz</t>
  </si>
  <si>
    <t>Scope CH2</t>
  </si>
  <si>
    <t>Collector</t>
  </si>
  <si>
    <t>B27</t>
  </si>
  <si>
    <t>≈ 2.9 Vpp</t>
  </si>
  <si>
    <t>Gain (auto)</t>
  </si>
  <si>
    <t>B28 = −V_out/V_in</t>
  </si>
  <si>
    <t>B28</t>
  </si>
  <si>
    <t>≈ −9.6</t>
  </si>
  <si>
    <t>Phase</t>
  </si>
  <si>
    <t>CH1 and CH2 together</t>
  </si>
  <si>
    <t>Compare peaks. Take a screenshot.</t>
  </si>
  <si>
    <t>Note/screenshot</t>
  </si>
  <si>
    <t>CH2 peak lines up with CH1 minimum (inverted, 180°)</t>
  </si>
  <si>
    <t>3 dB sweep</t>
  </si>
  <si>
    <t>Scope CH1 + CH2</t>
  </si>
  <si>
    <t>Same as step 6</t>
  </si>
  <si>
    <t>Lower the frequency in steps (see sweep table). Record V_in and V_out at each.</t>
  </si>
  <si>
    <t>Sweep table (A36)</t>
  </si>
  <si>
    <t>V_out falls at low f</t>
  </si>
  <si>
    <t>f_3dB</t>
  </si>
  <si>
    <t>From sweep table</t>
  </si>
  <si>
    <t>Frequency where Gain/midband = 0.707</t>
  </si>
  <si>
    <t>B29</t>
  </si>
  <si>
    <t>≈ 100 Hz</t>
  </si>
  <si>
    <t>Return to 1 kHz</t>
  </si>
  <si>
    <t>Generator</t>
  </si>
  <si>
    <t>Set 1 kHz. Keep the same amplitude for the rest of the lab.</t>
  </si>
  <si>
    <t>Same V_out as step 9</t>
  </si>
  <si>
    <t>V_0 (no load)</t>
  </si>
  <si>
    <t>Collector, load disconnected</t>
  </si>
  <si>
    <t>B30</t>
  </si>
  <si>
    <t>≈ 2.9 Vpp (same as B27)</t>
  </si>
  <si>
    <t>Add load</t>
  </si>
  <si>
    <t>Collector -&gt; 3.3 uF (+ leg to collector) -&gt; 7.5k -&gt; GND</t>
  </si>
  <si>
    <t>Keep the generator unchanged</t>
  </si>
  <si>
    <t>V_L (with load)</t>
  </si>
  <si>
    <t>Collector, load connected</t>
  </si>
  <si>
    <t>Pk-Pk. Check that CH1 did not change.</t>
  </si>
  <si>
    <t>B31</t>
  </si>
  <si>
    <t>≈ 1.45 Vpp (about half of V_0)</t>
  </si>
  <si>
    <t>Z_out (auto)</t>
  </si>
  <si>
    <t>B33 = R_L × (V_0/V_L − 1)</t>
  </si>
  <si>
    <t>B33</t>
  </si>
  <si>
    <t>≈ 7500 Ω</t>
  </si>
  <si>
    <t>Loaded gain check</t>
  </si>
  <si>
    <t>Compare V_L/V_in with B34</t>
  </si>
  <si>
    <t>≈ −4.8</t>
  </si>
  <si>
    <t>Clean up</t>
  </si>
  <si>
    <t>Remove the load. Save screenshots of the DC readings, gain, phase, and loaded output.</t>
  </si>
  <si>
    <t>f (Hz)</t>
  </si>
  <si>
    <t>Gain / midband</t>
  </si>
  <si>
    <t>Predicted ratio</t>
  </si>
  <si>
    <t>0.707 line</t>
  </si>
  <si>
    <t>abs(Gain)</t>
  </si>
  <si>
    <t>4L.5.1 Predictions (bypassed CE amp)</t>
  </si>
  <si>
    <t>R1 (ohm)</t>
  </si>
  <si>
    <t>R2 (ohm)</t>
  </si>
  <si>
    <t>C_E bypass (F)</t>
  </si>
  <si>
    <t>10 uF across R_E</t>
  </si>
  <si>
    <t>V_C DC (V)</t>
  </si>
  <si>
    <t>same with or without C_E</t>
  </si>
  <si>
    <t>Gain without C_E</t>
  </si>
  <si>
    <t>Gain with C_E</t>
  </si>
  <si>
    <t>Gain without C_E (dB)</t>
  </si>
  <si>
    <t>Gain with C_E (dB)</t>
  </si>
  <si>
    <t>f_3dB input cap, no C_E (Hz)</t>
  </si>
  <si>
    <t>Max input with C_E (mVpp)</t>
  </si>
  <si>
    <t>4L.5.1 Measurements</t>
  </si>
  <si>
    <t>V_C DC with C_E (V)</t>
  </si>
  <si>
    <t>multimeter, generator off</t>
  </si>
  <si>
    <t>Sweep amplitude used (mVpp)</t>
  </si>
  <si>
    <t>Midband gain no C_E (dB)</t>
  </si>
  <si>
    <t>from sweep, at 10 kHz</t>
  </si>
  <si>
    <t>Midband gain with C_E (dB)</t>
  </si>
  <si>
    <t>Triangle input (mVpp)</t>
  </si>
  <si>
    <t>What</t>
  </si>
  <si>
    <t>How</t>
  </si>
  <si>
    <t>Add bypass cap</t>
  </si>
  <si>
    <t>10 uF from emitter to GND, across the 750 ohm (+ leg on emitter if electrolytic)</t>
  </si>
  <si>
    <t>DC check</t>
  </si>
  <si>
    <t>Generator off. Multimeter from collector to GND. Record in B31.</t>
  </si>
  <si>
    <t>V_C ≈ 8.24 V, unchanged</t>
  </si>
  <si>
    <t>Set amplitude</t>
  </si>
  <si>
    <t>Sine, 1 kHz. Start at 10 mVpp. Raise until the output is a clean few volts pk-pk with no flattening.</t>
  </si>
  <si>
    <t>≈ 10–20 mVpp in, ≈ 2–5 Vpp out</t>
  </si>
  <si>
    <t>Sweep WITH cap</t>
  </si>
  <si>
    <t>Scope FRA: CH1 = input, CH2 = collector. 10 Hz to 1 MHz. Set the FRA amplitude to the step-3 value.</t>
  </si>
  <si>
    <t>Flat at ≈ 48.7 dB above ≈ 5 kHz</t>
  </si>
  <si>
    <t>Sweep WITHOUT cap</t>
  </si>
  <si>
    <t>Remove C_E. Same FRA settings and amplitude.</t>
  </si>
  <si>
    <t>Flat at ≈ 19.7 dB above ≈ 500 Hz</t>
  </si>
  <si>
    <t>Record</t>
  </si>
  <si>
    <t>Screenshot plus CSV export of each sweep. Midband gains at 10 kHz into B33:B34.</t>
  </si>
  <si>
    <t>≈ 28 dB difference</t>
  </si>
  <si>
    <t>Read phase from both FRA sweeps</t>
  </si>
  <si>
    <t>See Q&amp;A</t>
  </si>
  <si>
    <t>Triangle wave</t>
  </si>
  <si>
    <t>Put C_E back. Triangle, 10 kHz. Raise the amplitude until the output is just below clipping.</t>
  </si>
  <si>
    <t>≈ 30–50 mVpp in</t>
  </si>
  <si>
    <t>Observe</t>
  </si>
  <si>
    <t>Screenshot CH1 and CH2. Compare with Fig. 4L.8. Stop here (skip the last 3 paragraphs).</t>
  </si>
  <si>
    <t>Curved, asymmetric output</t>
  </si>
  <si>
    <t>What circuit properties does adding the bypass capacitor affect?</t>
  </si>
  <si>
    <t>At signal frequencies C_E shorts R_E, so the emitter is at AC ground. (1) Gain rises from -R_C/(R_E+r_e) = -9.6 to -R_C/r_e ≈ -272. (2) Input impedance drops from ≈4.9k to ≈2.2k, because the base now sees (beta+1)*r_e instead of (beta+1)*(R_E+r_e). (3) So the input-cap corner moves up from ≈99 Hz to ≈220 Hz, and C_E adds its own corner (≈600 Hz with 10 uF), so the gain only reaches full value above ≈5 kHz. (4) Linearity gets worse: gain now depends on r_e = 25 mV/I_C, which changes as the signal swings I_C. The R_E negative feedback that stabilized gain is gone. Output impedance is unchanged (≈R_C = 7.5k).</t>
  </si>
  <si>
    <t>Does the capacitor alter the biasing?</t>
  </si>
  <si>
    <t>No. At DC a capacitor is an open circuit, so all DC currents and voltages are unchanged: V_B ≈ 1.33 V, V_E ≈ 0.68 V, V_C ≈ 8.24 V. Confirmed by measuring V_C with the cap in (B31).</t>
  </si>
  <si>
    <t>Does the triangle-wave output look like Fig. 4L.8?</t>
  </si>
  <si>
    <t>Yes (qualitatively). The output is not a clean inverted triangle: the sides are curved, and the waveform is asymmetric about the 8.2 V quiescent level.</t>
  </si>
  <si>
    <t>Why is 10 uF OK instead of 15 uF?</t>
  </si>
  <si>
    <t>C_E only sets the low-frequency corner of the bypass, 1/(2*pi*C_E*(R_E||r_e)): ≈600 Hz with 10 uF vs ≈400 Hz with 15 uF. Both are far below 10 kHz, where the gain is measured, so midband gain is the same.</t>
  </si>
  <si>
    <t>Why are sweeps done with sine waves?</t>
  </si>
  <si>
    <t>A sine is the only waveform that keeps its shape through a linear circuit: only its amplitude and phase change. That makes gain and phase at a single frequency well defined. A square or triangle wave contains many harmonics, each amplified and phase-shifted differently, so there is no single gain at "that" frequency.</t>
  </si>
  <si>
    <t>Why must the input amplitude be small?</t>
  </si>
  <si>
    <t>This is a small-signal amplifier. The gain formula assumes v_be swings much less than 25 mV. With gain ≈272, an input over ≈50 mVpp clips the output (≈13.5 Vpp max swing), and even well below that, a large swing changes I_C and r_e and distorts the waveform. Use the smallest input that still gives a clean, readable output at 1 kHz (≈10–20 mVpp).</t>
  </si>
  <si>
    <t>Gain vs frequency, with and without cap?</t>
  </si>
  <si>
    <t>Without C_E: flat ≈19.7 dB (gain 9.6) above ≈500 Hz, falling at 20 dB/decade below the ≈99 Hz corner. With C_E: flat ≈48.7 dB (gain ≈270) above ≈5 kHz. Below that the gain falls in two stages: the bypass cap stops shorting R_E (≈600 Hz down to ≈21 Hz), plus the input cap corner (≈220 Hz). At very low f the two curves approach each other, because C_E is then open and the circuit is the unbypassed amp.</t>
  </si>
  <si>
    <t>Predicted phase, with and without cap?</t>
  </si>
  <si>
    <t>Both invert, so midband phase = 180 deg. Without C_E: the input high-pass adds lead: 180 + arctan(f_3dB/f), so 225 deg (shown as -135) at 99 Hz, approaching 180 above ≈1 kHz. With C_E: extra lead from the bypass network too, so the phase departs from 180 over a much wider range (≈-140 deg still at 1 kHz), reaching ≈-175 only near 10 kHz.</t>
  </si>
  <si>
    <t>What do you see, and why does it deviate from 180 deg?</t>
  </si>
  <si>
    <t>Low frequencies: the coupling cap (and bypass cap) form high-pass networks, and a high-pass adds phase lead (up to +90 deg per capacitor). High frequencies: stray capacitance forms low-pass filters that add phase lag: R_C with the scope/probe input capacitance, and the transistor's collector-base capacitance multiplied by the gain (Miller effect). The Miller effect is ≈28x larger with C_E, so the high-frequency lag starts at lower frequency with the cap. Exactly 180 deg is seen only in the flat midband.</t>
  </si>
  <si>
    <t>Why is the jump from -180 to +180 uninteresting?</t>
  </si>
  <si>
    <t>Phase is only defined modulo 360 deg: -180 and +180 are the same angle, both mean "inverted". The scope reports phase in the range -180 to +180, so a signal that drifts slightly past 180 gets displayed as a jump to the other end. It is a display wrap-around, not a real change in the circuit.</t>
  </si>
  <si>
    <t>Explain the triangle-wave output (qualitative)</t>
  </si>
  <si>
    <t>With R_E bypassed, the gain is R_C/r_e and r_e = 25 mV/I_C. As the input rises, I_C increases, r_e decreases and the gain increases, so the (inverted) output moves down steeply. As the input falls, I_C decreases, r_e increases and the gain drops, so the output rises more gently. The straight input ramps come out as curved (exponential) ramps, and the swing below 8.2 V is larger than above it. This is the Ebers-Moll exponential I_C = I_S*exp(V_BE/V_T) showing through. Without C_E, R_E (750 ohm &gt;&gt; r_e) sets the gain, so the output stays a clean triangle.</t>
  </si>
  <si>
    <t>4L.6 Transistor switch (MJE3055)</t>
  </si>
  <si>
    <t>Given</t>
  </si>
  <si>
    <t>NOTE: 5 V, not 15</t>
  </si>
  <si>
    <t>R_B (ohm)</t>
  </si>
  <si>
    <t>V_BE assumed (V)</t>
  </si>
  <si>
    <t>given in lecture</t>
  </si>
  <si>
    <t>Lamp rated current (A)</t>
  </si>
  <si>
    <t>#47 lamp, 0.15 A @ 6.3 V</t>
  </si>
  <si>
    <t>Datasheet h_FE min</t>
  </si>
  <si>
    <t>MJE3055 datasheet, at I_C = 4 A</t>
  </si>
  <si>
    <t>Predictions</t>
  </si>
  <si>
    <t>I_B (mA)</t>
  </si>
  <si>
    <t>(V_supply - V_BE)/R_B</t>
  </si>
  <si>
    <t>Min beta required</t>
  </si>
  <si>
    <t>I_C(lamp)/I_B</t>
  </si>
  <si>
    <t>Enough base drive?</t>
  </si>
  <si>
    <t>Measurements</t>
  </si>
  <si>
    <t>I_C, switch ON (A)</t>
  </si>
  <si>
    <t>ammeter in series, lamp -&gt; collector</t>
  </si>
  <si>
    <t>I_C, switch OFF (A)</t>
  </si>
  <si>
    <t>ammeter, 470 ohm touched to GND</t>
  </si>
  <si>
    <t>V_CE(sat), switch ON (V)</t>
  </si>
  <si>
    <t>multimeter, collector to emitter</t>
  </si>
  <si>
    <t>V_BE, switch ON (V)</t>
  </si>
  <si>
    <t>optional: base to emitter</t>
  </si>
  <si>
    <t>Lamp lit?</t>
  </si>
  <si>
    <t>yes/no</t>
  </si>
  <si>
    <t>Results</t>
  </si>
  <si>
    <t>Beta in this circuit</t>
  </si>
  <si>
    <t>I_B from measured V_BE (mA)</t>
  </si>
  <si>
    <t>Power in transistor (W)</t>
  </si>
  <si>
    <t>How do you calculate I_B?</t>
  </si>
  <si>
    <t>Assume V_BE = 0.7 V. The rest of the 5 V drops across the 470 ohm: I_B = (5 - 0.7)/470 = 9.1 mA (B10).</t>
  </si>
  <si>
    <t>What is the minimum required beta?</t>
  </si>
  <si>
    <t>The lamp needs about 0.15 A, so beta_min = I_C/I_B = 0.15/0.0091 = 16 (B11).</t>
  </si>
  <si>
    <t>What does the datasheet say?</t>
  </si>
  <si>
    <t>MJE3055 h_FE(min) = 20 at I_C = 4 A, which is more than 16. So 9 mA of base current is more than enough to fully turn the lamp on.</t>
  </si>
  <si>
    <t>What is beta in this circuit?</t>
  </si>
  <si>
    <t>I_C(measured)/I_B (B21). Expect ~15, which is LOWER than the datasheet value.</t>
  </si>
  <si>
    <t>Why is I_C not beta*I_B here?</t>
  </si>
  <si>
    <t>The transistor is saturated. At beta = 20 it could pass 20*9.1 mA = 180 mA, but the lamp limits the current to ~150 mA. The collector drops to V_CE(sat) ~0.1-0.2 V and the load, not the transistor, sets I_C. So I_C/I_B here is a "forced beta", not the transistor's real beta.</t>
  </si>
  <si>
    <t>Why overdrive the base?</t>
  </si>
  <si>
    <t>To guarantee saturation for any transistor. Beta varies widely between parts and with temperature, so switch designs use I_B several times larger than I_C/beta_min. A saturated switch has a tiny V_CE, so it dissipates very little power (B23).</t>
  </si>
  <si>
    <t>What does V_CE(sat) tell you?</t>
  </si>
  <si>
    <t>How good the switch is. Small V_CE(sat) means almost all 5 V goes across the lamp, and the transistor wastes little power. The big TO-220 package keeps current density low, so V_CE(sat) stays low.</t>
  </si>
  <si>
    <t>Why is the pinout different?</t>
  </si>
  <si>
    <t>The MJE3055 (TO-220) is B-C-E, left to right with the label facing you. The 2N3904 (TO-92) is E-B-C. Always check the datasheet pinout.</t>
  </si>
  <si>
    <t>What does the datasheet say about beta?</t>
  </si>
  <si>
    <t>h_FE(min) = 20 at I_C = 4 A (guaranteed). Typical h_FE at our I_C = 0.15 A is about 100 (Fig. 1). We need only beta = 16, so even the worst-case part saturates.</t>
  </si>
  <si>
    <t>Why is the measured I_C/I_B (~16) lower than h_FE (~100)?</t>
  </si>
  <si>
    <t>The transistor is saturated: the lamp limits I_C to ~0.15 A. The transistor could pass ~100 x 9.1 mA = 0.9 A, but the load won't let it. So I_C/I_B here is a "forced beta" set by the circuit, not the transistor's h_FE.</t>
  </si>
  <si>
    <t>Expected V_CE(sat)?</t>
  </si>
  <si>
    <t>About 0.1 V from Fig. 2 at I_C = 0.15 A (datasheet max 1.1 V at 4 A). Compare with the measured value.</t>
  </si>
  <si>
    <t>from Thevenin bias (4L.5)</t>
  </si>
  <si>
    <t>R_C/(R_E + r_e), inverted</t>
  </si>
  <si>
    <t>R_C/r_e, inverted</t>
  </si>
  <si>
    <t>start the sweep well below this</t>
  </si>
  <si>
    <t>keep the sweep input well below this</t>
  </si>
  <si>
    <t>10 kHz, just below clipping</t>
  </si>
  <si>
    <t>Run 1: WITHOUT bypass cap</t>
  </si>
  <si>
    <t>CH1 Vpp</t>
  </si>
  <si>
    <t>CH2 Vpp</t>
  </si>
  <si>
    <t>Phase (deg)</t>
  </si>
  <si>
    <t>Gain (dB)</t>
  </si>
  <si>
    <t>Run 2: WITH bypass cap</t>
  </si>
  <si>
    <t>beta in this circuit = I_C(ON) / I_B</t>
  </si>
  <si>
    <t>I_B using your measured V_BE</t>
  </si>
  <si>
    <t>Power in the transistor = I_C × V_CE(sat)</t>
  </si>
  <si>
    <t>yes</t>
  </si>
  <si>
    <t>4L.6.1 Saturation voltage (MJE3055)</t>
  </si>
  <si>
    <t>V_CE (V)</t>
  </si>
  <si>
    <t>I_C (mA)</t>
  </si>
  <si>
    <t>What do you measure?</t>
  </si>
  <si>
    <t>For each R_B: V_CE (collector to emitter) and V_BE (base to emitter), with multimeters. The base voltage is measured, not assumed to be 0.7 V.</t>
  </si>
  <si>
    <t>How do you vary I_C?</t>
  </si>
  <si>
    <t>By changing the base current: set R_B to a new value each run (10k down to 150 ohm). Smaller R_B gives more I_B, which gives more I_C until the transistor saturates.</t>
  </si>
  <si>
    <t>I_B = (5 - V_BE)/R_B, using the measured V_BE.</t>
  </si>
  <si>
    <t>How do you calculate I_C?</t>
  </si>
  <si>
    <t>I_C = (5 - V_CE)/R_C. The voltage across the 10 ohm is the supply minus V_CE, not V_CE itself. That is why V_CE/R_C is wrong.</t>
  </si>
  <si>
    <t>Why no ammeter for I_C?</t>
  </si>
  <si>
    <t>The ammeter's own resistance adds to the 10 ohm load, which shifts the circuit. Calculating I_C from the voltage across R_C avoids that.</t>
  </si>
  <si>
    <t>Do you need to parallel resistors?</t>
  </si>
  <si>
    <t>What does the V_CE vs I_C plot show?</t>
  </si>
  <si>
    <t>At low I_C (large R_B) the transistor is in the active region and V_CE is large (~4-5 V). As I_B increases, I_C rises and V_CE falls. Once I_C reaches the load limit (5 V/10 ohm = 0.5 A) the transistor saturates and V_CE bottoms out at V_CE(sat) ~0.1-0.2 V.</t>
  </si>
  <si>
    <t>What does the beta vs I_C plot show?</t>
  </si>
  <si>
    <t>In the active region beta = I_C/I_B is roughly constant; that is the transistor's real beta. In saturation I_C cannot grow (the load limits it) while I_B keeps increasing, so I_C/I_B drops sharply. That is a "forced beta", not the transistor's real one.</t>
  </si>
  <si>
    <t>Why does the curve not look like the book's Fig. 4L.10?</t>
  </si>
  <si>
    <t>The book's curve holds I_B = I_C/10 (heavy drive) at every point. We change I_B while the load stays fixed, so we sweep through both the active and saturated regions.</t>
  </si>
  <si>
    <t>Why use a power resistor for R_C?</t>
  </si>
  <si>
    <t>At saturation it carries ~0.5 A with ~5 V across it: P = V^2/R = 25/10 = 2.5 W. A 1/4 W resistor would overheat.</t>
  </si>
  <si>
    <t>Why is a low V_CE(sat) good for a switch?</t>
  </si>
  <si>
    <t>Power lost in the transistor = I_C x V_CE. A small V_CE means almost all the supply voltage goes to the load, and the transistor wastes very little power.</t>
  </si>
  <si>
    <t>No. The resistance box can be set directly to 150 ohm or any other value, so there is no need to parallel resistors.</t>
  </si>
  <si>
    <t>4L.6.2 Transistor switch with inductive load</t>
  </si>
  <si>
    <t>V_battery (V)</t>
  </si>
  <si>
    <t>C cell</t>
  </si>
  <si>
    <t>L (H)</t>
  </si>
  <si>
    <t>10 mH</t>
  </si>
  <si>
    <t>base resistor (changed from 470)</t>
  </si>
  <si>
    <t>Drive high (V)</t>
  </si>
  <si>
    <t>square wave 0 to 5 V, 1 kHz</t>
  </si>
  <si>
    <t>I_B when ON (mA)</t>
  </si>
  <si>
    <t>(5 - 0.7)/1k</t>
  </si>
  <si>
    <t>Clamped collector peak with diode (V)</t>
  </si>
  <si>
    <t>battery + one diode drop</t>
  </si>
  <si>
    <t>Spike peak, no diode (V)</t>
  </si>
  <si>
    <t>CH2 Max, 10x probe</t>
  </si>
  <si>
    <t>Collector when ON (V)</t>
  </si>
  <si>
    <t>CH2 low level (V_CE(sat))</t>
  </si>
  <si>
    <t>Collector peak with diode (V)</t>
  </si>
  <si>
    <t>CH2 Max after adding diode</t>
  </si>
  <si>
    <t>Spike duration, no diode (us)</t>
  </si>
  <si>
    <t>width of spike on CH2</t>
  </si>
  <si>
    <t>The collector voltage on CH2 (10x probe) while the base is driven with a 0-5 V, 1 kHz square wave on CH1. Record the spike peak without the diode, then again with the diode.</t>
  </si>
  <si>
    <t>Why does the spike happen?</t>
  </si>
  <si>
    <t>An inductor resists changes in current: V = L dI/dt. When the transistor turns off, the current tries to drop to zero almost instantly, so dI/dt is huge. The inductor drives the collector voltage up (100 V or more) trying to keep the current flowing, until the transistor breaks down and lets it pass.</t>
  </si>
  <si>
    <t>Why is the spike so much bigger than the 1.5 V supply?</t>
  </si>
  <si>
    <t>The spike size depends on how fast the current is cut off, not on the supply voltage. A fast switch-off gives a large dI/dt, so a large L dI/dt.</t>
  </si>
  <si>
    <t>What does the diode do?</t>
  </si>
  <si>
    <t>It gives the inductor current a safe path back to the battery's + terminal. The collector can then only rise one diode drop above the supply (~1.5 + 0.7 = 2.2 V), and the current decays slowly through the diode and the coil.</t>
  </si>
  <si>
    <t>Why add the diode only after seeing the spike?</t>
  </si>
  <si>
    <t>To see the unprotected spike first. With the diode in, the spike never appears.</t>
  </si>
  <si>
    <t>Which way does the diode go?</t>
  </si>
  <si>
    <t>Cathode (band) to the + battery side, anode to the collector. It is reverse-biased during normal operation and conducts only when the collector rises above the supply.</t>
  </si>
  <si>
    <t>Why is the switch in series with the battery?</t>
  </si>
  <si>
    <t>To disconnect the supply when not measuring, so the inductor and transistor don't heat up, and so the ~100 V spike is only produced while you are watching.</t>
  </si>
  <si>
    <t>Why a 0 to 5 V square wave, not -2.5 to +2.5 V?</t>
  </si>
  <si>
    <t>0 V turns the transistor fully off and 5 V turns it fully on (logic levels). A negative swing would reverse-bias the base-emitter junction unnecessarily.</t>
  </si>
  <si>
    <t>Why is this important in practice?</t>
  </si>
  <si>
    <t>Relays, motors and solenoids are inductive loads. Without a clamp diode, the turn-off spike can destroy the switching transistor. The flyback diode is standard protection.</t>
  </si>
  <si>
    <t>CH2, 0.33 uF + 7.5k connected</t>
  </si>
  <si>
    <t>3dB at Vpkpk</t>
  </si>
  <si>
    <t>3dB freq Hz</t>
  </si>
  <si>
    <t>Gain: "Without cap" levels off at about 13 dB, "With cap" at about 40 dB.
Phase: both sit near ±180° in the middle and drift away at low frequency.</t>
  </si>
  <si>
    <t>without the cap</t>
  </si>
  <si>
    <t>with the cap</t>
  </si>
  <si>
    <t>As I_B increases, I_C rises with β ≈ 190 until it reaches ~490 mA, the limit set by the 10 Ω load. Beyond that the transistor saturates: V_CE falls to ~0.07 V and I_C/I_B drops to ~17, a "forced β" set by the load rather than the transistor.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</si>
</sst>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ptos Narrow"/>
      <scheme val="minor"/>
    </font>
    <font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1" fontId="1" fillId="0" borderId="1" xfId="0" applyNumberFormat="1" applyFont="1" applyBorder="1"/>
    <xf numFmtId="2" fontId="4" fillId="0" borderId="0" xfId="0" applyNumberFormat="1" applyFont="1"/>
    <xf numFmtId="0" fontId="4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4L.5 Common-emitter amplifier: low-frequency response</a:t>
            </a:r>
            <a:endParaRPr lang="en-US"/>
          </a:p>
        </c:rich>
      </c:tx>
      <c:layout>
        <c:manualLayout>
          <c:xMode val="edge"/>
          <c:yMode val="edge"/>
          <c:x val="0.18445557718214026"/>
          <c:y val="6.5324976881277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'4L.5 common-emitter'!$J$30:$J$42</c:f>
              <c:numCache>
                <c:formatCode>General</c:formatCode>
                <c:ptCount val="13"/>
                <c:pt idx="0">
                  <c:v>5000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300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100</c:v>
                </c:pt>
                <c:pt idx="9">
                  <c:v>80</c:v>
                </c:pt>
                <c:pt idx="10">
                  <c:v>60</c:v>
                </c:pt>
                <c:pt idx="11">
                  <c:v>40</c:v>
                </c:pt>
                <c:pt idx="12">
                  <c:v>20</c:v>
                </c:pt>
              </c:numCache>
            </c:numRef>
          </c:xVal>
          <c:yVal>
            <c:numRef>
              <c:f>'4L.5 common-emitter'!$N$30:$N$42</c:f>
              <c:numCache>
                <c:formatCode>General</c:formatCode>
                <c:ptCount val="13"/>
                <c:pt idx="0">
                  <c:v>1.0111111111111111</c:v>
                </c:pt>
                <c:pt idx="1">
                  <c:v>1</c:v>
                </c:pt>
                <c:pt idx="2">
                  <c:v>1</c:v>
                </c:pt>
                <c:pt idx="3">
                  <c:v>0.98717948717948723</c:v>
                </c:pt>
                <c:pt idx="4">
                  <c:v>0.96474358974358965</c:v>
                </c:pt>
                <c:pt idx="5">
                  <c:v>0.89999999999999991</c:v>
                </c:pt>
                <c:pt idx="6">
                  <c:v>0.84444444444444433</c:v>
                </c:pt>
                <c:pt idx="7">
                  <c:v>0.78888888888888875</c:v>
                </c:pt>
                <c:pt idx="8">
                  <c:v>0.73333333333333328</c:v>
                </c:pt>
                <c:pt idx="9">
                  <c:v>0.64444444444444449</c:v>
                </c:pt>
                <c:pt idx="10">
                  <c:v>0.53846153846153844</c:v>
                </c:pt>
                <c:pt idx="11">
                  <c:v>0.39999999999999997</c:v>
                </c:pt>
                <c:pt idx="12">
                  <c:v>0.24444444444444446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7-304F-A9CA-8128439EFDA0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'4L.5 common-emitter'!$J$30:$J$42</c:f>
              <c:numCache>
                <c:formatCode>General</c:formatCode>
                <c:ptCount val="13"/>
                <c:pt idx="0">
                  <c:v>5000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300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100</c:v>
                </c:pt>
                <c:pt idx="9">
                  <c:v>80</c:v>
                </c:pt>
                <c:pt idx="10">
                  <c:v>60</c:v>
                </c:pt>
                <c:pt idx="11">
                  <c:v>40</c:v>
                </c:pt>
                <c:pt idx="12">
                  <c:v>20</c:v>
                </c:pt>
              </c:numCache>
            </c:numRef>
          </c:xVal>
          <c:yVal>
            <c:numRef>
              <c:f>'4L.5 common-emitter'!$O$30:$O$42</c:f>
              <c:numCache>
                <c:formatCode>General</c:formatCode>
                <c:ptCount val="13"/>
                <c:pt idx="0">
                  <c:v>0.99978420172594973</c:v>
                </c:pt>
                <c:pt idx="1">
                  <c:v>0.99865354836642473</c:v>
                </c:pt>
                <c:pt idx="2">
                  <c:v>0.99464659366438202</c:v>
                </c:pt>
                <c:pt idx="3">
                  <c:v>0.97908793748597833</c:v>
                </c:pt>
                <c:pt idx="4">
                  <c:v>0.94494208406472102</c:v>
                </c:pt>
                <c:pt idx="5">
                  <c:v>0.88741409384802916</c:v>
                </c:pt>
                <c:pt idx="6">
                  <c:v>0.82207631654562285</c:v>
                </c:pt>
                <c:pt idx="7">
                  <c:v>0.75602784550658753</c:v>
                </c:pt>
                <c:pt idx="8">
                  <c:v>0.69348515513707421</c:v>
                </c:pt>
                <c:pt idx="9">
                  <c:v>0.61011121795969825</c:v>
                </c:pt>
                <c:pt idx="10">
                  <c:v>0.50011449461252555</c:v>
                </c:pt>
                <c:pt idx="11">
                  <c:v>0.35930613169733133</c:v>
                </c:pt>
                <c:pt idx="12">
                  <c:v>0.18903788111780731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87-304F-A9CA-8128439EFDA0}"/>
            </c:ext>
          </c:extLst>
        </c:ser>
        <c:ser>
          <c:idx val="2"/>
          <c:order val="2"/>
          <c:tx>
            <c:v>0.707 (−3 dB)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'4L.5 common-emitter'!$J$30:$J$42</c:f>
              <c:numCache>
                <c:formatCode>General</c:formatCode>
                <c:ptCount val="13"/>
                <c:pt idx="0">
                  <c:v>5000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300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100</c:v>
                </c:pt>
                <c:pt idx="9">
                  <c:v>80</c:v>
                </c:pt>
                <c:pt idx="10">
                  <c:v>60</c:v>
                </c:pt>
                <c:pt idx="11">
                  <c:v>40</c:v>
                </c:pt>
                <c:pt idx="12">
                  <c:v>20</c:v>
                </c:pt>
              </c:numCache>
            </c:numRef>
          </c:xVal>
          <c:yVal>
            <c:numRef>
              <c:f>'4L.5 common-emitter'!$P$30:$P$42</c:f>
              <c:numCache>
                <c:formatCode>General</c:formatCode>
                <c:ptCount val="13"/>
                <c:pt idx="0">
                  <c:v>0.70699999999999996</c:v>
                </c:pt>
                <c:pt idx="1">
                  <c:v>0.70699999999999996</c:v>
                </c:pt>
                <c:pt idx="2">
                  <c:v>0.70699999999999996</c:v>
                </c:pt>
                <c:pt idx="3">
                  <c:v>0.70699999999999996</c:v>
                </c:pt>
                <c:pt idx="4">
                  <c:v>0.70699999999999996</c:v>
                </c:pt>
                <c:pt idx="5">
                  <c:v>0.70699999999999996</c:v>
                </c:pt>
                <c:pt idx="6">
                  <c:v>0.70699999999999996</c:v>
                </c:pt>
                <c:pt idx="7">
                  <c:v>0.70699999999999996</c:v>
                </c:pt>
                <c:pt idx="8">
                  <c:v>0.70699999999999996</c:v>
                </c:pt>
                <c:pt idx="9">
                  <c:v>0.70699999999999996</c:v>
                </c:pt>
                <c:pt idx="10">
                  <c:v>0.70699999999999996</c:v>
                </c:pt>
                <c:pt idx="11">
                  <c:v>0.70699999999999996</c:v>
                </c:pt>
                <c:pt idx="12">
                  <c:v>0.70699999999999996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87-304F-A9CA-8128439EF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02399"/>
        <c:axId val="827861055"/>
      </c:scatterChart>
      <c:valAx>
        <c:axId val="827502399"/>
        <c:scaling>
          <c:logBase val="10"/>
          <c:orientation val="minMax"/>
          <c:max val="1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 f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61055"/>
        <c:crosses val="autoZero"/>
        <c:crossBetween val="midCat"/>
      </c:valAx>
      <c:valAx>
        <c:axId val="8278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Gain / midband gain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0239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Plot 1: gain vs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Without 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'4L.5.1 common emitter gain'!$A$31:$A$43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</c:numCache>
            </c:numRef>
          </c:xVal>
          <c:yVal>
            <c:numRef>
              <c:f>'4L.5.1 common emitter gain'!$E$31:$E$43</c:f>
              <c:numCache>
                <c:formatCode>General</c:formatCode>
                <c:ptCount val="13"/>
                <c:pt idx="0">
                  <c:v>8.5193746454456249</c:v>
                </c:pt>
                <c:pt idx="1">
                  <c:v>10.457574905606752</c:v>
                </c:pt>
                <c:pt idx="2">
                  <c:v>12.041199826559248</c:v>
                </c:pt>
                <c:pt idx="3">
                  <c:v>13.380135619171512</c:v>
                </c:pt>
                <c:pt idx="4">
                  <c:v>14.539974558725248</c:v>
                </c:pt>
                <c:pt idx="5">
                  <c:v>14.539974558725248</c:v>
                </c:pt>
                <c:pt idx="6">
                  <c:v>14.539974558725248</c:v>
                </c:pt>
                <c:pt idx="7">
                  <c:v>14.539974558725248</c:v>
                </c:pt>
                <c:pt idx="8">
                  <c:v>14.539974558725248</c:v>
                </c:pt>
                <c:pt idx="9">
                  <c:v>14.834439695139373</c:v>
                </c:pt>
                <c:pt idx="10">
                  <c:v>14.264208869012583</c:v>
                </c:pt>
                <c:pt idx="11">
                  <c:v>14.57866455426924</c:v>
                </c:pt>
                <c:pt idx="12">
                  <c:v>13.674600755585637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0-E846-BA7F-410DB12A7D46}"/>
            </c:ext>
          </c:extLst>
        </c:ser>
        <c:ser>
          <c:idx val="1"/>
          <c:order val="1"/>
          <c:tx>
            <c:v>With 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'4L.5.1 common emitter gain'!$A$31:$A$43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</c:numCache>
            </c:numRef>
          </c:xVal>
          <c:yVal>
            <c:numRef>
              <c:f>'4L.5.1 common emitter gain'!$E$47:$E$59</c:f>
              <c:numCache>
                <c:formatCode>General</c:formatCode>
                <c:ptCount val="13"/>
                <c:pt idx="0">
                  <c:v>12.041199826559248</c:v>
                </c:pt>
                <c:pt idx="1">
                  <c:v>13.064250275506875</c:v>
                </c:pt>
                <c:pt idx="2">
                  <c:v>16.901960800285135</c:v>
                </c:pt>
                <c:pt idx="3">
                  <c:v>21.583624920952495</c:v>
                </c:pt>
                <c:pt idx="4">
                  <c:v>26.798961233887017</c:v>
                </c:pt>
                <c:pt idx="5">
                  <c:v>29.780409560387401</c:v>
                </c:pt>
                <c:pt idx="6">
                  <c:v>31.480625354554377</c:v>
                </c:pt>
                <c:pt idx="7">
                  <c:v>32.482202641420727</c:v>
                </c:pt>
                <c:pt idx="8">
                  <c:v>32.819561147166645</c:v>
                </c:pt>
                <c:pt idx="9">
                  <c:v>32.983450719472074</c:v>
                </c:pt>
                <c:pt idx="10">
                  <c:v>32.983450719472074</c:v>
                </c:pt>
                <c:pt idx="11">
                  <c:v>30.881360887005513</c:v>
                </c:pt>
                <c:pt idx="12">
                  <c:v>33.408290877659319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0-E846-BA7F-410DB12A7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803519"/>
        <c:axId val="603296575"/>
      </c:scatterChart>
      <c:valAx>
        <c:axId val="59180351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96575"/>
        <c:crosses val="autoZero"/>
        <c:crossBetween val="midCat"/>
      </c:valAx>
      <c:valAx>
        <c:axId val="6032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Gain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0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Plot 2: phase vs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Without 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'4L.5.1 common emitter gain'!$A$31:$A$43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</c:numCache>
            </c:numRef>
          </c:xVal>
          <c:yVal>
            <c:numRef>
              <c:f>'4L.5.1 common emitter gain'!$D$31:$D$43</c:f>
              <c:numCache>
                <c:formatCode>General</c:formatCode>
                <c:ptCount val="13"/>
                <c:pt idx="0">
                  <c:v>77</c:v>
                </c:pt>
                <c:pt idx="1">
                  <c:v>99</c:v>
                </c:pt>
                <c:pt idx="2">
                  <c:v>110</c:v>
                </c:pt>
                <c:pt idx="3">
                  <c:v>145</c:v>
                </c:pt>
                <c:pt idx="4">
                  <c:v>164</c:v>
                </c:pt>
                <c:pt idx="5">
                  <c:v>174</c:v>
                </c:pt>
                <c:pt idx="6">
                  <c:v>176</c:v>
                </c:pt>
                <c:pt idx="7">
                  <c:v>178</c:v>
                </c:pt>
                <c:pt idx="8">
                  <c:v>179</c:v>
                </c:pt>
                <c:pt idx="9">
                  <c:v>179</c:v>
                </c:pt>
                <c:pt idx="10">
                  <c:v>178</c:v>
                </c:pt>
                <c:pt idx="11">
                  <c:v>181</c:v>
                </c:pt>
                <c:pt idx="12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A1-2643-B3AA-9E30136F2685}"/>
            </c:ext>
          </c:extLst>
        </c:ser>
        <c:ser>
          <c:idx val="1"/>
          <c:order val="1"/>
          <c:tx>
            <c:v>With cap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'4L.5.1 common emitter gain'!$A$31:$A$43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</c:numCache>
            </c:numRef>
          </c:xVal>
          <c:yVal>
            <c:numRef>
              <c:f>'4L.5.1 common emitter gain'!$D$47:$D$59</c:f>
              <c:numCache>
                <c:formatCode>General</c:formatCode>
                <c:ptCount val="13"/>
                <c:pt idx="0">
                  <c:v>30</c:v>
                </c:pt>
                <c:pt idx="1">
                  <c:v>52</c:v>
                </c:pt>
                <c:pt idx="2">
                  <c:v>74</c:v>
                </c:pt>
                <c:pt idx="3">
                  <c:v>83</c:v>
                </c:pt>
                <c:pt idx="4">
                  <c:v>94</c:v>
                </c:pt>
                <c:pt idx="5">
                  <c:v>100</c:v>
                </c:pt>
                <c:pt idx="6">
                  <c:v>120</c:v>
                </c:pt>
                <c:pt idx="7">
                  <c:v>123</c:v>
                </c:pt>
                <c:pt idx="8">
                  <c:v>127</c:v>
                </c:pt>
                <c:pt idx="9">
                  <c:v>130</c:v>
                </c:pt>
                <c:pt idx="10">
                  <c:v>135</c:v>
                </c:pt>
                <c:pt idx="11">
                  <c:v>142</c:v>
                </c:pt>
                <c:pt idx="12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A1-2643-B3AA-9E30136F2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67487"/>
        <c:axId val="591793215"/>
      </c:scatterChart>
      <c:valAx>
        <c:axId val="6015674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Frequency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793215"/>
        <c:crosses val="autoZero"/>
        <c:crossBetween val="midCat"/>
      </c:valAx>
      <c:valAx>
        <c:axId val="5917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Phase (deg)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6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 1: </a:t>
            </a:r>
            <a:r>
              <a:rPr lang="en-US" sz="1400" b="0" i="0" u="none" strike="noStrike" baseline="0"/>
              <a:t>V_CE vs Collector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'4L.6.1 transistor switch sat'!$B$5</c:f>
              <c:strCache>
                <c:ptCount val="1"/>
                <c:pt idx="0">
                  <c:v>V_CE 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'4L.6.1 transistor switch sat'!$E$6:$E$15</c:f>
              <c:numCache>
                <c:formatCode>General</c:formatCode>
                <c:ptCount val="10"/>
                <c:pt idx="0">
                  <c:v>84.199999999999974</c:v>
                </c:pt>
                <c:pt idx="1">
                  <c:v>187.1</c:v>
                </c:pt>
                <c:pt idx="2">
                  <c:v>355.5</c:v>
                </c:pt>
                <c:pt idx="3">
                  <c:v>453.4</c:v>
                </c:pt>
                <c:pt idx="4">
                  <c:v>480.19999999999993</c:v>
                </c:pt>
                <c:pt idx="5">
                  <c:v>486.09999999999997</c:v>
                </c:pt>
                <c:pt idx="6">
                  <c:v>488.8</c:v>
                </c:pt>
                <c:pt idx="7">
                  <c:v>490.4</c:v>
                </c:pt>
                <c:pt idx="8">
                  <c:v>491.89999999999992</c:v>
                </c:pt>
                <c:pt idx="9">
                  <c:v>492.7</c:v>
                </c:pt>
              </c:numCache>
            </c:numRef>
          </c:xVal>
          <c:yVal>
            <c:numRef>
              <c:f>'4L.6.1 transistor switch sat'!$B$6:$B$15</c:f>
              <c:numCache>
                <c:formatCode>General</c:formatCode>
                <c:ptCount val="10"/>
                <c:pt idx="0">
                  <c:v>4.1580000000000004</c:v>
                </c:pt>
                <c:pt idx="1">
                  <c:v>3.129</c:v>
                </c:pt>
                <c:pt idx="2">
                  <c:v>1.4450000000000001</c:v>
                </c:pt>
                <c:pt idx="3">
                  <c:v>0.46600000000000003</c:v>
                </c:pt>
                <c:pt idx="4">
                  <c:v>0.19800000000000001</c:v>
                </c:pt>
                <c:pt idx="5">
                  <c:v>0.13900000000000001</c:v>
                </c:pt>
                <c:pt idx="6">
                  <c:v>0.112</c:v>
                </c:pt>
                <c:pt idx="7">
                  <c:v>9.6000000000000002E-2</c:v>
                </c:pt>
                <c:pt idx="8">
                  <c:v>8.1000000000000003E-2</c:v>
                </c:pt>
                <c:pt idx="9">
                  <c:v>7.2999999999999995E-2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1-784D-ACC3-313333ED2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336767"/>
        <c:axId val="971395455"/>
      </c:scatterChart>
      <c:valAx>
        <c:axId val="61033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Collector current I_C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95455"/>
        <c:crosses val="autoZero"/>
        <c:crossBetween val="midCat"/>
      </c:valAx>
      <c:valAx>
        <c:axId val="97139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V_CE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3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</a:t>
            </a:r>
            <a:r>
              <a:rPr lang="en-US" baseline="0"/>
              <a:t> 2: </a:t>
            </a:r>
            <a:r>
              <a:rPr lang="en-US"/>
              <a:t>Beta vs Collector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 vs I_C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'4L.6.1 transistor switch sat'!$E$6:$E$15</c:f>
              <c:numCache>
                <c:formatCode>General</c:formatCode>
                <c:ptCount val="10"/>
                <c:pt idx="0">
                  <c:v>84.199999999999974</c:v>
                </c:pt>
                <c:pt idx="1">
                  <c:v>187.1</c:v>
                </c:pt>
                <c:pt idx="2">
                  <c:v>355.5</c:v>
                </c:pt>
                <c:pt idx="3">
                  <c:v>453.4</c:v>
                </c:pt>
                <c:pt idx="4">
                  <c:v>480.19999999999993</c:v>
                </c:pt>
                <c:pt idx="5">
                  <c:v>486.09999999999997</c:v>
                </c:pt>
                <c:pt idx="6">
                  <c:v>488.8</c:v>
                </c:pt>
                <c:pt idx="7">
                  <c:v>490.4</c:v>
                </c:pt>
                <c:pt idx="8">
                  <c:v>491.89999999999992</c:v>
                </c:pt>
                <c:pt idx="9">
                  <c:v>492.7</c:v>
                </c:pt>
              </c:numCache>
            </c:numRef>
          </c:xVal>
          <c:yVal>
            <c:numRef>
              <c:f>'4L.6.1 transistor switch sat'!$F$6:$F$15</c:f>
              <c:numCache>
                <c:formatCode>General</c:formatCode>
                <c:ptCount val="10"/>
                <c:pt idx="0">
                  <c:v>190.84315503173158</c:v>
                </c:pt>
                <c:pt idx="1">
                  <c:v>200.7235790915316</c:v>
                </c:pt>
                <c:pt idx="2">
                  <c:v>179.87580496780129</c:v>
                </c:pt>
                <c:pt idx="3">
                  <c:v>157.28492136910268</c:v>
                </c:pt>
                <c:pt idx="4">
                  <c:v>111.51881096144912</c:v>
                </c:pt>
                <c:pt idx="5">
                  <c:v>76.961117578579746</c:v>
                </c:pt>
                <c:pt idx="6">
                  <c:v>53.614002333722276</c:v>
                </c:pt>
                <c:pt idx="7">
                  <c:v>37.846585594013099</c:v>
                </c:pt>
                <c:pt idx="8">
                  <c:v>25.481045443842714</c:v>
                </c:pt>
                <c:pt idx="9">
                  <c:v>17.368977673325499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4-3840-B45F-BB90FD0C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112063"/>
        <c:axId val="545118783"/>
      </c:scatterChart>
      <c:valAx>
        <c:axId val="54511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Collector current I_C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8783"/>
        <c:crosses val="autoZero"/>
        <c:crossBetween val="midCat"/>
      </c:valAx>
      <c:valAx>
        <c:axId val="54511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Beta </a:t>
                </a:r>
                <a:r>
                  <a:rPr lang="en-US" sz="1000" b="0" i="0" u="none" strike="noStrike" baseline="0"/>
                  <a:t>= I_C / I_B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chart" Target="../charts/chart3.xml"/><Relationship Id="rId7" Type="http://schemas.openxmlformats.org/officeDocument/2006/relationships/image" Target="../media/image9.jpeg"/><Relationship Id="rId2" Type="http://schemas.openxmlformats.org/officeDocument/2006/relationships/chart" Target="../charts/chart2.xml"/><Relationship Id="rId1" Type="http://schemas.openxmlformats.org/officeDocument/2006/relationships/image" Target="../media/image5.png"/><Relationship Id="rId6" Type="http://schemas.openxmlformats.org/officeDocument/2006/relationships/image" Target="../media/image8.jpe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18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79740</xdr:colOff>
      <xdr:row>13</xdr:row>
      <xdr:rowOff>117764</xdr:rowOff>
    </xdr:from>
    <xdr:to>
      <xdr:col>7</xdr:col>
      <xdr:colOff>270165</xdr:colOff>
      <xdr:row>24</xdr:row>
      <xdr:rowOff>82745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257A5-24E1-3FDF-CE75-A9078B3BF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06831" y="3119582"/>
          <a:ext cx="5242716" cy="2504981"/>
        </a:xfrm>
        <a:prstGeom prst="rect">
          <a:avLst/>
        </a:prstGeom>
      </xdr:spPr>
    </xdr:pic>
    <xdr:clientData/>
  </xdr:twoCellAnchor>
  <xdr:twoCellAnchor editAs="oneCell">
    <xdr:from>
      <xdr:col>4</xdr:col>
      <xdr:colOff>587203</xdr:colOff>
      <xdr:row>25</xdr:row>
      <xdr:rowOff>178539</xdr:rowOff>
    </xdr:from>
    <xdr:to>
      <xdr:col>7</xdr:col>
      <xdr:colOff>778386</xdr:colOff>
      <xdr:row>43</xdr:row>
      <xdr:rowOff>96567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0E1C0A-8CB6-D11E-C9DF-F165111F1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06773" y="5982302"/>
          <a:ext cx="5202903" cy="4096738"/>
        </a:xfrm>
        <a:prstGeom prst="rect">
          <a:avLst/>
        </a:prstGeom>
      </xdr:spPr>
    </xdr:pic>
    <xdr:clientData/>
  </xdr:twoCellAnchor>
  <xdr:twoCellAnchor editAs="oneCell">
    <xdr:from>
      <xdr:col>9</xdr:col>
      <xdr:colOff>516130</xdr:colOff>
      <xdr:row>15</xdr:row>
      <xdr:rowOff>157365</xdr:rowOff>
    </xdr:from>
    <xdr:to>
      <xdr:col>11</xdr:col>
      <xdr:colOff>710310</xdr:colOff>
      <xdr:row>24</xdr:row>
      <xdr:rowOff>55824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D66474-549E-0F72-F162-6AFED0F6B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27998" y="3506816"/>
          <a:ext cx="2036378" cy="1908129"/>
        </a:xfrm>
        <a:prstGeom prst="rect">
          <a:avLst/>
        </a:prstGeom>
      </xdr:spPr>
    </xdr:pic>
    <xdr:clientData/>
  </xdr:twoCellAnchor>
  <xdr:twoCellAnchor editAs="oneCell">
    <xdr:from>
      <xdr:col>12</xdr:col>
      <xdr:colOff>378190</xdr:colOff>
      <xdr:row>15</xdr:row>
      <xdr:rowOff>132632</xdr:rowOff>
    </xdr:from>
    <xdr:to>
      <xdr:col>14</xdr:col>
      <xdr:colOff>711477</xdr:colOff>
      <xdr:row>25</xdr:row>
      <xdr:rowOff>165100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82BBA6-0D1C-6357-EB5C-79F676F5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56490" y="3561632"/>
          <a:ext cx="2390687" cy="2318468"/>
        </a:xfrm>
        <a:prstGeom prst="rect">
          <a:avLst/>
        </a:prstGeom>
      </xdr:spPr>
    </xdr:pic>
    <xdr:clientData/>
  </xdr:twoCellAnchor>
  <xdr:twoCellAnchor>
    <xdr:from>
      <xdr:col>16</xdr:col>
      <xdr:colOff>110836</xdr:colOff>
      <xdr:row>27</xdr:row>
      <xdr:rowOff>42718</xdr:rowOff>
    </xdr:from>
    <xdr:to>
      <xdr:col>21</xdr:col>
      <xdr:colOff>876300</xdr:colOff>
      <xdr:row>44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10E45F-D723-65CF-3362-4E24EDE0D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787400</xdr:colOff>
      <xdr:row>0</xdr:row>
      <xdr:rowOff>152400</xdr:rowOff>
    </xdr:from>
    <xdr:to>
      <xdr:col>8</xdr:col>
      <xdr:colOff>495300</xdr:colOff>
      <xdr:row>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E817C5-A367-1F14-72FB-4B94A80C3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13700" y="152400"/>
          <a:ext cx="6032500" cy="2425700"/>
        </a:xfrm>
        <a:prstGeom prst="rect">
          <a:avLst/>
        </a:prstGeom>
      </xdr:spPr>
    </xdr:pic>
    <xdr:clientData/>
  </xdr:twoCellAnchor>
  <xdr:twoCellAnchor>
    <xdr:from>
      <xdr:col>5</xdr:col>
      <xdr:colOff>260350</xdr:colOff>
      <xdr:row>28</xdr:row>
      <xdr:rowOff>76200</xdr:rowOff>
    </xdr:from>
    <xdr:to>
      <xdr:col>8</xdr:col>
      <xdr:colOff>222250</xdr:colOff>
      <xdr:row>40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56FCE9-5857-F1EE-18F2-D42D7D7A7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234950</xdr:colOff>
      <xdr:row>41</xdr:row>
      <xdr:rowOff>50800</xdr:rowOff>
    </xdr:from>
    <xdr:to>
      <xdr:col>8</xdr:col>
      <xdr:colOff>196850</xdr:colOff>
      <xdr:row>53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E68657-A687-6DF4-224B-687B02B17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320070</xdr:colOff>
      <xdr:row>11</xdr:row>
      <xdr:rowOff>203200</xdr:rowOff>
    </xdr:from>
    <xdr:to>
      <xdr:col>7</xdr:col>
      <xdr:colOff>73059</xdr:colOff>
      <xdr:row>27</xdr:row>
      <xdr:rowOff>58615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CEFF84-BDFC-6AD0-10FD-1CEFD422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817525" y="2743200"/>
          <a:ext cx="4555898" cy="3549960"/>
        </a:xfrm>
        <a:prstGeom prst="rect">
          <a:avLst/>
        </a:prstGeom>
      </xdr:spPr>
    </xdr:pic>
    <xdr:clientData/>
  </xdr:twoCellAnchor>
  <xdr:twoCellAnchor editAs="oneCell">
    <xdr:from>
      <xdr:col>6</xdr:col>
      <xdr:colOff>853745</xdr:colOff>
      <xdr:row>11</xdr:row>
      <xdr:rowOff>203201</xdr:rowOff>
    </xdr:from>
    <xdr:to>
      <xdr:col>10</xdr:col>
      <xdr:colOff>293964</xdr:colOff>
      <xdr:row>29</xdr:row>
      <xdr:rowOff>166309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DC8967-013A-AE38-30D6-4A79817C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39028" y="2707258"/>
          <a:ext cx="4532200" cy="4060655"/>
        </a:xfrm>
        <a:prstGeom prst="rect">
          <a:avLst/>
        </a:prstGeom>
      </xdr:spPr>
    </xdr:pic>
    <xdr:clientData/>
  </xdr:twoCellAnchor>
  <xdr:twoCellAnchor editAs="oneCell">
    <xdr:from>
      <xdr:col>12</xdr:col>
      <xdr:colOff>394137</xdr:colOff>
      <xdr:row>48</xdr:row>
      <xdr:rowOff>135029</xdr:rowOff>
    </xdr:from>
    <xdr:to>
      <xdr:col>20</xdr:col>
      <xdr:colOff>2510804</xdr:colOff>
      <xdr:row>68</xdr:row>
      <xdr:rowOff>2893997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EEB840-96DF-3C52-AB85-9DAFA4AB7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845286" y="11346063"/>
          <a:ext cx="9926438" cy="7444831"/>
        </a:xfrm>
        <a:prstGeom prst="rect">
          <a:avLst/>
        </a:prstGeom>
      </xdr:spPr>
    </xdr:pic>
    <xdr:clientData/>
  </xdr:twoCellAnchor>
  <xdr:twoCellAnchor editAs="oneCell">
    <xdr:from>
      <xdr:col>12</xdr:col>
      <xdr:colOff>408734</xdr:colOff>
      <xdr:row>16</xdr:row>
      <xdr:rowOff>32845</xdr:rowOff>
    </xdr:from>
    <xdr:to>
      <xdr:col>20</xdr:col>
      <xdr:colOff>2481608</xdr:colOff>
      <xdr:row>47</xdr:row>
      <xdr:rowOff>204369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2DCF9A-0A4A-3281-9255-761FE3E6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859883" y="3769856"/>
          <a:ext cx="9882645" cy="741198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25</xdr:col>
      <xdr:colOff>711200</xdr:colOff>
      <xdr:row>44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96C901-0344-EAD8-3DDE-D0596A099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687000" y="4343400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21</xdr:col>
      <xdr:colOff>86636</xdr:colOff>
      <xdr:row>50</xdr:row>
      <xdr:rowOff>112913</xdr:rowOff>
    </xdr:from>
    <xdr:to>
      <xdr:col>23</xdr:col>
      <xdr:colOff>531136</xdr:colOff>
      <xdr:row>68</xdr:row>
      <xdr:rowOff>3745113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E32ECFB-D565-ED65-E836-8098E063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4802086" y="12514463"/>
          <a:ext cx="7772400" cy="582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649609</xdr:colOff>
      <xdr:row>31</xdr:row>
      <xdr:rowOff>969371</xdr:rowOff>
    </xdr:from>
    <xdr:to>
      <xdr:col>15</xdr:col>
      <xdr:colOff>706628</xdr:colOff>
      <xdr:row>33</xdr:row>
      <xdr:rowOff>20484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C99BB1-5BA8-8766-5BF9-9444CC5E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62512" y="10678726"/>
          <a:ext cx="9069922" cy="3639500"/>
        </a:xfrm>
        <a:prstGeom prst="rect">
          <a:avLst/>
        </a:prstGeom>
      </xdr:spPr>
    </xdr:pic>
    <xdr:clientData/>
  </xdr:twoCellAnchor>
  <xdr:twoCellAnchor editAs="oneCell">
    <xdr:from>
      <xdr:col>12</xdr:col>
      <xdr:colOff>622300</xdr:colOff>
      <xdr:row>1</xdr:row>
      <xdr:rowOff>114300</xdr:rowOff>
    </xdr:from>
    <xdr:to>
      <xdr:col>24</xdr:col>
      <xdr:colOff>659778</xdr:colOff>
      <xdr:row>31</xdr:row>
      <xdr:rowOff>499672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B7D8A-9A51-2588-2275-B28D675DA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99513" y="343316"/>
          <a:ext cx="10030921" cy="9983241"/>
        </a:xfrm>
        <a:prstGeom prst="rect">
          <a:avLst/>
        </a:prstGeom>
      </xdr:spPr>
    </xdr:pic>
    <xdr:clientData/>
  </xdr:twoCellAnchor>
  <xdr:twoCellAnchor editAs="oneCell">
    <xdr:from>
      <xdr:col>7</xdr:col>
      <xdr:colOff>482600</xdr:colOff>
      <xdr:row>9</xdr:row>
      <xdr:rowOff>25400</xdr:rowOff>
    </xdr:from>
    <xdr:to>
      <xdr:col>12</xdr:col>
      <xdr:colOff>393700</xdr:colOff>
      <xdr:row>26</xdr:row>
      <xdr:rowOff>52155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13DA30-4394-3E73-E11A-9386C1D1D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61100" y="1854200"/>
          <a:ext cx="4038600" cy="3912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5581</xdr:colOff>
      <xdr:row>0</xdr:row>
      <xdr:rowOff>123536</xdr:rowOff>
    </xdr:from>
    <xdr:to>
      <xdr:col>7</xdr:col>
      <xdr:colOff>2836751</xdr:colOff>
      <xdr:row>13</xdr:row>
      <xdr:rowOff>64269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8E50F-7A2C-385A-908E-D304F9E7E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355581" y="123536"/>
          <a:ext cx="2831170" cy="2942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593116</xdr:colOff>
      <xdr:row>0</xdr:row>
      <xdr:rowOff>161829</xdr:rowOff>
    </xdr:from>
    <xdr:to>
      <xdr:col>8</xdr:col>
      <xdr:colOff>5003993</xdr:colOff>
      <xdr:row>23</xdr:row>
      <xdr:rowOff>94721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B9DBB2-0EBE-4653-573F-732048A7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43911" y="161829"/>
          <a:ext cx="4410877" cy="5243801"/>
        </a:xfrm>
        <a:prstGeom prst="rect">
          <a:avLst/>
        </a:prstGeom>
      </xdr:spPr>
    </xdr:pic>
    <xdr:clientData/>
  </xdr:twoCellAnchor>
  <xdr:twoCellAnchor editAs="oneCell">
    <xdr:from>
      <xdr:col>6</xdr:col>
      <xdr:colOff>585741</xdr:colOff>
      <xdr:row>16</xdr:row>
      <xdr:rowOff>137390</xdr:rowOff>
    </xdr:from>
    <xdr:to>
      <xdr:col>8</xdr:col>
      <xdr:colOff>8853</xdr:colOff>
      <xdr:row>26</xdr:row>
      <xdr:rowOff>192423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F75790-8404-99DE-69B6-E0D66BE04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13127" y="3831935"/>
          <a:ext cx="3146521" cy="2364124"/>
        </a:xfrm>
        <a:prstGeom prst="rect">
          <a:avLst/>
        </a:prstGeom>
      </xdr:spPr>
    </xdr:pic>
    <xdr:clientData/>
  </xdr:twoCellAnchor>
  <xdr:twoCellAnchor>
    <xdr:from>
      <xdr:col>0</xdr:col>
      <xdr:colOff>220133</xdr:colOff>
      <xdr:row>16</xdr:row>
      <xdr:rowOff>25399</xdr:rowOff>
    </xdr:from>
    <xdr:to>
      <xdr:col>5</xdr:col>
      <xdr:colOff>67733</xdr:colOff>
      <xdr:row>27</xdr:row>
      <xdr:rowOff>160866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2A86C1-75B8-E932-A894-65BAF469B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252655</xdr:colOff>
      <xdr:row>29</xdr:row>
      <xdr:rowOff>10968</xdr:rowOff>
    </xdr:from>
    <xdr:to>
      <xdr:col>5</xdr:col>
      <xdr:colOff>57728</xdr:colOff>
      <xdr:row>35</xdr:row>
      <xdr:rowOff>346365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C47903-F7AE-D583-EF9E-3837E6FB2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315146</xdr:colOff>
      <xdr:row>35</xdr:row>
      <xdr:rowOff>455417</xdr:rowOff>
    </xdr:from>
    <xdr:to>
      <xdr:col>6</xdr:col>
      <xdr:colOff>607817</xdr:colOff>
      <xdr:row>62</xdr:row>
      <xdr:rowOff>22760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B83FB1-3C85-69B8-9910-10C7F619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-656404" y="10217079"/>
          <a:ext cx="7772400" cy="5829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88900</xdr:colOff>
      <xdr:row>1</xdr:row>
      <xdr:rowOff>139700</xdr:rowOff>
    </xdr:from>
    <xdr:to>
      <xdr:col>10</xdr:col>
      <xdr:colOff>533604</xdr:colOff>
      <xdr:row>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AED5D-CC15-ACFF-843B-0CEDAA67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03900" y="342900"/>
          <a:ext cx="4572204" cy="97790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7</xdr:row>
      <xdr:rowOff>76200</xdr:rowOff>
    </xdr:from>
    <xdr:to>
      <xdr:col>11</xdr:col>
      <xdr:colOff>905642</xdr:colOff>
      <xdr:row>18</xdr:row>
      <xdr:rowOff>355600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5B7428-9D6A-51F7-18F3-78045596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48400" y="1498600"/>
          <a:ext cx="5325242" cy="2527300"/>
        </a:xfrm>
        <a:prstGeom prst="rect">
          <a:avLst/>
        </a:prstGeom>
      </xdr:spPr>
    </xdr:pic>
    <xdr:clientData/>
  </xdr:twoCellAnchor>
  <xdr:twoCellAnchor editAs="oneCell">
    <xdr:from>
      <xdr:col>6</xdr:col>
      <xdr:colOff>758650</xdr:colOff>
      <xdr:row>18</xdr:row>
      <xdr:rowOff>554892</xdr:rowOff>
    </xdr:from>
    <xdr:to>
      <xdr:col>8</xdr:col>
      <xdr:colOff>699383</xdr:colOff>
      <xdr:row>23</xdr:row>
      <xdr:rowOff>409656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535F26-53D3-3DAC-27D8-F610B88FE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28783" y="4229425"/>
          <a:ext cx="1600200" cy="2885831"/>
        </a:xfrm>
        <a:prstGeom prst="rect">
          <a:avLst/>
        </a:prstGeom>
      </xdr:spPr>
    </xdr:pic>
    <xdr:clientData/>
  </xdr:twoCellAnchor>
  <xdr:twoCellAnchor editAs="oneCell">
    <xdr:from>
      <xdr:col>0</xdr:col>
      <xdr:colOff>160576</xdr:colOff>
      <xdr:row>17</xdr:row>
      <xdr:rowOff>204368</xdr:rowOff>
    </xdr:from>
    <xdr:to>
      <xdr:col>4</xdr:col>
      <xdr:colOff>413604</xdr:colOff>
      <xdr:row>24</xdr:row>
      <xdr:rowOff>189772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E09A30-CC35-023C-56DB-C170D747A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576" y="3678621"/>
          <a:ext cx="5157856" cy="3868392"/>
        </a:xfrm>
        <a:prstGeom prst="rect">
          <a:avLst/>
        </a:prstGeom>
      </xdr:spPr>
    </xdr:pic>
    <xdr:clientData/>
  </xdr:twoCellAnchor>
  <xdr:twoCellAnchor editAs="oneCell">
    <xdr:from>
      <xdr:col>0</xdr:col>
      <xdr:colOff>6423</xdr:colOff>
      <xdr:row>24</xdr:row>
      <xdr:rowOff>248161</xdr:rowOff>
    </xdr:from>
    <xdr:to>
      <xdr:col>4</xdr:col>
      <xdr:colOff>449608</xdr:colOff>
      <xdr:row>39</xdr:row>
      <xdr:rowOff>84228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E88281-BA4D-4D77-8FD7-E3E586AAA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423" y="7605402"/>
          <a:ext cx="5348013" cy="4011010"/>
        </a:xfrm>
        <a:prstGeom prst="rect">
          <a:avLst/>
        </a:prstGeom>
      </xdr:spPr>
    </xdr:pic>
    <xdr:clientData/>
  </xdr:twoCellAnchor>
  <xdr:twoCellAnchor editAs="oneCell">
    <xdr:from>
      <xdr:col>6</xdr:col>
      <xdr:colOff>613030</xdr:colOff>
      <xdr:row>27</xdr:row>
      <xdr:rowOff>137875</xdr:rowOff>
    </xdr:from>
    <xdr:to>
      <xdr:col>11</xdr:col>
      <xdr:colOff>2281986</xdr:colOff>
      <xdr:row>65</xdr:row>
      <xdr:rowOff>144298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A5CD03-7E98-C5FF-2E07-6DBF8BDD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210446" y="10189195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F04F-E401-7843-9CD6-879AB017A77D}">
  <dimension ref="A1:Z42"/>
  <sheetViews>
    <sheetView zoomScale="63" zoomScaleNormal="141" workbookViewId="0">
      <selection activeCell="B9" sqref="B9"/>
    </sheetView>
  </sheetViews>
  <sheetFormatPr baseColWidth="10" defaultRowHeight="18" x14ac:dyDescent="0.2"/>
  <cols>
    <col min="1" max="1" width="25.6640625" style="3" customWidth="1"/>
    <col min="2" max="2" width="10.83203125" style="3"/>
    <col min="3" max="3" width="49" style="3" customWidth="1"/>
    <col min="4" max="4" width="10.83203125" style="3"/>
    <col min="5" max="5" width="44.33203125" style="3" customWidth="1"/>
    <col min="6" max="10" width="10.83203125" style="3"/>
    <col min="11" max="12" width="13.33203125" style="3" customWidth="1"/>
    <col min="13" max="13" width="10.83203125" style="3"/>
    <col min="14" max="14" width="16.1640625" style="3" customWidth="1"/>
    <col min="15" max="15" width="14.6640625" style="3" customWidth="1"/>
    <col min="16" max="20" width="10.83203125" style="3"/>
    <col min="21" max="21" width="33.1640625" style="3" customWidth="1"/>
    <col min="22" max="22" width="18.5" style="3" customWidth="1"/>
    <col min="23" max="23" width="64.83203125" style="3" customWidth="1"/>
    <col min="24" max="24" width="116.6640625" style="3" customWidth="1"/>
    <col min="25" max="25" width="18.83203125" style="3" customWidth="1"/>
    <col min="26" max="26" width="54.5" style="3" customWidth="1"/>
    <col min="27" max="16384" width="10.83203125" style="3"/>
  </cols>
  <sheetData>
    <row r="1" spans="1:26" x14ac:dyDescent="0.2">
      <c r="A1" s="13" t="s">
        <v>0</v>
      </c>
      <c r="B1" s="14"/>
      <c r="E1" s="3" t="s">
        <v>49</v>
      </c>
      <c r="F1" s="3" t="s">
        <v>50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81</v>
      </c>
      <c r="Y1" s="3" t="s">
        <v>82</v>
      </c>
      <c r="Z1" s="3" t="s">
        <v>83</v>
      </c>
    </row>
    <row r="2" spans="1:26" x14ac:dyDescent="0.2">
      <c r="A2" s="2" t="s">
        <v>1</v>
      </c>
      <c r="B2" s="2">
        <v>15</v>
      </c>
      <c r="E2" s="3" t="s">
        <v>51</v>
      </c>
      <c r="F2" s="3" t="s">
        <v>52</v>
      </c>
      <c r="T2" s="3">
        <v>1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85</v>
      </c>
      <c r="Z2" s="3" t="s">
        <v>85</v>
      </c>
    </row>
    <row r="3" spans="1:26" x14ac:dyDescent="0.2">
      <c r="A3" s="2" t="s">
        <v>2</v>
      </c>
      <c r="B3" s="2">
        <v>54350</v>
      </c>
      <c r="E3" s="3" t="s">
        <v>53</v>
      </c>
      <c r="F3" s="3" t="s">
        <v>54</v>
      </c>
      <c r="T3" s="3">
        <v>2</v>
      </c>
      <c r="U3" s="3" t="s">
        <v>88</v>
      </c>
      <c r="V3" s="3" t="s">
        <v>89</v>
      </c>
      <c r="W3" s="3" t="s">
        <v>90</v>
      </c>
      <c r="X3" s="3" t="s">
        <v>91</v>
      </c>
      <c r="Y3" s="3" t="s">
        <v>92</v>
      </c>
      <c r="Z3" s="3" t="s">
        <v>93</v>
      </c>
    </row>
    <row r="4" spans="1:26" x14ac:dyDescent="0.2">
      <c r="A4" s="2" t="s">
        <v>3</v>
      </c>
      <c r="B4" s="2">
        <v>5419</v>
      </c>
      <c r="E4" s="3" t="s">
        <v>55</v>
      </c>
      <c r="F4" s="3" t="s">
        <v>56</v>
      </c>
      <c r="T4" s="3">
        <v>3</v>
      </c>
      <c r="U4" s="3" t="s">
        <v>94</v>
      </c>
      <c r="V4" s="3" t="s">
        <v>89</v>
      </c>
      <c r="W4" s="3" t="s">
        <v>95</v>
      </c>
      <c r="X4" s="3" t="s">
        <v>91</v>
      </c>
      <c r="Y4" s="3" t="s">
        <v>96</v>
      </c>
      <c r="Z4" s="3" t="s">
        <v>97</v>
      </c>
    </row>
    <row r="5" spans="1:26" x14ac:dyDescent="0.2">
      <c r="A5" s="2" t="s">
        <v>4</v>
      </c>
      <c r="B5" s="2">
        <v>7420</v>
      </c>
      <c r="E5" s="3" t="s">
        <v>57</v>
      </c>
      <c r="F5" s="3" t="s">
        <v>58</v>
      </c>
      <c r="T5" s="3">
        <v>4</v>
      </c>
      <c r="U5" s="3" t="s">
        <v>98</v>
      </c>
      <c r="V5" s="3" t="s">
        <v>89</v>
      </c>
      <c r="W5" s="3" t="s">
        <v>99</v>
      </c>
      <c r="X5" s="3" t="s">
        <v>91</v>
      </c>
      <c r="Y5" s="3" t="s">
        <v>100</v>
      </c>
      <c r="Z5" s="3" t="s">
        <v>101</v>
      </c>
    </row>
    <row r="6" spans="1:26" x14ac:dyDescent="0.2">
      <c r="A6" s="2" t="s">
        <v>5</v>
      </c>
      <c r="B6" s="2">
        <v>807</v>
      </c>
      <c r="E6" s="3" t="s">
        <v>59</v>
      </c>
      <c r="F6" s="3" t="s">
        <v>60</v>
      </c>
      <c r="T6" s="3">
        <v>5</v>
      </c>
      <c r="U6" s="3" t="s">
        <v>102</v>
      </c>
      <c r="V6" s="3" t="s">
        <v>85</v>
      </c>
      <c r="W6" s="3" t="s">
        <v>85</v>
      </c>
      <c r="X6" s="3" t="s">
        <v>103</v>
      </c>
      <c r="Y6" s="3" t="s">
        <v>85</v>
      </c>
      <c r="Z6" s="3" t="s">
        <v>104</v>
      </c>
    </row>
    <row r="7" spans="1:26" x14ac:dyDescent="0.2">
      <c r="A7" s="2" t="s">
        <v>6</v>
      </c>
      <c r="B7" s="2">
        <v>138.6</v>
      </c>
      <c r="C7" s="3" t="s">
        <v>7</v>
      </c>
      <c r="E7" s="3" t="s">
        <v>61</v>
      </c>
      <c r="F7" s="3" t="s">
        <v>62</v>
      </c>
      <c r="T7" s="3">
        <v>6</v>
      </c>
      <c r="U7" s="3" t="s">
        <v>105</v>
      </c>
      <c r="V7" s="3" t="s">
        <v>106</v>
      </c>
      <c r="W7" s="3" t="s">
        <v>107</v>
      </c>
      <c r="X7" s="3" t="s">
        <v>108</v>
      </c>
      <c r="Y7" s="3" t="s">
        <v>85</v>
      </c>
      <c r="Z7" s="3" t="s">
        <v>109</v>
      </c>
    </row>
    <row r="8" spans="1:26" x14ac:dyDescent="0.2">
      <c r="A8" s="2" t="s">
        <v>8</v>
      </c>
      <c r="B8" s="2">
        <v>0.65</v>
      </c>
      <c r="E8" s="3" t="s">
        <v>63</v>
      </c>
      <c r="F8" s="3" t="s">
        <v>64</v>
      </c>
      <c r="T8" s="3">
        <v>7</v>
      </c>
      <c r="U8" s="3" t="s">
        <v>110</v>
      </c>
      <c r="V8" s="3" t="s">
        <v>111</v>
      </c>
      <c r="W8" s="3" t="s">
        <v>112</v>
      </c>
      <c r="X8" s="3" t="s">
        <v>113</v>
      </c>
      <c r="Y8" s="3" t="s">
        <v>85</v>
      </c>
      <c r="Z8" s="3" t="s">
        <v>114</v>
      </c>
    </row>
    <row r="9" spans="1:26" x14ac:dyDescent="0.2">
      <c r="A9" s="2" t="s">
        <v>9</v>
      </c>
      <c r="B9" s="4">
        <f>0.000000324</f>
        <v>3.2399999999999999E-7</v>
      </c>
      <c r="C9" s="3" t="s">
        <v>10</v>
      </c>
      <c r="E9" s="3" t="s">
        <v>65</v>
      </c>
      <c r="F9" s="3" t="s">
        <v>66</v>
      </c>
      <c r="T9" s="3">
        <v>8</v>
      </c>
      <c r="U9" s="3" t="s">
        <v>115</v>
      </c>
      <c r="V9" s="3" t="s">
        <v>116</v>
      </c>
      <c r="W9" s="3" t="s">
        <v>117</v>
      </c>
      <c r="X9" s="3" t="s">
        <v>118</v>
      </c>
      <c r="Y9" s="3" t="s">
        <v>119</v>
      </c>
      <c r="Z9" s="3" t="s">
        <v>120</v>
      </c>
    </row>
    <row r="10" spans="1:26" x14ac:dyDescent="0.2">
      <c r="A10" s="2" t="s">
        <v>11</v>
      </c>
      <c r="B10" s="2">
        <f>B2*B4/(B3+B4)</f>
        <v>1.359985945891683</v>
      </c>
      <c r="C10" s="3" t="s">
        <v>12</v>
      </c>
      <c r="E10" s="3" t="s">
        <v>67</v>
      </c>
      <c r="F10" s="3" t="s">
        <v>68</v>
      </c>
      <c r="T10" s="3">
        <v>9</v>
      </c>
      <c r="U10" s="3" t="s">
        <v>121</v>
      </c>
      <c r="V10" s="3" t="s">
        <v>122</v>
      </c>
      <c r="W10" s="3" t="s">
        <v>123</v>
      </c>
      <c r="X10" s="3" t="s">
        <v>118</v>
      </c>
      <c r="Y10" s="3" t="s">
        <v>124</v>
      </c>
      <c r="Z10" s="3" t="s">
        <v>125</v>
      </c>
    </row>
    <row r="11" spans="1:26" x14ac:dyDescent="0.2">
      <c r="A11" s="2" t="s">
        <v>13</v>
      </c>
      <c r="B11" s="2">
        <f>B3*B4/(B3+B4)</f>
        <v>4927.6824106141976</v>
      </c>
      <c r="C11" s="3" t="s">
        <v>14</v>
      </c>
      <c r="E11" s="3" t="s">
        <v>69</v>
      </c>
      <c r="F11" s="3" t="s">
        <v>70</v>
      </c>
      <c r="T11" s="3">
        <v>10</v>
      </c>
      <c r="U11" s="3" t="s">
        <v>126</v>
      </c>
      <c r="V11" s="3" t="s">
        <v>85</v>
      </c>
      <c r="W11" s="3" t="s">
        <v>85</v>
      </c>
      <c r="X11" s="3" t="s">
        <v>127</v>
      </c>
      <c r="Y11" s="3" t="s">
        <v>128</v>
      </c>
      <c r="Z11" s="3" t="s">
        <v>129</v>
      </c>
    </row>
    <row r="12" spans="1:26" x14ac:dyDescent="0.2">
      <c r="A12" s="2" t="s">
        <v>15</v>
      </c>
      <c r="B12" s="2">
        <f>(B10-B8)/(B6+B11/(B7+1))*1000</f>
        <v>0.84291480345548297</v>
      </c>
      <c r="E12" s="3" t="s">
        <v>71</v>
      </c>
      <c r="F12" s="3" t="s">
        <v>72</v>
      </c>
      <c r="T12" s="3">
        <v>11</v>
      </c>
      <c r="U12" s="3" t="s">
        <v>130</v>
      </c>
      <c r="V12" s="3" t="s">
        <v>111</v>
      </c>
      <c r="W12" s="3" t="s">
        <v>131</v>
      </c>
      <c r="X12" s="3" t="s">
        <v>132</v>
      </c>
      <c r="Y12" s="3" t="s">
        <v>133</v>
      </c>
      <c r="Z12" s="3" t="s">
        <v>134</v>
      </c>
    </row>
    <row r="13" spans="1:26" x14ac:dyDescent="0.2">
      <c r="A13" s="2" t="s">
        <v>16</v>
      </c>
      <c r="B13" s="2">
        <f>0.025/(B12/1000)</f>
        <v>29.658987951705051</v>
      </c>
      <c r="C13" s="3" t="s">
        <v>17</v>
      </c>
      <c r="E13" s="3" t="s">
        <v>73</v>
      </c>
      <c r="F13" s="3" t="s">
        <v>74</v>
      </c>
      <c r="T13" s="3">
        <v>12</v>
      </c>
      <c r="U13" s="3" t="s">
        <v>135</v>
      </c>
      <c r="V13" s="3" t="s">
        <v>136</v>
      </c>
      <c r="W13" s="3" t="s">
        <v>137</v>
      </c>
      <c r="X13" s="3" t="s">
        <v>138</v>
      </c>
      <c r="Y13" s="3" t="s">
        <v>139</v>
      </c>
      <c r="Z13" s="3" t="s">
        <v>140</v>
      </c>
    </row>
    <row r="14" spans="1:26" x14ac:dyDescent="0.2">
      <c r="A14" s="2" t="s">
        <v>18</v>
      </c>
      <c r="B14" s="2">
        <f>B10-(B12/1000)/(B7+1)*B11</f>
        <v>1.3302322463885747</v>
      </c>
      <c r="T14" s="3">
        <v>13</v>
      </c>
      <c r="U14" s="3" t="s">
        <v>141</v>
      </c>
      <c r="V14" s="3" t="s">
        <v>85</v>
      </c>
      <c r="W14" s="3" t="s">
        <v>142</v>
      </c>
      <c r="X14" s="3" t="s">
        <v>143</v>
      </c>
      <c r="Y14" s="3" t="s">
        <v>144</v>
      </c>
      <c r="Z14" s="3" t="s">
        <v>145</v>
      </c>
    </row>
    <row r="15" spans="1:26" x14ac:dyDescent="0.2">
      <c r="A15" s="2" t="s">
        <v>19</v>
      </c>
      <c r="B15" s="2">
        <f>B12/1000*B6</f>
        <v>0.68023224638857471</v>
      </c>
      <c r="J15" s="15" t="s">
        <v>75</v>
      </c>
      <c r="K15" s="16"/>
      <c r="L15" s="17"/>
      <c r="M15" s="15" t="s">
        <v>76</v>
      </c>
      <c r="N15" s="16"/>
      <c r="O15" s="17"/>
      <c r="T15" s="3">
        <v>14</v>
      </c>
      <c r="U15" s="3" t="s">
        <v>146</v>
      </c>
      <c r="V15" s="3" t="s">
        <v>147</v>
      </c>
      <c r="W15" s="3" t="s">
        <v>85</v>
      </c>
      <c r="X15" s="3" t="s">
        <v>148</v>
      </c>
      <c r="Y15" s="3" t="s">
        <v>85</v>
      </c>
      <c r="Z15" s="3" t="s">
        <v>149</v>
      </c>
    </row>
    <row r="16" spans="1:26" x14ac:dyDescent="0.2">
      <c r="A16" s="2" t="s">
        <v>20</v>
      </c>
      <c r="B16" s="2">
        <f>B2-B7/(B7+1)*B12/1000*B5</f>
        <v>8.7903746500626063</v>
      </c>
      <c r="C16" s="3" t="s">
        <v>21</v>
      </c>
      <c r="T16" s="3">
        <v>15</v>
      </c>
      <c r="U16" s="3" t="s">
        <v>150</v>
      </c>
      <c r="V16" s="3" t="s">
        <v>122</v>
      </c>
      <c r="W16" s="3" t="s">
        <v>151</v>
      </c>
      <c r="X16" s="3" t="s">
        <v>118</v>
      </c>
      <c r="Y16" s="3" t="s">
        <v>152</v>
      </c>
      <c r="Z16" s="3" t="s">
        <v>153</v>
      </c>
    </row>
    <row r="17" spans="1:26" x14ac:dyDescent="0.2">
      <c r="A17" s="10" t="s">
        <v>22</v>
      </c>
      <c r="B17" s="10">
        <f>-B5/(B6+B13)</f>
        <v>-8.8686072902479935</v>
      </c>
      <c r="C17" s="3" t="s">
        <v>23</v>
      </c>
      <c r="T17" s="3">
        <v>16</v>
      </c>
      <c r="U17" s="3" t="s">
        <v>154</v>
      </c>
      <c r="V17" s="3" t="s">
        <v>85</v>
      </c>
      <c r="W17" s="3" t="s">
        <v>155</v>
      </c>
      <c r="X17" s="3" t="s">
        <v>156</v>
      </c>
      <c r="Y17" s="3" t="s">
        <v>85</v>
      </c>
      <c r="Z17" s="3" t="s">
        <v>85</v>
      </c>
    </row>
    <row r="18" spans="1:26" x14ac:dyDescent="0.2">
      <c r="A18" s="2" t="s">
        <v>24</v>
      </c>
      <c r="B18" s="2">
        <f>1/(1/B3+1/B4+1/((B7+1)*(B6+B13)))</f>
        <v>4728.1999817164697</v>
      </c>
      <c r="T18" s="3">
        <v>17</v>
      </c>
      <c r="U18" s="3" t="s">
        <v>157</v>
      </c>
      <c r="V18" s="3" t="s">
        <v>122</v>
      </c>
      <c r="W18" s="3" t="s">
        <v>158</v>
      </c>
      <c r="X18" s="3" t="s">
        <v>159</v>
      </c>
      <c r="Y18" s="3" t="s">
        <v>160</v>
      </c>
      <c r="Z18" s="3" t="s">
        <v>161</v>
      </c>
    </row>
    <row r="19" spans="1:26" x14ac:dyDescent="0.2">
      <c r="A19" s="10" t="s">
        <v>25</v>
      </c>
      <c r="B19" s="10">
        <f>1/(2*PI()*B18*B9)</f>
        <v>103.89132482967536</v>
      </c>
      <c r="T19" s="3">
        <v>18</v>
      </c>
      <c r="U19" s="3" t="s">
        <v>162</v>
      </c>
      <c r="V19" s="3" t="s">
        <v>85</v>
      </c>
      <c r="W19" s="3" t="s">
        <v>85</v>
      </c>
      <c r="X19" s="3" t="s">
        <v>163</v>
      </c>
      <c r="Y19" s="3" t="s">
        <v>164</v>
      </c>
      <c r="Z19" s="3" t="s">
        <v>165</v>
      </c>
    </row>
    <row r="20" spans="1:26" x14ac:dyDescent="0.2">
      <c r="A20" s="2" t="s">
        <v>26</v>
      </c>
      <c r="B20" s="2">
        <f>B5</f>
        <v>7420</v>
      </c>
      <c r="C20" s="3" t="s">
        <v>27</v>
      </c>
      <c r="T20" s="3">
        <v>19</v>
      </c>
      <c r="U20" s="3" t="s">
        <v>166</v>
      </c>
      <c r="V20" s="3" t="s">
        <v>85</v>
      </c>
      <c r="W20" s="3" t="s">
        <v>85</v>
      </c>
      <c r="X20" s="3" t="s">
        <v>167</v>
      </c>
      <c r="Y20" s="3" t="s">
        <v>85</v>
      </c>
      <c r="Z20" s="3" t="s">
        <v>168</v>
      </c>
    </row>
    <row r="21" spans="1:26" x14ac:dyDescent="0.2">
      <c r="T21" s="3">
        <v>20</v>
      </c>
      <c r="U21" s="3" t="s">
        <v>169</v>
      </c>
      <c r="V21" s="3" t="s">
        <v>85</v>
      </c>
      <c r="W21" s="3" t="s">
        <v>85</v>
      </c>
      <c r="X21" s="3" t="s">
        <v>170</v>
      </c>
      <c r="Y21" s="3" t="s">
        <v>85</v>
      </c>
      <c r="Z21" s="3" t="s">
        <v>85</v>
      </c>
    </row>
    <row r="22" spans="1:26" x14ac:dyDescent="0.2">
      <c r="A22" s="12" t="s">
        <v>28</v>
      </c>
      <c r="B22" s="12"/>
    </row>
    <row r="23" spans="1:26" x14ac:dyDescent="0.2">
      <c r="A23" s="2" t="s">
        <v>29</v>
      </c>
      <c r="B23" s="2">
        <v>1.347</v>
      </c>
      <c r="C23" s="3" t="s">
        <v>30</v>
      </c>
    </row>
    <row r="24" spans="1:26" x14ac:dyDescent="0.2">
      <c r="A24" s="2" t="s">
        <v>31</v>
      </c>
      <c r="B24" s="2">
        <v>0.69199999999999995</v>
      </c>
      <c r="C24" s="3" t="s">
        <v>32</v>
      </c>
    </row>
    <row r="25" spans="1:26" x14ac:dyDescent="0.2">
      <c r="A25" s="2" t="s">
        <v>33</v>
      </c>
      <c r="B25" s="2">
        <v>8.76</v>
      </c>
      <c r="C25" s="3" t="s">
        <v>34</v>
      </c>
    </row>
    <row r="26" spans="1:26" x14ac:dyDescent="0.2">
      <c r="A26" s="2" t="s">
        <v>35</v>
      </c>
      <c r="B26" s="2">
        <v>1.17</v>
      </c>
      <c r="C26" s="3" t="s">
        <v>36</v>
      </c>
    </row>
    <row r="27" spans="1:26" x14ac:dyDescent="0.2">
      <c r="A27" s="2" t="s">
        <v>37</v>
      </c>
      <c r="B27" s="2">
        <v>9</v>
      </c>
      <c r="C27" s="3" t="s">
        <v>38</v>
      </c>
    </row>
    <row r="28" spans="1:26" x14ac:dyDescent="0.2">
      <c r="A28" s="10" t="s">
        <v>39</v>
      </c>
      <c r="B28" s="10">
        <f>-B27/B26</f>
        <v>-7.6923076923076925</v>
      </c>
      <c r="C28" s="3" t="s">
        <v>40</v>
      </c>
      <c r="J28" s="12" t="s">
        <v>135</v>
      </c>
      <c r="K28" s="12"/>
      <c r="L28" s="12"/>
      <c r="M28" s="12"/>
      <c r="N28" s="12"/>
      <c r="O28" s="12"/>
      <c r="P28" s="12"/>
    </row>
    <row r="29" spans="1:26" x14ac:dyDescent="0.2">
      <c r="A29" s="10" t="s">
        <v>41</v>
      </c>
      <c r="B29" s="10">
        <f>J39+(0.707-N39)/(N38-N39)*(J38-J39)</f>
        <v>94.075000000000003</v>
      </c>
      <c r="C29" s="3" t="s">
        <v>42</v>
      </c>
      <c r="J29" s="2" t="s">
        <v>171</v>
      </c>
      <c r="K29" s="2" t="s">
        <v>35</v>
      </c>
      <c r="L29" s="2" t="s">
        <v>37</v>
      </c>
      <c r="M29" s="2" t="s">
        <v>175</v>
      </c>
      <c r="N29" s="2" t="s">
        <v>172</v>
      </c>
      <c r="O29" s="2" t="s">
        <v>173</v>
      </c>
      <c r="P29" s="2" t="s">
        <v>174</v>
      </c>
    </row>
    <row r="30" spans="1:26" x14ac:dyDescent="0.2">
      <c r="A30" s="2" t="s">
        <v>43</v>
      </c>
      <c r="B30" s="2">
        <v>9</v>
      </c>
      <c r="C30" s="3" t="s">
        <v>44</v>
      </c>
      <c r="J30" s="2">
        <v>5000</v>
      </c>
      <c r="K30" s="2">
        <v>1.05</v>
      </c>
      <c r="L30" s="2">
        <v>9.1</v>
      </c>
      <c r="M30" s="2">
        <f t="shared" ref="M30:M42" si="0">IF(L30="","",L30/K30)</f>
        <v>8.6666666666666661</v>
      </c>
      <c r="N30" s="2">
        <f>IF(M30="",NA(),M30/$M$32)</f>
        <v>1.0111111111111111</v>
      </c>
      <c r="O30" s="2">
        <f t="shared" ref="O30:O42" si="1">1/SQRT(1+($B$19/J30)^2)</f>
        <v>0.99978420172594973</v>
      </c>
      <c r="P30" s="2">
        <v>0.70699999999999996</v>
      </c>
    </row>
    <row r="31" spans="1:26" x14ac:dyDescent="0.2">
      <c r="A31" s="2" t="s">
        <v>45</v>
      </c>
      <c r="B31" s="2">
        <v>4.8</v>
      </c>
      <c r="C31" s="3" t="s">
        <v>376</v>
      </c>
      <c r="J31" s="2">
        <v>2000</v>
      </c>
      <c r="K31" s="2">
        <v>1.05</v>
      </c>
      <c r="L31" s="2">
        <v>9</v>
      </c>
      <c r="M31" s="2">
        <f t="shared" si="0"/>
        <v>8.5714285714285712</v>
      </c>
      <c r="N31" s="2">
        <f>IF(M31="",NA(),M31/$M$32)</f>
        <v>1</v>
      </c>
      <c r="O31" s="2">
        <f t="shared" si="1"/>
        <v>0.99865354836642473</v>
      </c>
      <c r="P31" s="2">
        <v>0.70699999999999996</v>
      </c>
    </row>
    <row r="32" spans="1:26" x14ac:dyDescent="0.2">
      <c r="A32" s="2" t="s">
        <v>46</v>
      </c>
      <c r="B32" s="2">
        <f>B5</f>
        <v>7420</v>
      </c>
      <c r="J32" s="2">
        <v>1000</v>
      </c>
      <c r="K32" s="2">
        <v>1.05</v>
      </c>
      <c r="L32" s="2">
        <v>9</v>
      </c>
      <c r="M32" s="2">
        <f t="shared" si="0"/>
        <v>8.5714285714285712</v>
      </c>
      <c r="N32" s="2">
        <f t="shared" ref="N32:N42" si="2">IF(M32="",NA(),M32/$M$32)</f>
        <v>1</v>
      </c>
      <c r="O32" s="2">
        <f t="shared" si="1"/>
        <v>0.99464659366438202</v>
      </c>
      <c r="P32" s="2">
        <v>0.70699999999999996</v>
      </c>
    </row>
    <row r="33" spans="1:16" x14ac:dyDescent="0.2">
      <c r="A33" s="10" t="s">
        <v>47</v>
      </c>
      <c r="B33" s="10">
        <f>IF(B31="","",B32*(B30/B31-1))</f>
        <v>6492.5</v>
      </c>
      <c r="J33" s="2">
        <v>500</v>
      </c>
      <c r="K33" s="2">
        <v>1.04</v>
      </c>
      <c r="L33" s="2">
        <v>8.8000000000000007</v>
      </c>
      <c r="M33" s="2">
        <f t="shared" si="0"/>
        <v>8.4615384615384617</v>
      </c>
      <c r="N33" s="2">
        <f t="shared" si="2"/>
        <v>0.98717948717948723</v>
      </c>
      <c r="O33" s="2">
        <f t="shared" si="1"/>
        <v>0.97908793748597833</v>
      </c>
      <c r="P33" s="2">
        <v>0.70699999999999996</v>
      </c>
    </row>
    <row r="34" spans="1:16" x14ac:dyDescent="0.2">
      <c r="A34" s="2" t="s">
        <v>48</v>
      </c>
      <c r="B34" s="2">
        <f>-(B5*B32/(B5+B32))/(B6+B13)</f>
        <v>-4.4343036451239968</v>
      </c>
      <c r="J34" s="2">
        <v>300</v>
      </c>
      <c r="K34" s="2">
        <v>1.04</v>
      </c>
      <c r="L34" s="2">
        <v>8.6</v>
      </c>
      <c r="M34" s="2">
        <f t="shared" si="0"/>
        <v>8.2692307692307683</v>
      </c>
      <c r="N34" s="2">
        <f t="shared" si="2"/>
        <v>0.96474358974358965</v>
      </c>
      <c r="O34" s="2">
        <f t="shared" si="1"/>
        <v>0.94494208406472102</v>
      </c>
      <c r="P34" s="2">
        <v>0.70699999999999996</v>
      </c>
    </row>
    <row r="35" spans="1:16" x14ac:dyDescent="0.2">
      <c r="J35" s="2">
        <v>200</v>
      </c>
      <c r="K35" s="2">
        <v>1.05</v>
      </c>
      <c r="L35" s="2">
        <v>8.1</v>
      </c>
      <c r="M35" s="2">
        <f t="shared" si="0"/>
        <v>7.7142857142857135</v>
      </c>
      <c r="N35" s="2">
        <f t="shared" si="2"/>
        <v>0.89999999999999991</v>
      </c>
      <c r="O35" s="2">
        <f t="shared" si="1"/>
        <v>0.88741409384802916</v>
      </c>
      <c r="P35" s="2">
        <v>0.70699999999999996</v>
      </c>
    </row>
    <row r="36" spans="1:16" x14ac:dyDescent="0.2">
      <c r="J36" s="2">
        <v>150</v>
      </c>
      <c r="K36" s="2">
        <v>1.05</v>
      </c>
      <c r="L36" s="2">
        <v>7.6</v>
      </c>
      <c r="M36" s="2">
        <f t="shared" si="0"/>
        <v>7.2380952380952372</v>
      </c>
      <c r="N36" s="2">
        <f t="shared" si="2"/>
        <v>0.84444444444444433</v>
      </c>
      <c r="O36" s="2">
        <f t="shared" si="1"/>
        <v>0.82207631654562285</v>
      </c>
      <c r="P36" s="2">
        <v>0.70699999999999996</v>
      </c>
    </row>
    <row r="37" spans="1:16" x14ac:dyDescent="0.2">
      <c r="J37" s="2">
        <v>120</v>
      </c>
      <c r="K37" s="2">
        <v>1.05</v>
      </c>
      <c r="L37" s="2">
        <v>7.1</v>
      </c>
      <c r="M37" s="2">
        <f t="shared" si="0"/>
        <v>6.761904761904761</v>
      </c>
      <c r="N37" s="2">
        <f t="shared" si="2"/>
        <v>0.78888888888888875</v>
      </c>
      <c r="O37" s="2">
        <f t="shared" si="1"/>
        <v>0.75602784550658753</v>
      </c>
      <c r="P37" s="2">
        <v>0.70699999999999996</v>
      </c>
    </row>
    <row r="38" spans="1:16" x14ac:dyDescent="0.2">
      <c r="J38" s="2">
        <v>100</v>
      </c>
      <c r="K38" s="2">
        <v>1.05</v>
      </c>
      <c r="L38" s="2">
        <v>6.6</v>
      </c>
      <c r="M38" s="2">
        <f t="shared" si="0"/>
        <v>6.2857142857142847</v>
      </c>
      <c r="N38" s="2">
        <f t="shared" si="2"/>
        <v>0.73333333333333328</v>
      </c>
      <c r="O38" s="2">
        <f t="shared" si="1"/>
        <v>0.69348515513707421</v>
      </c>
      <c r="P38" s="2">
        <v>0.70699999999999996</v>
      </c>
    </row>
    <row r="39" spans="1:16" x14ac:dyDescent="0.2">
      <c r="J39" s="2">
        <v>80</v>
      </c>
      <c r="K39" s="2">
        <v>1.05</v>
      </c>
      <c r="L39" s="2">
        <v>5.8</v>
      </c>
      <c r="M39" s="2">
        <f t="shared" si="0"/>
        <v>5.5238095238095237</v>
      </c>
      <c r="N39" s="2">
        <f t="shared" si="2"/>
        <v>0.64444444444444449</v>
      </c>
      <c r="O39" s="2">
        <f t="shared" si="1"/>
        <v>0.61011121795969825</v>
      </c>
      <c r="P39" s="2">
        <v>0.70699999999999996</v>
      </c>
    </row>
    <row r="40" spans="1:16" x14ac:dyDescent="0.2">
      <c r="J40" s="2">
        <v>60</v>
      </c>
      <c r="K40" s="2">
        <v>1.04</v>
      </c>
      <c r="L40" s="2">
        <v>4.8</v>
      </c>
      <c r="M40" s="2">
        <f t="shared" si="0"/>
        <v>4.615384615384615</v>
      </c>
      <c r="N40" s="2">
        <f t="shared" si="2"/>
        <v>0.53846153846153844</v>
      </c>
      <c r="O40" s="2">
        <f t="shared" si="1"/>
        <v>0.50011449461252555</v>
      </c>
      <c r="P40" s="2">
        <v>0.70699999999999996</v>
      </c>
    </row>
    <row r="41" spans="1:16" x14ac:dyDescent="0.2">
      <c r="J41" s="2">
        <v>40</v>
      </c>
      <c r="K41" s="2">
        <v>1.05</v>
      </c>
      <c r="L41" s="2">
        <v>3.6</v>
      </c>
      <c r="M41" s="2">
        <f t="shared" si="0"/>
        <v>3.4285714285714284</v>
      </c>
      <c r="N41" s="2">
        <f t="shared" si="2"/>
        <v>0.39999999999999997</v>
      </c>
      <c r="O41" s="2">
        <f t="shared" si="1"/>
        <v>0.35930613169733133</v>
      </c>
      <c r="P41" s="2">
        <v>0.70699999999999996</v>
      </c>
    </row>
    <row r="42" spans="1:16" x14ac:dyDescent="0.2">
      <c r="J42" s="2">
        <v>20</v>
      </c>
      <c r="K42" s="2">
        <v>1.05</v>
      </c>
      <c r="L42" s="2">
        <v>2.2000000000000002</v>
      </c>
      <c r="M42" s="2">
        <f t="shared" si="0"/>
        <v>2.0952380952380953</v>
      </c>
      <c r="N42" s="2">
        <f t="shared" si="2"/>
        <v>0.24444444444444446</v>
      </c>
      <c r="O42" s="2">
        <f t="shared" si="1"/>
        <v>0.18903788111780731</v>
      </c>
      <c r="P42" s="2">
        <v>0.70699999999999996</v>
      </c>
    </row>
  </sheetData>
  <mergeCells count="5">
    <mergeCell ref="A22:B22"/>
    <mergeCell ref="A1:B1"/>
    <mergeCell ref="J28:P28"/>
    <mergeCell ref="J15:L15"/>
    <mergeCell ref="M15:O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9979-141F-A342-94EC-871980C8E8FE}">
  <dimension ref="A1:N80"/>
  <sheetViews>
    <sheetView topLeftCell="L1" zoomScale="50" zoomScaleNormal="149" workbookViewId="0">
      <selection activeCell="AC59" sqref="AC59"/>
    </sheetView>
  </sheetViews>
  <sheetFormatPr baseColWidth="10" defaultRowHeight="18" x14ac:dyDescent="0.2"/>
  <cols>
    <col min="1" max="1" width="35.1640625" style="3" customWidth="1"/>
    <col min="2" max="2" width="18.33203125" style="3" customWidth="1"/>
    <col min="3" max="3" width="38" style="3" customWidth="1"/>
    <col min="4" max="4" width="20" style="3" customWidth="1"/>
    <col min="5" max="5" width="22.5" style="3" customWidth="1"/>
    <col min="6" max="6" width="21.83203125" style="3" customWidth="1"/>
    <col min="7" max="7" width="18.6640625" style="3" customWidth="1"/>
    <col min="8" max="8" width="20" style="3" customWidth="1"/>
    <col min="9" max="9" width="22" style="3" customWidth="1"/>
    <col min="10" max="10" width="6.1640625" style="3" customWidth="1"/>
    <col min="11" max="11" width="18" style="3" customWidth="1"/>
    <col min="12" max="12" width="80.5" style="3" customWidth="1"/>
    <col min="13" max="13" width="26" style="3" customWidth="1"/>
    <col min="14" max="20" width="10.83203125" style="3"/>
    <col min="21" max="21" width="43.33203125" style="3" customWidth="1"/>
    <col min="22" max="22" width="59.6640625" style="3" customWidth="1"/>
    <col min="23" max="16384" width="10.83203125" style="3"/>
  </cols>
  <sheetData>
    <row r="1" spans="1:13" x14ac:dyDescent="0.2">
      <c r="A1" s="12" t="s">
        <v>176</v>
      </c>
      <c r="B1" s="12"/>
      <c r="J1" s="3" t="s">
        <v>77</v>
      </c>
      <c r="K1" s="3" t="s">
        <v>197</v>
      </c>
      <c r="L1" s="3" t="s">
        <v>198</v>
      </c>
      <c r="M1" s="3" t="s">
        <v>83</v>
      </c>
    </row>
    <row r="2" spans="1:13" x14ac:dyDescent="0.2">
      <c r="A2" s="2" t="s">
        <v>1</v>
      </c>
      <c r="B2" s="2">
        <v>15</v>
      </c>
      <c r="J2" s="3">
        <v>1</v>
      </c>
      <c r="K2" s="3" t="s">
        <v>199</v>
      </c>
      <c r="L2" s="3" t="s">
        <v>200</v>
      </c>
      <c r="M2" s="3" t="s">
        <v>85</v>
      </c>
    </row>
    <row r="3" spans="1:13" x14ac:dyDescent="0.2">
      <c r="A3" s="2" t="s">
        <v>177</v>
      </c>
      <c r="B3" s="2">
        <v>54350</v>
      </c>
      <c r="J3" s="3">
        <v>2</v>
      </c>
      <c r="K3" s="3" t="s">
        <v>201</v>
      </c>
      <c r="L3" s="3" t="s">
        <v>202</v>
      </c>
      <c r="M3" s="3" t="s">
        <v>203</v>
      </c>
    </row>
    <row r="4" spans="1:13" x14ac:dyDescent="0.2">
      <c r="A4" s="2" t="s">
        <v>178</v>
      </c>
      <c r="B4" s="2">
        <v>5419</v>
      </c>
      <c r="J4" s="3">
        <v>3</v>
      </c>
      <c r="K4" s="3" t="s">
        <v>204</v>
      </c>
      <c r="L4" s="3" t="s">
        <v>205</v>
      </c>
      <c r="M4" s="3" t="s">
        <v>206</v>
      </c>
    </row>
    <row r="5" spans="1:13" x14ac:dyDescent="0.2">
      <c r="A5" s="2" t="s">
        <v>4</v>
      </c>
      <c r="B5" s="2">
        <v>7420</v>
      </c>
      <c r="J5" s="3">
        <v>4</v>
      </c>
      <c r="K5" s="3" t="s">
        <v>207</v>
      </c>
      <c r="L5" s="3" t="s">
        <v>208</v>
      </c>
      <c r="M5" s="3" t="s">
        <v>209</v>
      </c>
    </row>
    <row r="6" spans="1:13" x14ac:dyDescent="0.2">
      <c r="A6" s="2" t="s">
        <v>5</v>
      </c>
      <c r="B6" s="2">
        <v>807</v>
      </c>
      <c r="J6" s="3">
        <v>5</v>
      </c>
      <c r="K6" s="3" t="s">
        <v>210</v>
      </c>
      <c r="L6" s="3" t="s">
        <v>211</v>
      </c>
      <c r="M6" s="3" t="s">
        <v>212</v>
      </c>
    </row>
    <row r="7" spans="1:13" x14ac:dyDescent="0.2">
      <c r="A7" s="2" t="s">
        <v>6</v>
      </c>
      <c r="B7" s="2">
        <v>138.6</v>
      </c>
      <c r="C7" s="3" t="s">
        <v>7</v>
      </c>
      <c r="J7" s="3">
        <v>6</v>
      </c>
      <c r="K7" s="3" t="s">
        <v>213</v>
      </c>
      <c r="L7" s="3" t="s">
        <v>214</v>
      </c>
      <c r="M7" s="3" t="s">
        <v>215</v>
      </c>
    </row>
    <row r="8" spans="1:13" x14ac:dyDescent="0.2">
      <c r="A8" s="2" t="s">
        <v>8</v>
      </c>
      <c r="B8" s="2">
        <v>0.65</v>
      </c>
      <c r="J8" s="3">
        <v>7</v>
      </c>
      <c r="K8" s="3" t="s">
        <v>130</v>
      </c>
      <c r="L8" s="3" t="s">
        <v>216</v>
      </c>
      <c r="M8" s="3" t="s">
        <v>217</v>
      </c>
    </row>
    <row r="9" spans="1:13" x14ac:dyDescent="0.2">
      <c r="A9" s="2" t="s">
        <v>9</v>
      </c>
      <c r="B9" s="4">
        <f>0.000000324</f>
        <v>3.2399999999999999E-7</v>
      </c>
      <c r="C9" s="3" t="s">
        <v>10</v>
      </c>
      <c r="J9" s="3">
        <v>8</v>
      </c>
      <c r="K9" s="3" t="s">
        <v>218</v>
      </c>
      <c r="L9" s="3" t="s">
        <v>219</v>
      </c>
      <c r="M9" s="3" t="s">
        <v>220</v>
      </c>
    </row>
    <row r="10" spans="1:13" x14ac:dyDescent="0.2">
      <c r="A10" s="2" t="s">
        <v>179</v>
      </c>
      <c r="B10" s="4">
        <f>0.00000813</f>
        <v>8.1300000000000001E-6</v>
      </c>
      <c r="C10" s="3" t="s">
        <v>180</v>
      </c>
      <c r="J10" s="3">
        <v>9</v>
      </c>
      <c r="K10" s="3" t="s">
        <v>221</v>
      </c>
      <c r="L10" s="3" t="s">
        <v>222</v>
      </c>
      <c r="M10" s="3" t="s">
        <v>223</v>
      </c>
    </row>
    <row r="11" spans="1:13" x14ac:dyDescent="0.2">
      <c r="A11" s="2" t="s">
        <v>15</v>
      </c>
      <c r="B11" s="2">
        <f>((B2*B4/(B3+B4))-B8)/(B6+(B3*B4/(B3+B4))/(B7+1))*1000</f>
        <v>0.84291480345548297</v>
      </c>
      <c r="C11" s="3" t="s">
        <v>299</v>
      </c>
    </row>
    <row r="12" spans="1:13" x14ac:dyDescent="0.2">
      <c r="A12" s="2" t="s">
        <v>16</v>
      </c>
      <c r="B12" s="2">
        <f>0.025/(B11/1000)</f>
        <v>29.658987951705051</v>
      </c>
      <c r="C12" s="3" t="s">
        <v>17</v>
      </c>
    </row>
    <row r="13" spans="1:13" x14ac:dyDescent="0.2">
      <c r="A13" s="2" t="s">
        <v>181</v>
      </c>
      <c r="B13" s="2">
        <f>B2-B7/(B7+1)*B11/1000*B5</f>
        <v>8.7903746500626063</v>
      </c>
      <c r="C13" s="3" t="s">
        <v>182</v>
      </c>
    </row>
    <row r="14" spans="1:13" x14ac:dyDescent="0.2">
      <c r="A14" s="2" t="s">
        <v>183</v>
      </c>
      <c r="B14" s="2">
        <f>-B5/(B6+B12)</f>
        <v>-8.8686072902479935</v>
      </c>
      <c r="C14" s="3" t="s">
        <v>300</v>
      </c>
    </row>
    <row r="15" spans="1:13" x14ac:dyDescent="0.2">
      <c r="A15" s="2" t="s">
        <v>184</v>
      </c>
      <c r="B15" s="2">
        <f>-B5/B12</f>
        <v>-250.17711366558734</v>
      </c>
      <c r="C15" s="3" t="s">
        <v>301</v>
      </c>
    </row>
    <row r="16" spans="1:13" x14ac:dyDescent="0.2">
      <c r="A16" s="2" t="s">
        <v>185</v>
      </c>
      <c r="B16" s="2">
        <f>20*LOG10(ABS(B14))</f>
        <v>18.957108487616114</v>
      </c>
    </row>
    <row r="17" spans="1:5" x14ac:dyDescent="0.2">
      <c r="A17" s="2" t="s">
        <v>186</v>
      </c>
      <c r="B17" s="2">
        <f>20*LOG10(ABS(B15))</f>
        <v>47.964951553721669</v>
      </c>
    </row>
    <row r="18" spans="1:5" x14ac:dyDescent="0.2">
      <c r="A18" s="2" t="s">
        <v>187</v>
      </c>
      <c r="B18" s="2">
        <f>(1/B3+1/B4+1/((B7+1)*(B6+B12)))/(2*PI()*B9)</f>
        <v>103.89132482967534</v>
      </c>
      <c r="C18" s="3" t="s">
        <v>302</v>
      </c>
    </row>
    <row r="19" spans="1:5" x14ac:dyDescent="0.2">
      <c r="A19" s="2" t="s">
        <v>188</v>
      </c>
      <c r="B19" s="2">
        <f>2*MIN(B2-B13,B13-(B11/1000*B6+0.2))/ABS(B15)*1000</f>
        <v>49.641833810888258</v>
      </c>
      <c r="C19" s="3" t="s">
        <v>303</v>
      </c>
    </row>
    <row r="21" spans="1:5" x14ac:dyDescent="0.2">
      <c r="A21" s="12" t="s">
        <v>189</v>
      </c>
      <c r="B21" s="12"/>
    </row>
    <row r="22" spans="1:5" x14ac:dyDescent="0.2">
      <c r="A22" s="2" t="s">
        <v>190</v>
      </c>
      <c r="B22" s="2">
        <v>8.7100000000000009</v>
      </c>
      <c r="C22" s="3" t="s">
        <v>191</v>
      </c>
    </row>
    <row r="23" spans="1:5" x14ac:dyDescent="0.2">
      <c r="A23" s="2" t="s">
        <v>192</v>
      </c>
      <c r="B23" s="2">
        <v>88</v>
      </c>
    </row>
    <row r="24" spans="1:5" x14ac:dyDescent="0.2">
      <c r="A24" s="2" t="s">
        <v>193</v>
      </c>
      <c r="B24" s="2">
        <f>E40</f>
        <v>14.834439695139373</v>
      </c>
      <c r="C24" s="3" t="s">
        <v>194</v>
      </c>
    </row>
    <row r="25" spans="1:5" x14ac:dyDescent="0.2">
      <c r="A25" s="2" t="s">
        <v>195</v>
      </c>
      <c r="B25" s="2">
        <f>E56</f>
        <v>32.983450719472074</v>
      </c>
      <c r="C25" s="3" t="s">
        <v>194</v>
      </c>
    </row>
    <row r="26" spans="1:5" x14ac:dyDescent="0.2">
      <c r="A26" s="2" t="s">
        <v>196</v>
      </c>
      <c r="B26" s="2"/>
      <c r="C26" s="3" t="s">
        <v>304</v>
      </c>
    </row>
    <row r="29" spans="1:5" x14ac:dyDescent="0.2">
      <c r="A29" s="13" t="s">
        <v>305</v>
      </c>
      <c r="B29" s="18"/>
      <c r="C29" s="18"/>
      <c r="D29" s="18"/>
      <c r="E29" s="14"/>
    </row>
    <row r="30" spans="1:5" x14ac:dyDescent="0.2">
      <c r="A30" s="2" t="s">
        <v>171</v>
      </c>
      <c r="B30" s="2" t="s">
        <v>306</v>
      </c>
      <c r="C30" s="2" t="s">
        <v>307</v>
      </c>
      <c r="D30" s="2" t="s">
        <v>308</v>
      </c>
      <c r="E30" s="2" t="s">
        <v>309</v>
      </c>
    </row>
    <row r="31" spans="1:5" x14ac:dyDescent="0.2">
      <c r="A31" s="2">
        <v>10</v>
      </c>
      <c r="B31" s="2">
        <f>0.6</f>
        <v>0.6</v>
      </c>
      <c r="C31" s="2">
        <v>1.6</v>
      </c>
      <c r="D31" s="2">
        <v>77</v>
      </c>
      <c r="E31" s="2">
        <f>IF(C31="",NA(),20*LOG10(C31/B31))</f>
        <v>8.5193746454456249</v>
      </c>
    </row>
    <row r="32" spans="1:5" x14ac:dyDescent="0.2">
      <c r="A32" s="2">
        <v>20</v>
      </c>
      <c r="B32" s="2">
        <v>0.6</v>
      </c>
      <c r="C32" s="2">
        <v>2</v>
      </c>
      <c r="D32" s="2">
        <v>99</v>
      </c>
      <c r="E32" s="2">
        <f t="shared" ref="E32:E43" si="0">IF(C32="",NA(),20*LOG10(C32/B32))</f>
        <v>10.457574905606752</v>
      </c>
    </row>
    <row r="33" spans="1:14" x14ac:dyDescent="0.2">
      <c r="A33" s="2">
        <v>50</v>
      </c>
      <c r="B33" s="2">
        <v>0.6</v>
      </c>
      <c r="C33" s="2">
        <v>2.4</v>
      </c>
      <c r="D33" s="2">
        <v>110</v>
      </c>
      <c r="E33" s="2">
        <f t="shared" si="0"/>
        <v>12.041199826559248</v>
      </c>
    </row>
    <row r="34" spans="1:14" x14ac:dyDescent="0.2">
      <c r="A34" s="2">
        <v>100</v>
      </c>
      <c r="B34" s="2">
        <v>0.6</v>
      </c>
      <c r="C34" s="2">
        <v>2.8</v>
      </c>
      <c r="D34" s="2">
        <v>145</v>
      </c>
      <c r="E34" s="2">
        <f t="shared" si="0"/>
        <v>13.380135619171512</v>
      </c>
    </row>
    <row r="35" spans="1:14" x14ac:dyDescent="0.2">
      <c r="A35" s="2">
        <v>200</v>
      </c>
      <c r="B35" s="2">
        <v>0.6</v>
      </c>
      <c r="C35" s="2">
        <v>3.2</v>
      </c>
      <c r="D35" s="2">
        <v>164</v>
      </c>
      <c r="E35" s="2">
        <f t="shared" si="0"/>
        <v>14.539974558725248</v>
      </c>
    </row>
    <row r="36" spans="1:14" x14ac:dyDescent="0.2">
      <c r="A36" s="2">
        <v>500</v>
      </c>
      <c r="B36" s="2">
        <v>0.6</v>
      </c>
      <c r="C36" s="2">
        <v>3.2</v>
      </c>
      <c r="D36" s="2">
        <v>174</v>
      </c>
      <c r="E36" s="2">
        <f t="shared" si="0"/>
        <v>14.539974558725248</v>
      </c>
      <c r="L36" s="3">
        <v>4.54</v>
      </c>
    </row>
    <row r="37" spans="1:14" x14ac:dyDescent="0.2">
      <c r="A37" s="2">
        <v>1000</v>
      </c>
      <c r="B37" s="2">
        <v>0.6</v>
      </c>
      <c r="C37" s="2">
        <v>3.2</v>
      </c>
      <c r="D37" s="2">
        <v>176</v>
      </c>
      <c r="E37" s="2">
        <f t="shared" si="0"/>
        <v>14.539974558725248</v>
      </c>
      <c r="K37" s="3" t="s">
        <v>377</v>
      </c>
      <c r="L37" s="3">
        <f>0.707*L36</f>
        <v>3.2097799999999999</v>
      </c>
    </row>
    <row r="38" spans="1:14" x14ac:dyDescent="0.2">
      <c r="A38" s="2">
        <v>2000</v>
      </c>
      <c r="B38" s="2">
        <v>0.6</v>
      </c>
      <c r="C38" s="2">
        <v>3.2</v>
      </c>
      <c r="D38" s="2">
        <v>178</v>
      </c>
      <c r="E38" s="2">
        <f t="shared" si="0"/>
        <v>14.539974558725248</v>
      </c>
      <c r="K38" s="3" t="s">
        <v>378</v>
      </c>
      <c r="L38" s="3">
        <v>49.8</v>
      </c>
    </row>
    <row r="39" spans="1:14" x14ac:dyDescent="0.2">
      <c r="A39" s="2">
        <v>5000</v>
      </c>
      <c r="B39" s="2">
        <v>0.6</v>
      </c>
      <c r="C39" s="2">
        <v>3.2</v>
      </c>
      <c r="D39" s="2">
        <v>179</v>
      </c>
      <c r="E39" s="2">
        <f>IF(C39="",NA(),20*LOG10(C39/B39))</f>
        <v>14.539974558725248</v>
      </c>
    </row>
    <row r="40" spans="1:14" x14ac:dyDescent="0.2">
      <c r="A40" s="2">
        <v>10000</v>
      </c>
      <c r="B40" s="2">
        <v>0.57999999999999996</v>
      </c>
      <c r="C40" s="2">
        <v>3.2</v>
      </c>
      <c r="D40" s="2">
        <v>179</v>
      </c>
      <c r="E40" s="2">
        <f>IF(C40="",NA(),20*LOG10(C40/B40))</f>
        <v>14.834439695139373</v>
      </c>
    </row>
    <row r="41" spans="1:14" x14ac:dyDescent="0.2">
      <c r="A41" s="2">
        <v>20000</v>
      </c>
      <c r="B41" s="2">
        <v>0.6</v>
      </c>
      <c r="C41" s="2">
        <v>3.1</v>
      </c>
      <c r="D41" s="2">
        <v>178</v>
      </c>
      <c r="E41" s="2">
        <f t="shared" si="0"/>
        <v>14.264208869012583</v>
      </c>
      <c r="J41" s="6"/>
      <c r="K41" s="6"/>
      <c r="L41" s="6"/>
      <c r="M41" s="6"/>
      <c r="N41" s="6"/>
    </row>
    <row r="42" spans="1:14" x14ac:dyDescent="0.2">
      <c r="A42" s="2">
        <v>50000</v>
      </c>
      <c r="B42" s="2">
        <v>0.56000000000000005</v>
      </c>
      <c r="C42" s="2">
        <v>3</v>
      </c>
      <c r="D42" s="2">
        <v>181</v>
      </c>
      <c r="E42" s="2">
        <f t="shared" si="0"/>
        <v>14.57866455426924</v>
      </c>
      <c r="I42" s="7"/>
      <c r="J42" s="5"/>
      <c r="K42" s="5"/>
      <c r="L42" s="5"/>
      <c r="M42" s="6"/>
      <c r="N42" s="6"/>
    </row>
    <row r="43" spans="1:14" x14ac:dyDescent="0.2">
      <c r="A43" s="2">
        <v>100000</v>
      </c>
      <c r="B43" s="2">
        <v>0.57999999999999996</v>
      </c>
      <c r="C43" s="2">
        <v>2.8</v>
      </c>
      <c r="D43" s="2">
        <v>179</v>
      </c>
      <c r="E43" s="2">
        <f t="shared" si="0"/>
        <v>13.674600755585637</v>
      </c>
      <c r="I43" s="7"/>
      <c r="J43" s="5"/>
      <c r="K43" s="5"/>
      <c r="L43" s="11" t="s">
        <v>381</v>
      </c>
      <c r="M43" s="6"/>
      <c r="N43" s="6"/>
    </row>
    <row r="44" spans="1:14" x14ac:dyDescent="0.2">
      <c r="I44" s="7"/>
      <c r="J44" s="5"/>
      <c r="K44" s="5"/>
      <c r="L44" s="5"/>
      <c r="M44" s="6"/>
      <c r="N44" s="6"/>
    </row>
    <row r="45" spans="1:14" x14ac:dyDescent="0.2">
      <c r="A45" s="13" t="s">
        <v>310</v>
      </c>
      <c r="B45" s="18"/>
      <c r="C45" s="18"/>
      <c r="D45" s="18"/>
      <c r="E45" s="14"/>
      <c r="I45" s="7"/>
      <c r="J45" s="5"/>
      <c r="K45" s="5"/>
      <c r="L45" s="5"/>
      <c r="M45" s="6"/>
      <c r="N45" s="6"/>
    </row>
    <row r="46" spans="1:14" x14ac:dyDescent="0.2">
      <c r="A46" s="2" t="s">
        <v>171</v>
      </c>
      <c r="B46" s="2" t="s">
        <v>306</v>
      </c>
      <c r="C46" s="2" t="s">
        <v>307</v>
      </c>
      <c r="D46" s="2" t="s">
        <v>308</v>
      </c>
      <c r="E46" s="2" t="s">
        <v>309</v>
      </c>
      <c r="I46" s="7"/>
      <c r="J46" s="5"/>
      <c r="K46" s="5"/>
      <c r="L46" s="5"/>
      <c r="M46" s="6"/>
      <c r="N46" s="6"/>
    </row>
    <row r="47" spans="1:14" x14ac:dyDescent="0.2">
      <c r="A47" s="2">
        <v>10</v>
      </c>
      <c r="B47" s="2">
        <v>0.4</v>
      </c>
      <c r="C47" s="2">
        <v>1.6</v>
      </c>
      <c r="D47" s="2">
        <v>30</v>
      </c>
      <c r="E47" s="2">
        <f>IF(C47="",NA(),20*LOG10(C47/B47))</f>
        <v>12.041199826559248</v>
      </c>
      <c r="I47" s="7"/>
      <c r="J47" s="5"/>
      <c r="K47" s="5"/>
      <c r="L47" s="5"/>
      <c r="M47" s="6"/>
      <c r="N47" s="6"/>
    </row>
    <row r="48" spans="1:14" x14ac:dyDescent="0.2">
      <c r="A48" s="2">
        <v>20</v>
      </c>
      <c r="B48" s="2">
        <v>0.4</v>
      </c>
      <c r="C48" s="2">
        <v>1.8</v>
      </c>
      <c r="D48" s="2">
        <v>52</v>
      </c>
      <c r="E48" s="2">
        <f t="shared" ref="E48:E59" si="1">IF(C48="",NA(),20*LOG10(C48/B48))</f>
        <v>13.064250275506875</v>
      </c>
      <c r="I48" s="7"/>
      <c r="J48" s="5"/>
      <c r="K48" s="5"/>
      <c r="L48" s="5"/>
      <c r="M48" s="6"/>
      <c r="N48" s="6"/>
    </row>
    <row r="49" spans="1:14" x14ac:dyDescent="0.2">
      <c r="A49" s="2">
        <v>50</v>
      </c>
      <c r="B49" s="2">
        <v>0.4</v>
      </c>
      <c r="C49" s="2">
        <v>2.8</v>
      </c>
      <c r="D49" s="2">
        <v>74</v>
      </c>
      <c r="E49" s="2">
        <f t="shared" si="1"/>
        <v>16.901960800285135</v>
      </c>
      <c r="I49" s="7"/>
      <c r="J49" s="5"/>
      <c r="K49" s="5"/>
      <c r="L49" s="5"/>
      <c r="M49" s="6"/>
      <c r="N49" s="6"/>
    </row>
    <row r="50" spans="1:14" x14ac:dyDescent="0.2">
      <c r="A50" s="2">
        <v>100</v>
      </c>
      <c r="B50" s="2">
        <v>0.4</v>
      </c>
      <c r="C50" s="2">
        <v>4.8</v>
      </c>
      <c r="D50" s="2">
        <v>83</v>
      </c>
      <c r="E50" s="2">
        <f t="shared" si="1"/>
        <v>21.583624920952495</v>
      </c>
      <c r="I50" s="7"/>
      <c r="J50" s="5"/>
      <c r="K50" s="5"/>
      <c r="L50" s="5"/>
      <c r="M50" s="6"/>
      <c r="N50" s="6"/>
    </row>
    <row r="51" spans="1:14" x14ac:dyDescent="0.2">
      <c r="A51" s="2">
        <v>200</v>
      </c>
      <c r="B51" s="2">
        <v>0.32</v>
      </c>
      <c r="C51" s="2">
        <v>7</v>
      </c>
      <c r="D51" s="2">
        <v>94</v>
      </c>
      <c r="E51" s="2">
        <f t="shared" si="1"/>
        <v>26.798961233887017</v>
      </c>
      <c r="I51" s="7"/>
      <c r="J51" s="5"/>
      <c r="K51" s="5"/>
      <c r="L51" s="5"/>
      <c r="M51" s="6"/>
      <c r="N51" s="6"/>
    </row>
    <row r="52" spans="1:14" x14ac:dyDescent="0.2">
      <c r="A52" s="2">
        <v>500</v>
      </c>
      <c r="B52" s="2">
        <v>0.24</v>
      </c>
      <c r="C52" s="2">
        <v>7.4</v>
      </c>
      <c r="D52" s="2">
        <v>100</v>
      </c>
      <c r="E52" s="2">
        <f t="shared" si="1"/>
        <v>29.780409560387401</v>
      </c>
      <c r="I52" s="7"/>
      <c r="J52" s="5"/>
      <c r="K52" s="5"/>
      <c r="L52" s="5"/>
      <c r="M52" s="6"/>
      <c r="N52" s="6"/>
    </row>
    <row r="53" spans="1:14" x14ac:dyDescent="0.2">
      <c r="A53" s="2">
        <v>1000</v>
      </c>
      <c r="B53" s="2">
        <v>0.24</v>
      </c>
      <c r="C53" s="2">
        <v>9</v>
      </c>
      <c r="D53" s="2">
        <v>120</v>
      </c>
      <c r="E53" s="2">
        <f t="shared" si="1"/>
        <v>31.480625354554377</v>
      </c>
      <c r="I53" s="7"/>
      <c r="J53" s="5"/>
      <c r="K53" s="5"/>
      <c r="L53" s="5"/>
      <c r="M53" s="6"/>
      <c r="N53" s="6"/>
    </row>
    <row r="54" spans="1:14" x14ac:dyDescent="0.2">
      <c r="A54" s="2">
        <v>2000</v>
      </c>
      <c r="B54" s="2">
        <v>0.24</v>
      </c>
      <c r="C54" s="2">
        <v>10.1</v>
      </c>
      <c r="D54" s="2">
        <v>123</v>
      </c>
      <c r="E54" s="2">
        <f t="shared" si="1"/>
        <v>32.482202641420727</v>
      </c>
    </row>
    <row r="55" spans="1:14" x14ac:dyDescent="0.2">
      <c r="A55" s="2">
        <v>5000</v>
      </c>
      <c r="B55" s="2">
        <v>0.24</v>
      </c>
      <c r="C55" s="2">
        <v>10.5</v>
      </c>
      <c r="D55" s="2">
        <v>127</v>
      </c>
      <c r="E55" s="2">
        <f t="shared" si="1"/>
        <v>32.819561147166645</v>
      </c>
    </row>
    <row r="56" spans="1:14" x14ac:dyDescent="0.2">
      <c r="A56" s="2">
        <v>10000</v>
      </c>
      <c r="B56" s="2">
        <v>0.24</v>
      </c>
      <c r="C56" s="2">
        <v>10.7</v>
      </c>
      <c r="D56" s="2">
        <v>130</v>
      </c>
      <c r="E56" s="2">
        <f t="shared" si="1"/>
        <v>32.983450719472074</v>
      </c>
      <c r="F56" s="19" t="s">
        <v>379</v>
      </c>
      <c r="G56" s="20"/>
      <c r="H56" s="20"/>
      <c r="I56" s="20"/>
    </row>
    <row r="57" spans="1:14" x14ac:dyDescent="0.2">
      <c r="A57" s="2">
        <v>20000</v>
      </c>
      <c r="B57" s="2">
        <v>0.24</v>
      </c>
      <c r="C57" s="2">
        <v>10.7</v>
      </c>
      <c r="D57" s="2">
        <v>135</v>
      </c>
      <c r="E57" s="2">
        <f t="shared" si="1"/>
        <v>32.983450719472074</v>
      </c>
      <c r="F57" s="20"/>
      <c r="G57" s="20"/>
      <c r="H57" s="20"/>
      <c r="I57" s="20"/>
    </row>
    <row r="58" spans="1:14" x14ac:dyDescent="0.2">
      <c r="A58" s="2">
        <v>50000</v>
      </c>
      <c r="B58" s="2">
        <v>0.16</v>
      </c>
      <c r="C58" s="2">
        <v>5.6</v>
      </c>
      <c r="D58" s="2">
        <v>142</v>
      </c>
      <c r="E58" s="2">
        <f t="shared" si="1"/>
        <v>30.881360887005513</v>
      </c>
      <c r="F58" s="20"/>
      <c r="G58" s="20"/>
      <c r="H58" s="20"/>
      <c r="I58" s="20"/>
    </row>
    <row r="59" spans="1:14" x14ac:dyDescent="0.2">
      <c r="A59" s="2">
        <v>100000</v>
      </c>
      <c r="B59" s="2">
        <v>0.22</v>
      </c>
      <c r="C59" s="2">
        <v>10.3</v>
      </c>
      <c r="D59" s="2">
        <v>145</v>
      </c>
      <c r="E59" s="2">
        <f t="shared" si="1"/>
        <v>33.408290877659319</v>
      </c>
      <c r="L59" s="11" t="s">
        <v>380</v>
      </c>
    </row>
    <row r="68" spans="1:2" ht="19" x14ac:dyDescent="0.2">
      <c r="A68" s="8" t="s">
        <v>49</v>
      </c>
      <c r="B68" s="8" t="s">
        <v>50</v>
      </c>
    </row>
    <row r="69" spans="1:2" ht="409.6" x14ac:dyDescent="0.2">
      <c r="A69" s="8" t="s">
        <v>224</v>
      </c>
      <c r="B69" s="8" t="s">
        <v>225</v>
      </c>
    </row>
    <row r="70" spans="1:2" ht="247" x14ac:dyDescent="0.2">
      <c r="A70" s="8" t="s">
        <v>226</v>
      </c>
      <c r="B70" s="8" t="s">
        <v>227</v>
      </c>
    </row>
    <row r="71" spans="1:2" ht="190" x14ac:dyDescent="0.2">
      <c r="A71" s="8" t="s">
        <v>228</v>
      </c>
      <c r="B71" s="8" t="s">
        <v>229</v>
      </c>
    </row>
    <row r="72" spans="1:2" ht="266" x14ac:dyDescent="0.2">
      <c r="A72" s="8" t="s">
        <v>230</v>
      </c>
      <c r="B72" s="8" t="s">
        <v>231</v>
      </c>
    </row>
    <row r="73" spans="1:2" ht="380" x14ac:dyDescent="0.2">
      <c r="A73" s="8" t="s">
        <v>232</v>
      </c>
      <c r="B73" s="8" t="s">
        <v>233</v>
      </c>
    </row>
    <row r="74" spans="1:2" ht="409.6" x14ac:dyDescent="0.2">
      <c r="A74" s="8" t="s">
        <v>234</v>
      </c>
      <c r="B74" s="8" t="s">
        <v>235</v>
      </c>
    </row>
    <row r="75" spans="1:2" ht="409.6" x14ac:dyDescent="0.2">
      <c r="A75" s="8" t="s">
        <v>236</v>
      </c>
      <c r="B75" s="8" t="s">
        <v>237</v>
      </c>
    </row>
    <row r="76" spans="1:2" ht="409.6" x14ac:dyDescent="0.2">
      <c r="A76" s="8" t="s">
        <v>238</v>
      </c>
      <c r="B76" s="8" t="s">
        <v>239</v>
      </c>
    </row>
    <row r="77" spans="1:2" ht="409.6" x14ac:dyDescent="0.2">
      <c r="A77" s="8" t="s">
        <v>240</v>
      </c>
      <c r="B77" s="8" t="s">
        <v>241</v>
      </c>
    </row>
    <row r="78" spans="1:2" ht="342" x14ac:dyDescent="0.2">
      <c r="A78" s="8" t="s">
        <v>242</v>
      </c>
      <c r="B78" s="8" t="s">
        <v>243</v>
      </c>
    </row>
    <row r="79" spans="1:2" ht="409.6" x14ac:dyDescent="0.2">
      <c r="A79" s="8" t="s">
        <v>244</v>
      </c>
      <c r="B79" s="8" t="s">
        <v>245</v>
      </c>
    </row>
    <row r="80" spans="1:2" x14ac:dyDescent="0.2">
      <c r="A80" s="8"/>
      <c r="B80" s="8"/>
    </row>
  </sheetData>
  <mergeCells count="5">
    <mergeCell ref="A45:E45"/>
    <mergeCell ref="A29:E29"/>
    <mergeCell ref="F56:I58"/>
    <mergeCell ref="A1:B1"/>
    <mergeCell ref="A21:B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68C5-D28F-DB4F-AEF4-A3EB0164809D}">
  <dimension ref="A1:C38"/>
  <sheetViews>
    <sheetView zoomScale="108" workbookViewId="0">
      <selection activeCell="R36" sqref="R36"/>
    </sheetView>
  </sheetViews>
  <sheetFormatPr baseColWidth="10" defaultRowHeight="18" x14ac:dyDescent="0.2"/>
  <cols>
    <col min="1" max="1" width="32.1640625" style="3" customWidth="1"/>
    <col min="2" max="2" width="31.5" style="3" customWidth="1"/>
    <col min="3" max="3" width="43.83203125" style="3" customWidth="1"/>
    <col min="4" max="8" width="10.83203125" style="3"/>
    <col min="9" max="10" width="10.83203125" style="3" customWidth="1"/>
    <col min="11" max="18" width="10.83203125" style="3"/>
    <col min="19" max="20" width="10.83203125" style="3" customWidth="1"/>
    <col min="21" max="16384" width="10.83203125" style="3"/>
  </cols>
  <sheetData>
    <row r="1" spans="1:3" x14ac:dyDescent="0.2">
      <c r="A1" s="21" t="s">
        <v>246</v>
      </c>
      <c r="B1" s="21"/>
      <c r="C1" s="21"/>
    </row>
    <row r="2" spans="1:3" x14ac:dyDescent="0.2">
      <c r="A2" s="12" t="s">
        <v>247</v>
      </c>
      <c r="B2" s="12"/>
    </row>
    <row r="3" spans="1:3" x14ac:dyDescent="0.2">
      <c r="A3" s="2" t="s">
        <v>1</v>
      </c>
      <c r="B3" s="2">
        <v>5</v>
      </c>
      <c r="C3" s="3" t="s">
        <v>248</v>
      </c>
    </row>
    <row r="4" spans="1:3" x14ac:dyDescent="0.2">
      <c r="A4" s="2" t="s">
        <v>249</v>
      </c>
      <c r="B4" s="2">
        <v>469.9</v>
      </c>
    </row>
    <row r="5" spans="1:3" x14ac:dyDescent="0.2">
      <c r="A5" s="2" t="s">
        <v>250</v>
      </c>
      <c r="B5" s="2">
        <v>0.7</v>
      </c>
      <c r="C5" s="3" t="s">
        <v>251</v>
      </c>
    </row>
    <row r="6" spans="1:3" x14ac:dyDescent="0.2">
      <c r="A6" s="2" t="s">
        <v>252</v>
      </c>
      <c r="B6" s="2">
        <v>0.15</v>
      </c>
      <c r="C6" s="3" t="s">
        <v>253</v>
      </c>
    </row>
    <row r="7" spans="1:3" x14ac:dyDescent="0.2">
      <c r="A7" s="2" t="s">
        <v>254</v>
      </c>
      <c r="B7" s="2">
        <v>20</v>
      </c>
      <c r="C7" s="3" t="s">
        <v>255</v>
      </c>
    </row>
    <row r="9" spans="1:3" x14ac:dyDescent="0.2">
      <c r="A9" s="12" t="s">
        <v>256</v>
      </c>
      <c r="B9" s="12"/>
    </row>
    <row r="10" spans="1:3" x14ac:dyDescent="0.2">
      <c r="A10" s="2" t="s">
        <v>257</v>
      </c>
      <c r="B10" s="2">
        <f>(B3-B5)/B4*1000</f>
        <v>9.1508831666311981</v>
      </c>
      <c r="C10" s="3" t="s">
        <v>258</v>
      </c>
    </row>
    <row r="11" spans="1:3" x14ac:dyDescent="0.2">
      <c r="A11" s="2" t="s">
        <v>259</v>
      </c>
      <c r="B11" s="2">
        <f>B6/(B10/1000)</f>
        <v>16.391860465116277</v>
      </c>
      <c r="C11" s="3" t="s">
        <v>260</v>
      </c>
    </row>
    <row r="12" spans="1:3" x14ac:dyDescent="0.2">
      <c r="A12" s="2" t="s">
        <v>261</v>
      </c>
      <c r="B12" s="2" t="str">
        <f>IF(B7&gt;=B11,"Yes: h_FE min &gt; beta required","No")</f>
        <v>Yes: h_FE min &gt; beta required</v>
      </c>
    </row>
    <row r="14" spans="1:3" x14ac:dyDescent="0.2">
      <c r="A14" s="12" t="s">
        <v>262</v>
      </c>
      <c r="B14" s="12"/>
    </row>
    <row r="15" spans="1:3" x14ac:dyDescent="0.2">
      <c r="A15" s="2" t="s">
        <v>263</v>
      </c>
      <c r="B15" s="4">
        <v>0.20369999999999999</v>
      </c>
      <c r="C15" s="3" t="s">
        <v>264</v>
      </c>
    </row>
    <row r="16" spans="1:3" x14ac:dyDescent="0.2">
      <c r="A16" s="2" t="s">
        <v>265</v>
      </c>
      <c r="B16" s="4">
        <v>2.0000000000000002E-5</v>
      </c>
      <c r="C16" s="3" t="s">
        <v>266</v>
      </c>
    </row>
    <row r="17" spans="1:3" x14ac:dyDescent="0.2">
      <c r="A17" s="2" t="s">
        <v>267</v>
      </c>
      <c r="B17" s="2">
        <v>5.0999999999999997E-2</v>
      </c>
      <c r="C17" s="3" t="s">
        <v>268</v>
      </c>
    </row>
    <row r="18" spans="1:3" x14ac:dyDescent="0.2">
      <c r="A18" s="2" t="s">
        <v>269</v>
      </c>
      <c r="B18" s="2">
        <v>0.70299999999999996</v>
      </c>
      <c r="C18" s="3" t="s">
        <v>270</v>
      </c>
    </row>
    <row r="19" spans="1:3" x14ac:dyDescent="0.2">
      <c r="A19" s="2" t="s">
        <v>271</v>
      </c>
      <c r="B19" s="2" t="s">
        <v>314</v>
      </c>
      <c r="C19" s="3" t="s">
        <v>272</v>
      </c>
    </row>
    <row r="21" spans="1:3" x14ac:dyDescent="0.2">
      <c r="A21" s="12" t="s">
        <v>273</v>
      </c>
      <c r="B21" s="12"/>
    </row>
    <row r="22" spans="1:3" x14ac:dyDescent="0.2">
      <c r="A22" s="2" t="s">
        <v>274</v>
      </c>
      <c r="B22" s="2">
        <f>IF(B15="","",B15/(B10/1000))</f>
        <v>22.260146511627905</v>
      </c>
      <c r="C22" s="3" t="s">
        <v>311</v>
      </c>
    </row>
    <row r="23" spans="1:3" x14ac:dyDescent="0.2">
      <c r="A23" s="2" t="s">
        <v>275</v>
      </c>
      <c r="B23" s="2">
        <f>IF(B18="","",(B3-B18)/B4*1000)</f>
        <v>9.1444988295381986</v>
      </c>
      <c r="C23" s="3" t="s">
        <v>312</v>
      </c>
    </row>
    <row r="24" spans="1:3" x14ac:dyDescent="0.2">
      <c r="A24" s="2" t="s">
        <v>276</v>
      </c>
      <c r="B24" s="2">
        <f>IF(OR(B15="",B17=""),"",B15*B17)</f>
        <v>1.0388699999999999E-2</v>
      </c>
      <c r="C24" s="3" t="s">
        <v>313</v>
      </c>
    </row>
    <row r="27" spans="1:3" ht="19" x14ac:dyDescent="0.2">
      <c r="A27" s="8" t="s">
        <v>49</v>
      </c>
      <c r="B27" s="8" t="s">
        <v>50</v>
      </c>
    </row>
    <row r="28" spans="1:3" ht="76" x14ac:dyDescent="0.2">
      <c r="A28" s="8" t="s">
        <v>277</v>
      </c>
      <c r="B28" s="8" t="s">
        <v>278</v>
      </c>
    </row>
    <row r="29" spans="1:3" ht="57" x14ac:dyDescent="0.2">
      <c r="A29" s="8" t="s">
        <v>279</v>
      </c>
      <c r="B29" s="8" t="s">
        <v>280</v>
      </c>
    </row>
    <row r="30" spans="1:3" ht="95" x14ac:dyDescent="0.2">
      <c r="A30" s="8" t="s">
        <v>281</v>
      </c>
      <c r="B30" s="8" t="s">
        <v>282</v>
      </c>
    </row>
    <row r="31" spans="1:3" ht="57" x14ac:dyDescent="0.2">
      <c r="A31" s="8" t="s">
        <v>283</v>
      </c>
      <c r="B31" s="8" t="s">
        <v>284</v>
      </c>
    </row>
    <row r="32" spans="1:3" ht="190" x14ac:dyDescent="0.2">
      <c r="A32" s="8" t="s">
        <v>285</v>
      </c>
      <c r="B32" s="8" t="s">
        <v>286</v>
      </c>
    </row>
    <row r="33" spans="1:2" ht="171" x14ac:dyDescent="0.2">
      <c r="A33" s="8" t="s">
        <v>287</v>
      </c>
      <c r="B33" s="8" t="s">
        <v>288</v>
      </c>
    </row>
    <row r="34" spans="1:2" ht="133" x14ac:dyDescent="0.2">
      <c r="A34" s="8" t="s">
        <v>289</v>
      </c>
      <c r="B34" s="8" t="s">
        <v>290</v>
      </c>
    </row>
    <row r="35" spans="1:2" ht="95" x14ac:dyDescent="0.2">
      <c r="A35" s="8" t="s">
        <v>291</v>
      </c>
      <c r="B35" s="8" t="s">
        <v>292</v>
      </c>
    </row>
    <row r="36" spans="1:2" ht="114" x14ac:dyDescent="0.2">
      <c r="A36" s="8" t="s">
        <v>293</v>
      </c>
      <c r="B36" s="8" t="s">
        <v>294</v>
      </c>
    </row>
    <row r="37" spans="1:2" ht="152" x14ac:dyDescent="0.2">
      <c r="A37" s="8" t="s">
        <v>295</v>
      </c>
      <c r="B37" s="8" t="s">
        <v>296</v>
      </c>
    </row>
    <row r="38" spans="1:2" ht="76" x14ac:dyDescent="0.2">
      <c r="A38" s="8" t="s">
        <v>297</v>
      </c>
      <c r="B38" s="8" t="s">
        <v>298</v>
      </c>
    </row>
  </sheetData>
  <mergeCells count="5">
    <mergeCell ref="A21:B21"/>
    <mergeCell ref="A14:B14"/>
    <mergeCell ref="A9:B9"/>
    <mergeCell ref="A1:C1"/>
    <mergeCell ref="A2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BD43-BF60-C941-AEEF-F83913267827}">
  <dimension ref="A1:I51"/>
  <sheetViews>
    <sheetView zoomScale="66" workbookViewId="0">
      <selection activeCell="M26" sqref="M26"/>
    </sheetView>
  </sheetViews>
  <sheetFormatPr baseColWidth="10" defaultRowHeight="18" x14ac:dyDescent="0.2"/>
  <cols>
    <col min="1" max="1" width="16.5" style="3" customWidth="1"/>
    <col min="2" max="2" width="11.6640625" style="3" customWidth="1"/>
    <col min="3" max="3" width="12" style="3" customWidth="1"/>
    <col min="4" max="7" width="10.83203125" style="3"/>
    <col min="8" max="8" width="38" style="3" customWidth="1"/>
    <col min="9" max="9" width="91.33203125" style="3" customWidth="1"/>
    <col min="10" max="16384" width="10.83203125" style="3"/>
  </cols>
  <sheetData>
    <row r="1" spans="1:9" x14ac:dyDescent="0.2">
      <c r="A1" s="21" t="s">
        <v>315</v>
      </c>
      <c r="B1" s="21"/>
      <c r="C1" s="21"/>
      <c r="D1" s="21"/>
      <c r="E1" s="21"/>
      <c r="F1" s="21"/>
    </row>
    <row r="2" spans="1:9" x14ac:dyDescent="0.2">
      <c r="A2" s="2" t="s">
        <v>1</v>
      </c>
      <c r="B2" s="2">
        <v>5</v>
      </c>
      <c r="I2"/>
    </row>
    <row r="3" spans="1:9" x14ac:dyDescent="0.2">
      <c r="A3" s="2" t="s">
        <v>4</v>
      </c>
      <c r="B3" s="2">
        <v>10</v>
      </c>
    </row>
    <row r="5" spans="1:9" x14ac:dyDescent="0.2">
      <c r="A5" s="2" t="s">
        <v>249</v>
      </c>
      <c r="B5" s="2" t="s">
        <v>316</v>
      </c>
      <c r="C5" s="2" t="s">
        <v>8</v>
      </c>
      <c r="D5" s="2" t="s">
        <v>257</v>
      </c>
      <c r="E5" s="2" t="s">
        <v>317</v>
      </c>
      <c r="F5" s="2" t="s">
        <v>6</v>
      </c>
    </row>
    <row r="6" spans="1:9" x14ac:dyDescent="0.2">
      <c r="A6" s="2">
        <v>10000</v>
      </c>
      <c r="B6" s="2">
        <v>4.1580000000000004</v>
      </c>
      <c r="C6" s="2">
        <v>0.58799999999999997</v>
      </c>
      <c r="D6" s="2">
        <f t="shared" ref="D6:D15" si="0">IF(C6="",NA(),($B$2-C6)/A6*1000)</f>
        <v>0.44119999999999998</v>
      </c>
      <c r="E6" s="2">
        <f t="shared" ref="E6:E15" si="1">IF(B6="",NA(),($B$2-B6)/$B$3*1000)</f>
        <v>84.199999999999974</v>
      </c>
      <c r="F6" s="2">
        <f t="shared" ref="F6:F15" si="2">E6/D6</f>
        <v>190.84315503173158</v>
      </c>
    </row>
    <row r="7" spans="1:9" x14ac:dyDescent="0.2">
      <c r="A7" s="2">
        <v>4700</v>
      </c>
      <c r="B7" s="2">
        <v>3.129</v>
      </c>
      <c r="C7" s="2">
        <v>0.61899999999999999</v>
      </c>
      <c r="D7" s="2">
        <f t="shared" si="0"/>
        <v>0.93212765957446808</v>
      </c>
      <c r="E7" s="2">
        <f t="shared" si="1"/>
        <v>187.1</v>
      </c>
      <c r="F7" s="2">
        <f t="shared" si="2"/>
        <v>200.7235790915316</v>
      </c>
    </row>
    <row r="8" spans="1:9" x14ac:dyDescent="0.2">
      <c r="A8" s="2">
        <v>2200</v>
      </c>
      <c r="B8" s="2">
        <v>1.4450000000000001</v>
      </c>
      <c r="C8" s="2">
        <v>0.65200000000000002</v>
      </c>
      <c r="D8" s="2">
        <f t="shared" si="0"/>
        <v>1.9763636363636363</v>
      </c>
      <c r="E8" s="2">
        <f t="shared" si="1"/>
        <v>355.5</v>
      </c>
      <c r="F8" s="2">
        <f t="shared" si="2"/>
        <v>179.87580496780129</v>
      </c>
    </row>
    <row r="9" spans="1:9" x14ac:dyDescent="0.2">
      <c r="A9" s="2">
        <v>1500</v>
      </c>
      <c r="B9" s="2">
        <v>0.46600000000000003</v>
      </c>
      <c r="C9" s="2">
        <v>0.67600000000000005</v>
      </c>
      <c r="D9" s="2">
        <f t="shared" si="0"/>
        <v>2.8826666666666667</v>
      </c>
      <c r="E9" s="2">
        <f t="shared" si="1"/>
        <v>453.4</v>
      </c>
      <c r="F9" s="2">
        <f t="shared" si="2"/>
        <v>157.28492136910268</v>
      </c>
    </row>
    <row r="10" spans="1:9" x14ac:dyDescent="0.2">
      <c r="A10" s="2">
        <v>1000</v>
      </c>
      <c r="B10" s="2">
        <v>0.19800000000000001</v>
      </c>
      <c r="C10" s="2">
        <v>0.69399999999999995</v>
      </c>
      <c r="D10" s="2">
        <f t="shared" si="0"/>
        <v>4.306</v>
      </c>
      <c r="E10" s="2">
        <f t="shared" si="1"/>
        <v>480.19999999999993</v>
      </c>
      <c r="F10" s="2">
        <f t="shared" si="2"/>
        <v>111.51881096144912</v>
      </c>
    </row>
    <row r="11" spans="1:9" x14ac:dyDescent="0.2">
      <c r="A11" s="2">
        <v>680</v>
      </c>
      <c r="B11" s="2">
        <v>0.13900000000000001</v>
      </c>
      <c r="C11" s="2">
        <v>0.70499999999999996</v>
      </c>
      <c r="D11" s="2">
        <f t="shared" si="0"/>
        <v>6.3161764705882346</v>
      </c>
      <c r="E11" s="2">
        <f t="shared" si="1"/>
        <v>486.09999999999997</v>
      </c>
      <c r="F11" s="2">
        <f t="shared" si="2"/>
        <v>76.961117578579746</v>
      </c>
    </row>
    <row r="12" spans="1:9" x14ac:dyDescent="0.2">
      <c r="A12" s="2">
        <v>470</v>
      </c>
      <c r="B12" s="2">
        <v>0.112</v>
      </c>
      <c r="C12" s="2">
        <v>0.71499999999999997</v>
      </c>
      <c r="D12" s="2">
        <f t="shared" si="0"/>
        <v>9.1170212765957466</v>
      </c>
      <c r="E12" s="2">
        <f t="shared" si="1"/>
        <v>488.8</v>
      </c>
      <c r="F12" s="2">
        <f t="shared" si="2"/>
        <v>53.614002333722276</v>
      </c>
    </row>
    <row r="13" spans="1:9" x14ac:dyDescent="0.2">
      <c r="A13" s="2">
        <v>330</v>
      </c>
      <c r="B13" s="2">
        <v>9.6000000000000002E-2</v>
      </c>
      <c r="C13" s="2">
        <v>0.72399999999999998</v>
      </c>
      <c r="D13" s="2">
        <f t="shared" si="0"/>
        <v>12.957575757575757</v>
      </c>
      <c r="E13" s="2">
        <f t="shared" si="1"/>
        <v>490.4</v>
      </c>
      <c r="F13" s="2">
        <f t="shared" si="2"/>
        <v>37.846585594013099</v>
      </c>
    </row>
    <row r="14" spans="1:9" x14ac:dyDescent="0.2">
      <c r="A14" s="2">
        <v>220</v>
      </c>
      <c r="B14" s="2">
        <v>8.1000000000000003E-2</v>
      </c>
      <c r="C14" s="2">
        <v>0.753</v>
      </c>
      <c r="D14" s="2">
        <f t="shared" si="0"/>
        <v>19.304545454545451</v>
      </c>
      <c r="E14" s="2">
        <f t="shared" si="1"/>
        <v>491.89999999999992</v>
      </c>
      <c r="F14" s="2">
        <f t="shared" si="2"/>
        <v>25.481045443842714</v>
      </c>
    </row>
    <row r="15" spans="1:9" x14ac:dyDescent="0.2">
      <c r="A15" s="2">
        <v>150</v>
      </c>
      <c r="B15" s="2">
        <v>7.2999999999999995E-2</v>
      </c>
      <c r="C15" s="2">
        <v>0.745</v>
      </c>
      <c r="D15" s="2">
        <f t="shared" si="0"/>
        <v>28.366666666666664</v>
      </c>
      <c r="E15" s="2">
        <f t="shared" si="1"/>
        <v>492.7</v>
      </c>
      <c r="F15" s="2">
        <f t="shared" si="2"/>
        <v>17.368977673325499</v>
      </c>
    </row>
    <row r="31" spans="8:9" ht="19" x14ac:dyDescent="0.2">
      <c r="H31" s="8" t="s">
        <v>49</v>
      </c>
      <c r="I31" s="8" t="s">
        <v>50</v>
      </c>
    </row>
    <row r="32" spans="8:9" ht="38" x14ac:dyDescent="0.2">
      <c r="H32" s="8" t="s">
        <v>318</v>
      </c>
      <c r="I32" s="8" t="s">
        <v>319</v>
      </c>
    </row>
    <row r="33" spans="8:9" ht="38" x14ac:dyDescent="0.2">
      <c r="H33" s="8" t="s">
        <v>320</v>
      </c>
      <c r="I33" s="8" t="s">
        <v>321</v>
      </c>
    </row>
    <row r="34" spans="8:9" ht="19" x14ac:dyDescent="0.2">
      <c r="H34" s="8" t="s">
        <v>277</v>
      </c>
      <c r="I34" s="8" t="s">
        <v>322</v>
      </c>
    </row>
    <row r="35" spans="8:9" ht="38" x14ac:dyDescent="0.2">
      <c r="H35" s="8" t="s">
        <v>323</v>
      </c>
      <c r="I35" s="8" t="s">
        <v>324</v>
      </c>
    </row>
    <row r="36" spans="8:9" ht="38" x14ac:dyDescent="0.2">
      <c r="H36" s="8" t="s">
        <v>325</v>
      </c>
      <c r="I36" s="8" t="s">
        <v>326</v>
      </c>
    </row>
    <row r="37" spans="8:9" ht="19" x14ac:dyDescent="0.2">
      <c r="H37" s="8" t="s">
        <v>327</v>
      </c>
      <c r="I37" s="8" t="s">
        <v>338</v>
      </c>
    </row>
    <row r="38" spans="8:9" ht="57" x14ac:dyDescent="0.2">
      <c r="H38" s="8" t="s">
        <v>328</v>
      </c>
      <c r="I38" s="8" t="s">
        <v>329</v>
      </c>
    </row>
    <row r="39" spans="8:9" ht="57" x14ac:dyDescent="0.2">
      <c r="H39" s="8" t="s">
        <v>330</v>
      </c>
      <c r="I39" s="8" t="s">
        <v>331</v>
      </c>
    </row>
    <row r="40" spans="8:9" ht="38" x14ac:dyDescent="0.2">
      <c r="H40" s="8" t="s">
        <v>332</v>
      </c>
      <c r="I40" s="8" t="s">
        <v>333</v>
      </c>
    </row>
    <row r="41" spans="8:9" ht="38" x14ac:dyDescent="0.2">
      <c r="H41" s="8" t="s">
        <v>334</v>
      </c>
      <c r="I41" s="8" t="s">
        <v>335</v>
      </c>
    </row>
    <row r="42" spans="8:9" ht="38" x14ac:dyDescent="0.2">
      <c r="H42" s="8" t="s">
        <v>336</v>
      </c>
      <c r="I42" s="8" t="s">
        <v>337</v>
      </c>
    </row>
    <row r="44" spans="8:9" x14ac:dyDescent="0.2">
      <c r="H44" s="19" t="s">
        <v>382</v>
      </c>
      <c r="I44" s="19"/>
    </row>
    <row r="45" spans="8:9" x14ac:dyDescent="0.2">
      <c r="H45" s="19"/>
      <c r="I45" s="19"/>
    </row>
    <row r="46" spans="8:9" x14ac:dyDescent="0.2">
      <c r="H46" s="19"/>
      <c r="I46" s="19"/>
    </row>
    <row r="47" spans="8:9" x14ac:dyDescent="0.2">
      <c r="H47" s="19"/>
      <c r="I47" s="19"/>
    </row>
    <row r="48" spans="8:9" x14ac:dyDescent="0.2">
      <c r="H48" s="19"/>
      <c r="I48" s="19"/>
    </row>
    <row r="49" spans="8:9" x14ac:dyDescent="0.2">
      <c r="H49" s="19"/>
      <c r="I49" s="19"/>
    </row>
    <row r="50" spans="8:9" x14ac:dyDescent="0.2">
      <c r="H50" s="19"/>
      <c r="I50" s="19"/>
    </row>
    <row r="51" spans="8:9" x14ac:dyDescent="0.2">
      <c r="H51" s="19"/>
      <c r="I51" s="19"/>
    </row>
  </sheetData>
  <mergeCells count="2">
    <mergeCell ref="A1:F1"/>
    <mergeCell ref="H44:I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D34-30C3-F046-9056-F5B70DA2D378}">
  <dimension ref="A1:N27"/>
  <sheetViews>
    <sheetView tabSelected="1" topLeftCell="A18" zoomScale="87" zoomScaleNormal="266" workbookViewId="0">
      <selection activeCell="M42" sqref="M42"/>
    </sheetView>
  </sheetViews>
  <sheetFormatPr baseColWidth="10" defaultRowHeight="16" x14ac:dyDescent="0.2"/>
  <cols>
    <col min="1" max="1" width="31.6640625" customWidth="1"/>
    <col min="7" max="7" width="10.83203125" customWidth="1"/>
    <col min="12" max="12" width="44" customWidth="1"/>
    <col min="13" max="13" width="63.5" customWidth="1"/>
  </cols>
  <sheetData>
    <row r="1" spans="1:4" x14ac:dyDescent="0.2">
      <c r="A1" s="22" t="s">
        <v>339</v>
      </c>
      <c r="B1" s="22"/>
      <c r="C1" s="22"/>
      <c r="D1" s="22"/>
    </row>
    <row r="2" spans="1:4" x14ac:dyDescent="0.2">
      <c r="A2" s="23" t="s">
        <v>247</v>
      </c>
      <c r="B2" s="23"/>
    </row>
    <row r="3" spans="1:4" x14ac:dyDescent="0.2">
      <c r="A3" s="1" t="s">
        <v>340</v>
      </c>
      <c r="B3" s="1">
        <v>1.5</v>
      </c>
      <c r="C3" t="s">
        <v>341</v>
      </c>
    </row>
    <row r="4" spans="1:4" x14ac:dyDescent="0.2">
      <c r="A4" s="1" t="s">
        <v>342</v>
      </c>
      <c r="B4" s="1">
        <v>0.01</v>
      </c>
      <c r="C4" t="s">
        <v>343</v>
      </c>
    </row>
    <row r="5" spans="1:4" x14ac:dyDescent="0.2">
      <c r="A5" s="1" t="s">
        <v>249</v>
      </c>
      <c r="B5" s="1">
        <f>997</f>
        <v>997</v>
      </c>
      <c r="C5" t="s">
        <v>344</v>
      </c>
    </row>
    <row r="6" spans="1:4" x14ac:dyDescent="0.2">
      <c r="A6" s="1" t="s">
        <v>345</v>
      </c>
      <c r="B6" s="1">
        <v>5</v>
      </c>
      <c r="C6" t="s">
        <v>346</v>
      </c>
    </row>
    <row r="7" spans="1:4" x14ac:dyDescent="0.2">
      <c r="A7" s="1" t="s">
        <v>8</v>
      </c>
      <c r="B7" s="1">
        <v>0.7</v>
      </c>
    </row>
    <row r="9" spans="1:4" x14ac:dyDescent="0.2">
      <c r="A9" s="23" t="s">
        <v>256</v>
      </c>
      <c r="B9" s="23"/>
    </row>
    <row r="10" spans="1:4" x14ac:dyDescent="0.2">
      <c r="A10" s="1" t="s">
        <v>347</v>
      </c>
      <c r="B10" s="1">
        <f>(B6-B7)/B5*1000</f>
        <v>4.3129388164493481</v>
      </c>
      <c r="C10" t="s">
        <v>348</v>
      </c>
    </row>
    <row r="11" spans="1:4" x14ac:dyDescent="0.2">
      <c r="A11" s="1" t="s">
        <v>349</v>
      </c>
      <c r="B11" s="1">
        <f>B3+0.7</f>
        <v>2.2000000000000002</v>
      </c>
      <c r="C11" t="s">
        <v>350</v>
      </c>
    </row>
    <row r="13" spans="1:4" x14ac:dyDescent="0.2">
      <c r="A13" s="23" t="s">
        <v>262</v>
      </c>
      <c r="B13" s="23"/>
    </row>
    <row r="14" spans="1:4" x14ac:dyDescent="0.2">
      <c r="A14" s="1" t="s">
        <v>351</v>
      </c>
      <c r="B14" s="1">
        <v>102.1</v>
      </c>
      <c r="C14" t="s">
        <v>352</v>
      </c>
    </row>
    <row r="15" spans="1:4" x14ac:dyDescent="0.2">
      <c r="A15" s="1" t="s">
        <v>353</v>
      </c>
      <c r="B15" s="1">
        <v>24.9</v>
      </c>
      <c r="C15" t="s">
        <v>354</v>
      </c>
    </row>
    <row r="16" spans="1:4" x14ac:dyDescent="0.2">
      <c r="A16" s="24" t="s">
        <v>355</v>
      </c>
      <c r="B16" s="24"/>
      <c r="C16" s="25" t="s">
        <v>356</v>
      </c>
      <c r="D16" s="25"/>
    </row>
    <row r="17" spans="1:14" x14ac:dyDescent="0.2">
      <c r="A17" s="24" t="s">
        <v>357</v>
      </c>
      <c r="B17" s="24"/>
      <c r="C17" s="25" t="s">
        <v>358</v>
      </c>
      <c r="D17" s="25"/>
    </row>
    <row r="18" spans="1:14" ht="17" x14ac:dyDescent="0.2">
      <c r="L18" s="9" t="s">
        <v>49</v>
      </c>
      <c r="M18" s="9" t="s">
        <v>50</v>
      </c>
      <c r="N18" s="9"/>
    </row>
    <row r="19" spans="1:14" ht="51" x14ac:dyDescent="0.2">
      <c r="L19" s="9" t="s">
        <v>318</v>
      </c>
      <c r="M19" s="9" t="s">
        <v>359</v>
      </c>
      <c r="N19" s="9"/>
    </row>
    <row r="20" spans="1:14" ht="68" x14ac:dyDescent="0.2">
      <c r="L20" s="9" t="s">
        <v>360</v>
      </c>
      <c r="M20" s="9" t="s">
        <v>361</v>
      </c>
      <c r="N20" s="9"/>
    </row>
    <row r="21" spans="1:14" ht="34" x14ac:dyDescent="0.2">
      <c r="L21" s="9" t="s">
        <v>362</v>
      </c>
      <c r="M21" s="9" t="s">
        <v>363</v>
      </c>
      <c r="N21" s="9"/>
    </row>
    <row r="22" spans="1:14" ht="51" x14ac:dyDescent="0.2">
      <c r="L22" s="9" t="s">
        <v>364</v>
      </c>
      <c r="M22" s="9" t="s">
        <v>365</v>
      </c>
      <c r="N22" s="9"/>
    </row>
    <row r="23" spans="1:14" ht="34" x14ac:dyDescent="0.2">
      <c r="L23" s="9" t="s">
        <v>366</v>
      </c>
      <c r="M23" s="9" t="s">
        <v>367</v>
      </c>
      <c r="N23" s="9"/>
    </row>
    <row r="24" spans="1:14" ht="51" x14ac:dyDescent="0.2">
      <c r="L24" s="9" t="s">
        <v>368</v>
      </c>
      <c r="M24" s="9" t="s">
        <v>369</v>
      </c>
      <c r="N24" s="9"/>
    </row>
    <row r="25" spans="1:14" ht="51" x14ac:dyDescent="0.2">
      <c r="L25" s="9" t="s">
        <v>370</v>
      </c>
      <c r="M25" s="9" t="s">
        <v>371</v>
      </c>
      <c r="N25" s="9"/>
    </row>
    <row r="26" spans="1:14" ht="34" x14ac:dyDescent="0.2">
      <c r="L26" s="9" t="s">
        <v>372</v>
      </c>
      <c r="M26" s="9" t="s">
        <v>373</v>
      </c>
      <c r="N26" s="9"/>
    </row>
    <row r="27" spans="1:14" ht="51" x14ac:dyDescent="0.2">
      <c r="L27" s="9" t="s">
        <v>374</v>
      </c>
      <c r="M27" s="9" t="s">
        <v>375</v>
      </c>
      <c r="N27" s="9"/>
    </row>
  </sheetData>
  <mergeCells count="4">
    <mergeCell ref="A1:D1"/>
    <mergeCell ref="A2:B2"/>
    <mergeCell ref="A9:B9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4L.5 common-emitter</vt:lpstr>
      <vt:lpstr>4L.5.1 common emitter gain</vt:lpstr>
      <vt:lpstr>4L.6 transistor switch</vt:lpstr>
      <vt:lpstr>4L.6.1 transistor switch sat</vt:lpstr>
      <vt:lpstr>4L.6.2 transistor switch induct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Gichuru</dc:creator>
  <cp:lastModifiedBy>Darius Gichuru</cp:lastModifiedBy>
  <dcterms:created xsi:type="dcterms:W3CDTF">2026-09-30T00:05:14Z</dcterms:created>
  <dcterms:modified xsi:type="dcterms:W3CDTF">2026-10-03T02:50:03Z</dcterms:modified>
</cp:coreProperties>
</file>