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us/Desktop/School/fall2026/fall-2026-courses/phys485/lab6/"/>
    </mc:Choice>
  </mc:AlternateContent>
  <xr:revisionPtr revIDLastSave="0" documentId="13_ncr:1_{911943FE-1321-9E4F-80CC-D581CCC34437}" xr6:coauthVersionLast="47" xr6:coauthVersionMax="47" xr10:uidLastSave="{00000000-0000-0000-0000-000000000000}"/>
  <bookViews>
    <workbookView xWindow="520" yWindow="660" windowWidth="28880" windowHeight="16880" activeTab="3" xr2:uid="{52AD915D-8C63-3549-A30C-8C8084733D2E}"/>
  </bookViews>
  <sheets>
    <sheet name="5L.1 diff or diff amp" sheetId="1" r:id="rId1"/>
    <sheet name="5L.1.1 transistor array" sheetId="2" r:id="rId2"/>
    <sheet name="5L.1.4 func gen that cant float" sheetId="5" r:id="rId3"/>
    <sheet name="5L.1.5 mediocre diff amp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D5" i="6"/>
  <c r="C3" i="6"/>
  <c r="E3" i="6" s="1"/>
  <c r="E2" i="6"/>
  <c r="E5" i="6"/>
  <c r="G2" i="5"/>
  <c r="H2" i="5"/>
  <c r="G3" i="5"/>
  <c r="E6" i="1"/>
  <c r="E7" i="1"/>
  <c r="B2" i="1"/>
  <c r="B3" i="1" s="1"/>
  <c r="E6" i="6" l="1"/>
  <c r="E7" i="6" s="1"/>
  <c r="E4" i="6"/>
  <c r="E8" i="1"/>
  <c r="E9" i="1" s="1"/>
  <c r="B4" i="1"/>
  <c r="B5" i="1"/>
  <c r="B6" i="1" l="1"/>
  <c r="B7" i="1"/>
  <c r="B8" i="1" l="1"/>
  <c r="B9" i="1" s="1"/>
</calcChain>
</file>

<file path=xl/sharedStrings.xml><?xml version="1.0" encoding="utf-8"?>
<sst xmlns="http://schemas.openxmlformats.org/spreadsheetml/2006/main" count="89" uniqueCount="76">
  <si>
    <t>Quantity</t>
  </si>
  <si>
    <t>Notes</t>
  </si>
  <si>
    <t>CMRR</t>
  </si>
  <si>
    <t>CMRR (dB)</t>
  </si>
  <si>
    <t>Predicted</t>
  </si>
  <si>
    <t>Vin (p-p)</t>
  </si>
  <si>
    <t>Vout (p-p)</t>
  </si>
  <si>
    <t>Measured</t>
  </si>
  <si>
    <t>I_tail (mA)</t>
  </si>
  <si>
    <t>I_C each (mA)</t>
  </si>
  <si>
    <t>r_e (ohm)</t>
  </si>
  <si>
    <t>Vout DC, pin 6 (V)</t>
  </si>
  <si>
    <t>G_diff (IN_B grounded)</t>
  </si>
  <si>
    <t>G_CM (A &amp; B tied, inverted)</t>
  </si>
  <si>
    <t>Pin</t>
  </si>
  <si>
    <t>Transistor / terminal</t>
  </si>
  <si>
    <t>Connect to</t>
  </si>
  <si>
    <t>Q1 base</t>
  </si>
  <si>
    <t>IN_A — leave open for now</t>
  </si>
  <si>
    <t>Q1 emitter</t>
  </si>
  <si>
    <t>100 Ω → tail node</t>
  </si>
  <si>
    <t>Q1 collector</t>
  </si>
  <si>
    <t>+15 V</t>
  </si>
  <si>
    <t>Q2 emitter</t>
  </si>
  <si>
    <t>Q2 base</t>
  </si>
  <si>
    <t>IN_B — leave open for now</t>
  </si>
  <si>
    <t>Q2 collector</t>
  </si>
  <si>
    <t>10k → +15 V (output tap)</t>
  </si>
  <si>
    <t>tail node</t>
  </si>
  <si>
    <t>both 100 Ω meet</t>
  </si>
  <si>
    <t>10k → −15 V</t>
  </si>
  <si>
    <t>substrate</t>
  </si>
  <si>
    <t>−15 V (marked NC on HFA3096, harmless either way)</t>
  </si>
  <si>
    <t>7–15</t>
  </si>
  <si>
    <t>Q3, Q4, Q5</t>
  </si>
  <si>
    <t>unused, leave open</t>
  </si>
  <si>
    <t>—</t>
  </si>
  <si>
    <t>bypass caps</t>
  </si>
  <si>
    <t>0.1 µF +15→GND, 0.1 µF −15→GND</t>
  </si>
  <si>
    <t>Why careful placing IC?</t>
  </si>
  <si>
    <t>Must straddle the trench, or pins on opposite sides get shorted through the same row. Also check notch/dot = pin 1, or every pin is mirrored.</t>
  </si>
  <si>
    <t>Status</t>
  </si>
  <si>
    <t>Built, not yet connected to IN_A/IN_B</t>
  </si>
  <si>
    <t>Test</t>
  </si>
  <si>
    <t>Setup</t>
  </si>
  <si>
    <t>V_A (p-p)</t>
  </si>
  <si>
    <t>V_B (p-p)</t>
  </si>
  <si>
    <t>A vs B phase</t>
  </si>
  <si>
    <t>Measured gain</t>
  </si>
  <si>
    <t>Expected</t>
  </si>
  <si>
    <t>Differential</t>
  </si>
  <si>
    <t>180°</t>
  </si>
  <si>
    <t>Common mode</t>
  </si>
  <si>
    <t>Ext gen off; scope gen → 100 Ω → center tap</t>
  </si>
  <si>
    <t>0° (in phase)</t>
  </si>
  <si>
    <t>Both on</t>
  </si>
  <si>
    <t>Photo</t>
  </si>
  <si>
    <t>Ext gen on primary; center tap grounded; CM gen off</t>
  </si>
  <si>
    <t>like Fig 5L.8 left</t>
  </si>
  <si>
    <t>like Fig 5L.8 right</t>
  </si>
  <si>
    <t>Both gens 1 kHz, similar amplitude; adjust each separately</t>
  </si>
  <si>
    <t>photo of each adjustment</t>
  </si>
  <si>
    <t>Tail</t>
  </si>
  <si>
    <t>Vin pin 1 (p-p)</t>
  </si>
  <si>
    <t>Vout pin 6 (p-p)</t>
  </si>
  <si>
    <t>10k</t>
  </si>
  <si>
    <t>G_CM (ext gen off)</t>
  </si>
  <si>
    <t>output 180° vs input</t>
  </si>
  <si>
    <t>G_diff (CT grounded)</t>
  </si>
  <si>
    <t>pin 1 = half the difference</t>
  </si>
  <si>
    <t>JFET E-152</t>
  </si>
  <si>
    <t>G_CM (ext gen off, up to 10 V)</t>
  </si>
  <si>
    <t>Observations</t>
  </si>
  <si>
    <t>Dialing CM up with both gens on (10k tail):</t>
  </si>
  <si>
    <t>Dialing CM up with both gens on (JFET tail):</t>
  </si>
  <si>
    <t>Swapping resistor ↔ diode: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</si>
</sst>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6"/>
      <color rgb="FFF0EFEC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63500</xdr:colOff>
      <xdr:row>0</xdr:row>
      <xdr:rowOff>0</xdr:rowOff>
    </xdr:from>
    <xdr:to>
      <xdr:col>15</xdr:col>
      <xdr:colOff>596900</xdr:colOff>
      <xdr:row>32</xdr:row>
      <xdr:rowOff>146287</xdr:rowOff>
    </xdr:to>
    <xdr:pic>
      <xdr:nvPicPr>
        <xdr:cNvPr id="5" name="Picture 4" descr="Screenshot">
          <a:extLst>
            <a:ext uri="{FF2B5EF4-FFF2-40B4-BE49-F238E27FC236}">
              <a16:creationId xmlns:a16="http://schemas.microsoft.com/office/drawing/2014/main" id="{71DA469D-C5B1-CD84-7C20-9194C47AE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53200" y="0"/>
          <a:ext cx="7962900" cy="6775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8466</xdr:colOff>
      <xdr:row>15</xdr:row>
      <xdr:rowOff>16933</xdr:rowOff>
    </xdr:from>
    <xdr:to>
      <xdr:col>5</xdr:col>
      <xdr:colOff>596900</xdr:colOff>
      <xdr:row>42</xdr:row>
      <xdr:rowOff>143933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555654-8F38-508D-2A6E-E88DDE07B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39533" y="3200400"/>
          <a:ext cx="3238500" cy="561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3962400</xdr:colOff>
      <xdr:row>0</xdr:row>
      <xdr:rowOff>190500</xdr:rowOff>
    </xdr:from>
    <xdr:to>
      <xdr:col>10</xdr:col>
      <xdr:colOff>266700</xdr:colOff>
      <xdr:row>36</xdr:row>
      <xdr:rowOff>34147</xdr:rowOff>
    </xdr:to>
    <xdr:pic>
      <xdr:nvPicPr>
        <xdr:cNvPr id="2" name="Picture 1" descr="Screenshot">
          <a:extLst>
            <a:ext uri="{FF2B5EF4-FFF2-40B4-BE49-F238E27FC236}">
              <a16:creationId xmlns:a16="http://schemas.microsoft.com/office/drawing/2014/main" id="{FEE7DCEF-5643-EC9B-59DF-341F3CC5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75300" y="190500"/>
          <a:ext cx="9893300" cy="7527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5</xdr:col>
      <xdr:colOff>435171</xdr:colOff>
      <xdr:row>27</xdr:row>
      <xdr:rowOff>13676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CC5A2-6904-B2C7-271A-803E28E7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016000"/>
          <a:ext cx="7772400" cy="4484076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8</xdr:row>
      <xdr:rowOff>12700</xdr:rowOff>
    </xdr:from>
    <xdr:to>
      <xdr:col>14</xdr:col>
      <xdr:colOff>228601</xdr:colOff>
      <xdr:row>30</xdr:row>
      <xdr:rowOff>26376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2377AA-CC04-7AE2-5883-4E737EE2E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899400" y="1638300"/>
          <a:ext cx="7772400" cy="448407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28</xdr:row>
      <xdr:rowOff>76200</xdr:rowOff>
    </xdr:from>
    <xdr:to>
      <xdr:col>5</xdr:col>
      <xdr:colOff>511371</xdr:colOff>
      <xdr:row>50</xdr:row>
      <xdr:rowOff>89876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DE1A92-9367-CB81-D9CF-D2723A704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6200" y="5765800"/>
          <a:ext cx="7772400" cy="4484076"/>
        </a:xfrm>
        <a:prstGeom prst="rect">
          <a:avLst/>
        </a:prstGeom>
      </xdr:spPr>
    </xdr:pic>
    <xdr:clientData/>
  </xdr:twoCellAnchor>
  <xdr:twoCellAnchor editAs="oneCell">
    <xdr:from>
      <xdr:col>0</xdr:col>
      <xdr:colOff>112389</xdr:colOff>
      <xdr:row>53</xdr:row>
      <xdr:rowOff>33717</xdr:rowOff>
    </xdr:from>
    <xdr:to>
      <xdr:col>5</xdr:col>
      <xdr:colOff>557001</xdr:colOff>
      <xdr:row>80</xdr:row>
      <xdr:rowOff>110818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D4B086-12F4-6DB8-AABE-B77A373D1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89" y="10755664"/>
          <a:ext cx="7772400" cy="5539225"/>
        </a:xfrm>
        <a:prstGeom prst="rect">
          <a:avLst/>
        </a:prstGeom>
      </xdr:spPr>
    </xdr:pic>
    <xdr:clientData/>
  </xdr:twoCellAnchor>
  <xdr:twoCellAnchor editAs="oneCell">
    <xdr:from>
      <xdr:col>0</xdr:col>
      <xdr:colOff>67433</xdr:colOff>
      <xdr:row>81</xdr:row>
      <xdr:rowOff>89911</xdr:rowOff>
    </xdr:from>
    <xdr:to>
      <xdr:col>5</xdr:col>
      <xdr:colOff>512045</xdr:colOff>
      <xdr:row>108</xdr:row>
      <xdr:rowOff>123751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5123C9-D1EA-E39E-2824-3C6A8A453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433" y="16476283"/>
          <a:ext cx="7772400" cy="5495964"/>
        </a:xfrm>
        <a:prstGeom prst="rect">
          <a:avLst/>
        </a:prstGeom>
      </xdr:spPr>
    </xdr:pic>
    <xdr:clientData/>
  </xdr:twoCellAnchor>
  <xdr:twoCellAnchor editAs="oneCell">
    <xdr:from>
      <xdr:col>0</xdr:col>
      <xdr:colOff>404601</xdr:colOff>
      <xdr:row>109</xdr:row>
      <xdr:rowOff>134867</xdr:rowOff>
    </xdr:from>
    <xdr:to>
      <xdr:col>6</xdr:col>
      <xdr:colOff>28771</xdr:colOff>
      <xdr:row>137</xdr:row>
      <xdr:rowOff>108408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C9950D-FA01-F7BE-0813-F2CEDC00D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4601" y="22185663"/>
          <a:ext cx="7772400" cy="56379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223520</xdr:colOff>
      <xdr:row>11</xdr:row>
      <xdr:rowOff>50800</xdr:rowOff>
    </xdr:from>
    <xdr:to>
      <xdr:col>6</xdr:col>
      <xdr:colOff>1361440</xdr:colOff>
      <xdr:row>28</xdr:row>
      <xdr:rowOff>109950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EA4752-CC84-0837-3679-0174897D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520" y="2286000"/>
          <a:ext cx="7772400" cy="351355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11</xdr:row>
      <xdr:rowOff>60960</xdr:rowOff>
    </xdr:from>
    <xdr:to>
      <xdr:col>16</xdr:col>
      <xdr:colOff>670560</xdr:colOff>
      <xdr:row>28</xdr:row>
      <xdr:rowOff>120110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8800CC-6B64-4303-D028-E71D64E77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5040" y="2296160"/>
          <a:ext cx="7772400" cy="3513550"/>
        </a:xfrm>
        <a:prstGeom prst="rect">
          <a:avLst/>
        </a:prstGeom>
      </xdr:spPr>
    </xdr:pic>
    <xdr:clientData/>
  </xdr:twoCellAnchor>
  <xdr:twoCellAnchor editAs="oneCell">
    <xdr:from>
      <xdr:col>17</xdr:col>
      <xdr:colOff>223520</xdr:colOff>
      <xdr:row>11</xdr:row>
      <xdr:rowOff>121920</xdr:rowOff>
    </xdr:from>
    <xdr:to>
      <xdr:col>26</xdr:col>
      <xdr:colOff>589280</xdr:colOff>
      <xdr:row>28</xdr:row>
      <xdr:rowOff>181070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EB97D3-C452-E1B6-34B3-D3A420AF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23360" y="2357120"/>
          <a:ext cx="7772400" cy="3513550"/>
        </a:xfrm>
        <a:prstGeom prst="rect">
          <a:avLst/>
        </a:prstGeom>
      </xdr:spPr>
    </xdr:pic>
    <xdr:clientData/>
  </xdr:twoCellAnchor>
  <xdr:twoCellAnchor editAs="oneCell">
    <xdr:from>
      <xdr:col>0</xdr:col>
      <xdr:colOff>233680</xdr:colOff>
      <xdr:row>29</xdr:row>
      <xdr:rowOff>30480</xdr:rowOff>
    </xdr:from>
    <xdr:to>
      <xdr:col>6</xdr:col>
      <xdr:colOff>1371600</xdr:colOff>
      <xdr:row>46</xdr:row>
      <xdr:rowOff>89630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2F18F0-A0D1-5AED-44E5-352172B21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680" y="5923280"/>
          <a:ext cx="7772400" cy="35135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16</xdr:col>
      <xdr:colOff>365760</xdr:colOff>
      <xdr:row>47</xdr:row>
      <xdr:rowOff>59150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C73F827-5771-5D94-01FC-4EAA16EC9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70240" y="6096000"/>
          <a:ext cx="7772400" cy="3513550"/>
        </a:xfrm>
        <a:prstGeom prst="rect">
          <a:avLst/>
        </a:prstGeom>
      </xdr:spPr>
    </xdr:pic>
    <xdr:clientData/>
  </xdr:twoCellAnchor>
  <xdr:twoCellAnchor editAs="oneCell">
    <xdr:from>
      <xdr:col>17</xdr:col>
      <xdr:colOff>121920</xdr:colOff>
      <xdr:row>29</xdr:row>
      <xdr:rowOff>111760</xdr:rowOff>
    </xdr:from>
    <xdr:to>
      <xdr:col>26</xdr:col>
      <xdr:colOff>487680</xdr:colOff>
      <xdr:row>46</xdr:row>
      <xdr:rowOff>170910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E7F75F3-4BF1-4679-66CF-6F4967906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21760" y="6004560"/>
          <a:ext cx="7772400" cy="351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7C62-9959-EE47-B839-7670995832C1}">
  <dimension ref="A1:F10"/>
  <sheetViews>
    <sheetView topLeftCell="D1" zoomScale="150" zoomScaleNormal="100" workbookViewId="0">
      <selection activeCell="C6" sqref="C6"/>
    </sheetView>
  </sheetViews>
  <sheetFormatPr baseColWidth="10" defaultRowHeight="16" x14ac:dyDescent="0.2"/>
  <cols>
    <col min="1" max="1" width="23.1640625" customWidth="1"/>
    <col min="2" max="2" width="16.5" customWidth="1"/>
    <col min="5" max="5" width="13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6" x14ac:dyDescent="0.2">
      <c r="A2" t="s">
        <v>8</v>
      </c>
      <c r="B2">
        <f>(15-0.6)/10</f>
        <v>1.44</v>
      </c>
    </row>
    <row r="3" spans="1:6" x14ac:dyDescent="0.2">
      <c r="A3" t="s">
        <v>9</v>
      </c>
      <c r="B3">
        <f>B2/2</f>
        <v>0.72</v>
      </c>
    </row>
    <row r="4" spans="1:6" x14ac:dyDescent="0.2">
      <c r="A4" t="s">
        <v>10</v>
      </c>
      <c r="B4">
        <f>25/B3</f>
        <v>34.722222222222221</v>
      </c>
    </row>
    <row r="5" spans="1:6" x14ac:dyDescent="0.2">
      <c r="A5" t="s">
        <v>11</v>
      </c>
      <c r="B5">
        <f>15-B3*10</f>
        <v>7.8000000000000007</v>
      </c>
    </row>
    <row r="6" spans="1:6" x14ac:dyDescent="0.2">
      <c r="A6" s="3" t="s">
        <v>12</v>
      </c>
      <c r="B6" s="3">
        <f>10000/(2*(B4+100))</f>
        <v>37.113402061855666</v>
      </c>
      <c r="E6" t="str">
        <f>IFERROR(D6/C6,"enter Vin/Vout")</f>
        <v>enter Vin/Vout</v>
      </c>
    </row>
    <row r="7" spans="1:6" x14ac:dyDescent="0.2">
      <c r="A7" s="3" t="s">
        <v>13</v>
      </c>
      <c r="B7" s="3">
        <f>-10000/(2*10000+B4+100)</f>
        <v>-0.49665448023729047</v>
      </c>
      <c r="E7" t="str">
        <f>IFERROR(-D7/C7,"enter Vin/Vout")</f>
        <v>enter Vin/Vout</v>
      </c>
    </row>
    <row r="8" spans="1:6" x14ac:dyDescent="0.2">
      <c r="A8" t="s">
        <v>2</v>
      </c>
      <c r="B8">
        <f>B6/ABS(B7)</f>
        <v>74.726804123711332</v>
      </c>
      <c r="E8" t="str">
        <f>IFERROR(E6/ABS(E7),"—")</f>
        <v>—</v>
      </c>
    </row>
    <row r="9" spans="1:6" ht="21" x14ac:dyDescent="0.25">
      <c r="A9" t="s">
        <v>3</v>
      </c>
      <c r="B9">
        <f>20*LOG10(B8)</f>
        <v>37.46952817954967</v>
      </c>
      <c r="E9" t="str">
        <f>IFERROR(20*LOG10(E8),"—")</f>
        <v>—</v>
      </c>
      <c r="F9" s="1"/>
    </row>
    <row r="10" spans="1:6" ht="21" x14ac:dyDescent="0.25">
      <c r="F1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91914-5F3F-0645-A92B-B361B527292F}">
  <dimension ref="A1:C14"/>
  <sheetViews>
    <sheetView zoomScaleNormal="100" workbookViewId="0">
      <selection activeCell="B10" sqref="B10"/>
    </sheetView>
  </sheetViews>
  <sheetFormatPr baseColWidth="10" defaultRowHeight="16" x14ac:dyDescent="0.2"/>
  <cols>
    <col min="1" max="1" width="21.1640625" customWidth="1"/>
    <col min="2" max="2" width="59.6640625" customWidth="1"/>
    <col min="3" max="3" width="42.83203125" customWidth="1"/>
  </cols>
  <sheetData>
    <row r="1" spans="1:3" x14ac:dyDescent="0.2">
      <c r="A1" t="s">
        <v>14</v>
      </c>
      <c r="B1" t="s">
        <v>15</v>
      </c>
      <c r="C1" t="s">
        <v>16</v>
      </c>
    </row>
    <row r="2" spans="1:3" ht="17" x14ac:dyDescent="0.2">
      <c r="A2">
        <v>1</v>
      </c>
      <c r="B2" s="2" t="s">
        <v>17</v>
      </c>
      <c r="C2" t="s">
        <v>18</v>
      </c>
    </row>
    <row r="3" spans="1:3" ht="17" x14ac:dyDescent="0.2">
      <c r="A3">
        <v>2</v>
      </c>
      <c r="B3" s="2" t="s">
        <v>19</v>
      </c>
      <c r="C3" t="s">
        <v>20</v>
      </c>
    </row>
    <row r="4" spans="1:3" ht="17" x14ac:dyDescent="0.2">
      <c r="A4">
        <v>3</v>
      </c>
      <c r="B4" s="2" t="s">
        <v>21</v>
      </c>
      <c r="C4" t="s">
        <v>22</v>
      </c>
    </row>
    <row r="5" spans="1:3" ht="17" x14ac:dyDescent="0.2">
      <c r="A5">
        <v>4</v>
      </c>
      <c r="B5" s="2" t="s">
        <v>23</v>
      </c>
      <c r="C5" t="s">
        <v>20</v>
      </c>
    </row>
    <row r="6" spans="1:3" ht="17" x14ac:dyDescent="0.2">
      <c r="A6">
        <v>5</v>
      </c>
      <c r="B6" s="2" t="s">
        <v>24</v>
      </c>
      <c r="C6" t="s">
        <v>25</v>
      </c>
    </row>
    <row r="7" spans="1:3" ht="17" x14ac:dyDescent="0.2">
      <c r="A7">
        <v>6</v>
      </c>
      <c r="B7" s="2" t="s">
        <v>26</v>
      </c>
      <c r="C7" t="s">
        <v>27</v>
      </c>
    </row>
    <row r="8" spans="1:3" ht="17" x14ac:dyDescent="0.2">
      <c r="A8" t="s">
        <v>28</v>
      </c>
      <c r="B8" s="2" t="s">
        <v>29</v>
      </c>
      <c r="C8" t="s">
        <v>30</v>
      </c>
    </row>
    <row r="9" spans="1:3" ht="17" x14ac:dyDescent="0.2">
      <c r="A9">
        <v>16</v>
      </c>
      <c r="B9" s="2" t="s">
        <v>31</v>
      </c>
      <c r="C9" t="s">
        <v>32</v>
      </c>
    </row>
    <row r="10" spans="1:3" ht="17" x14ac:dyDescent="0.2">
      <c r="A10" t="s">
        <v>33</v>
      </c>
      <c r="B10" s="2" t="s">
        <v>34</v>
      </c>
      <c r="C10" t="s">
        <v>35</v>
      </c>
    </row>
    <row r="11" spans="1:3" ht="17" x14ac:dyDescent="0.2">
      <c r="A11" t="s">
        <v>36</v>
      </c>
      <c r="B11" s="2" t="s">
        <v>37</v>
      </c>
      <c r="C11" t="s">
        <v>38</v>
      </c>
    </row>
    <row r="12" spans="1:3" x14ac:dyDescent="0.2">
      <c r="B12" s="2"/>
    </row>
    <row r="13" spans="1:3" ht="34" x14ac:dyDescent="0.2">
      <c r="A13" t="s">
        <v>39</v>
      </c>
      <c r="B13" s="2" t="s">
        <v>40</v>
      </c>
    </row>
    <row r="14" spans="1:3" ht="17" x14ac:dyDescent="0.2">
      <c r="A14" t="s">
        <v>41</v>
      </c>
      <c r="B14" s="2" t="s">
        <v>42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A52B-256A-024C-BB11-93B10820D04E}">
  <dimension ref="A1:I4"/>
  <sheetViews>
    <sheetView topLeftCell="A89" zoomScale="113" workbookViewId="0">
      <selection activeCell="H2" sqref="H2"/>
    </sheetView>
  </sheetViews>
  <sheetFormatPr baseColWidth="10" defaultRowHeight="16" x14ac:dyDescent="0.2"/>
  <cols>
    <col min="1" max="1" width="13.83203125" customWidth="1"/>
    <col min="2" max="2" width="50" customWidth="1"/>
    <col min="7" max="7" width="21.33203125" customWidth="1"/>
  </cols>
  <sheetData>
    <row r="1" spans="1:9" x14ac:dyDescent="0.2">
      <c r="A1" t="s">
        <v>43</v>
      </c>
      <c r="B1" t="s">
        <v>44</v>
      </c>
      <c r="C1" t="s">
        <v>5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56</v>
      </c>
    </row>
    <row r="2" spans="1:9" x14ac:dyDescent="0.2">
      <c r="A2" t="s">
        <v>50</v>
      </c>
      <c r="B2" t="s">
        <v>57</v>
      </c>
      <c r="C2">
        <v>17.3</v>
      </c>
      <c r="D2">
        <v>0.53500000000000003</v>
      </c>
      <c r="E2">
        <v>0.53100000000000003</v>
      </c>
      <c r="F2" t="s">
        <v>51</v>
      </c>
      <c r="G2" s="4">
        <f>IFERROR((D2+E2)/C2,"")</f>
        <v>6.1618497109826594E-2</v>
      </c>
      <c r="H2" s="4">
        <f>6.3/120</f>
        <v>5.2499999999999998E-2</v>
      </c>
      <c r="I2" t="s">
        <v>58</v>
      </c>
    </row>
    <row r="3" spans="1:9" x14ac:dyDescent="0.2">
      <c r="A3" t="s">
        <v>52</v>
      </c>
      <c r="B3" t="s">
        <v>53</v>
      </c>
      <c r="C3">
        <v>0.42</v>
      </c>
      <c r="D3">
        <v>0.45</v>
      </c>
      <c r="E3">
        <v>0.45</v>
      </c>
      <c r="F3" t="s">
        <v>54</v>
      </c>
      <c r="G3" s="4">
        <f>IFERROR(AVERAGE(D3,E3)/C3,"")</f>
        <v>1.0714285714285714</v>
      </c>
      <c r="H3" s="4">
        <v>1</v>
      </c>
      <c r="I3" t="s">
        <v>59</v>
      </c>
    </row>
    <row r="4" spans="1:9" x14ac:dyDescent="0.2">
      <c r="A4" t="s">
        <v>55</v>
      </c>
      <c r="B4" t="s">
        <v>60</v>
      </c>
      <c r="C4">
        <v>2</v>
      </c>
      <c r="D4">
        <v>2.0299999999999998</v>
      </c>
      <c r="E4">
        <v>2.15</v>
      </c>
      <c r="G4" t="s">
        <v>36</v>
      </c>
      <c r="I4" t="s">
        <v>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F86E-ABF0-BC45-BECB-C85AD39791AA}">
  <dimension ref="A1:G11"/>
  <sheetViews>
    <sheetView tabSelected="1" zoomScale="83" workbookViewId="0">
      <selection activeCell="E9" sqref="E9"/>
    </sheetView>
  </sheetViews>
  <sheetFormatPr baseColWidth="10" defaultRowHeight="16" x14ac:dyDescent="0.2"/>
  <cols>
    <col min="1" max="1" width="11.83203125" customWidth="1"/>
    <col min="2" max="2" width="24.33203125" customWidth="1"/>
    <col min="3" max="3" width="13.1640625" customWidth="1"/>
    <col min="4" max="4" width="16" customWidth="1"/>
    <col min="7" max="7" width="21.5" customWidth="1"/>
  </cols>
  <sheetData>
    <row r="1" spans="1:7" x14ac:dyDescent="0.2">
      <c r="A1" t="s">
        <v>62</v>
      </c>
      <c r="B1" t="s">
        <v>43</v>
      </c>
      <c r="C1" t="s">
        <v>63</v>
      </c>
      <c r="D1" t="s">
        <v>64</v>
      </c>
      <c r="E1" t="s">
        <v>7</v>
      </c>
      <c r="F1" t="s">
        <v>4</v>
      </c>
      <c r="G1" t="s">
        <v>1</v>
      </c>
    </row>
    <row r="2" spans="1:7" x14ac:dyDescent="0.2">
      <c r="A2" s="4" t="s">
        <v>65</v>
      </c>
      <c r="B2" s="4" t="s">
        <v>66</v>
      </c>
      <c r="C2" s="4">
        <v>2.21</v>
      </c>
      <c r="D2" s="4">
        <v>1.17</v>
      </c>
      <c r="E2" s="4">
        <f>IFERROR(-D2/C2,"")</f>
        <v>-0.52941176470588236</v>
      </c>
      <c r="F2">
        <v>-0.5</v>
      </c>
      <c r="G2" t="s">
        <v>67</v>
      </c>
    </row>
    <row r="3" spans="1:7" x14ac:dyDescent="0.2">
      <c r="A3" s="4" t="s">
        <v>65</v>
      </c>
      <c r="B3" s="4" t="s">
        <v>68</v>
      </c>
      <c r="C3" s="4">
        <f>0.106</f>
        <v>0.106</v>
      </c>
      <c r="D3" s="4">
        <v>10</v>
      </c>
      <c r="E3" s="4">
        <f>IFERROR(D3/(2*C3),"")</f>
        <v>47.169811320754718</v>
      </c>
      <c r="F3">
        <v>37</v>
      </c>
      <c r="G3" t="s">
        <v>69</v>
      </c>
    </row>
    <row r="4" spans="1:7" x14ac:dyDescent="0.2">
      <c r="A4" s="6" t="s">
        <v>65</v>
      </c>
      <c r="B4" s="6" t="s">
        <v>2</v>
      </c>
      <c r="C4" s="6"/>
      <c r="D4" s="6"/>
      <c r="E4" s="6">
        <f>IFERROR(E3/ABS(E2),"")</f>
        <v>89.098532494758913</v>
      </c>
      <c r="F4" s="6">
        <v>74</v>
      </c>
    </row>
    <row r="5" spans="1:7" x14ac:dyDescent="0.2">
      <c r="A5" s="5" t="s">
        <v>70</v>
      </c>
      <c r="B5" s="5" t="s">
        <v>71</v>
      </c>
      <c r="C5" s="5">
        <v>2.0499999999999998</v>
      </c>
      <c r="D5" s="5">
        <f>0.009625</f>
        <v>9.6249999999999999E-3</v>
      </c>
      <c r="E5" s="5">
        <f>IFERROR(-D5/C5,"")</f>
        <v>-4.6951219512195129E-3</v>
      </c>
      <c r="F5">
        <v>-5.0000000000000001E-3</v>
      </c>
    </row>
    <row r="6" spans="1:7" x14ac:dyDescent="0.2">
      <c r="A6" s="5" t="s">
        <v>70</v>
      </c>
      <c r="B6" s="5" t="s">
        <v>68</v>
      </c>
      <c r="C6" s="5">
        <f>0.205</f>
        <v>0.20499999999999999</v>
      </c>
      <c r="D6" s="5">
        <v>13.9</v>
      </c>
      <c r="E6" s="5">
        <f>IFERROR(D6/(2*C6),"")</f>
        <v>33.902439024390247</v>
      </c>
      <c r="F6">
        <v>37.5</v>
      </c>
    </row>
    <row r="7" spans="1:7" x14ac:dyDescent="0.2">
      <c r="A7" s="6" t="s">
        <v>70</v>
      </c>
      <c r="B7" s="6" t="s">
        <v>2</v>
      </c>
      <c r="C7" s="6"/>
      <c r="D7" s="6"/>
      <c r="E7" s="6">
        <f>IFERROR(E6/ABS(E5),"")</f>
        <v>7220.7792207792209</v>
      </c>
      <c r="F7" s="6">
        <v>7500</v>
      </c>
    </row>
    <row r="9" spans="1:7" x14ac:dyDescent="0.2">
      <c r="A9" t="s">
        <v>72</v>
      </c>
      <c r="B9" t="s">
        <v>73</v>
      </c>
    </row>
    <row r="10" spans="1:7" x14ac:dyDescent="0.2">
      <c r="B10" t="s">
        <v>74</v>
      </c>
    </row>
    <row r="11" spans="1:7" x14ac:dyDescent="0.2">
      <c r="B11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5L.1 diff or diff amp</vt:lpstr>
      <vt:lpstr>5L.1.1 transistor array</vt:lpstr>
      <vt:lpstr>5L.1.4 func gen that cant float</vt:lpstr>
      <vt:lpstr>5L.1.5 mediocre diff 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Gichuru</dc:creator>
  <cp:lastModifiedBy>Darius Gichuru</cp:lastModifiedBy>
  <dcterms:created xsi:type="dcterms:W3CDTF">2026-10-06T16:48:09Z</dcterms:created>
  <dcterms:modified xsi:type="dcterms:W3CDTF">2026-10-07T21:08:54Z</dcterms:modified>
</cp:coreProperties>
</file>