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08\Documents\Terps Racing\Coque Modeling\Panel Modeling Code\CalPol_GFR Method Mod\"/>
    </mc:Choice>
  </mc:AlternateContent>
  <xr:revisionPtr revIDLastSave="0" documentId="13_ncr:1_{CC871CB3-DFA0-4927-B05E-058E25AD0848}" xr6:coauthVersionLast="44" xr6:coauthVersionMax="44" xr10:uidLastSave="{00000000-0000-0000-0000-000000000000}"/>
  <bookViews>
    <workbookView xWindow="-108" yWindow="-108" windowWidth="23256" windowHeight="13176" xr2:uid="{A2F1D8D2-5FC2-4822-8C79-D1E002E1B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F15" i="1"/>
  <c r="D6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3" i="1"/>
  <c r="Q4" i="1"/>
  <c r="R4" i="1"/>
  <c r="T4" i="1"/>
  <c r="U4" i="1"/>
  <c r="V4" i="1"/>
  <c r="Q5" i="1"/>
  <c r="R5" i="1"/>
  <c r="T5" i="1"/>
  <c r="U5" i="1"/>
  <c r="V5" i="1"/>
  <c r="Q6" i="1"/>
  <c r="R6" i="1"/>
  <c r="T6" i="1"/>
  <c r="U6" i="1"/>
  <c r="V6" i="1"/>
  <c r="Q7" i="1"/>
  <c r="R7" i="1"/>
  <c r="T7" i="1"/>
  <c r="U7" i="1"/>
  <c r="V7" i="1"/>
  <c r="Q8" i="1"/>
  <c r="R8" i="1"/>
  <c r="T8" i="1"/>
  <c r="U8" i="1"/>
  <c r="V8" i="1"/>
  <c r="Q9" i="1"/>
  <c r="R9" i="1"/>
  <c r="T9" i="1"/>
  <c r="U9" i="1"/>
  <c r="V9" i="1"/>
  <c r="V3" i="1"/>
  <c r="U3" i="1"/>
  <c r="T3" i="1"/>
  <c r="R3" i="1"/>
  <c r="Q3" i="1"/>
  <c r="AL4" i="1"/>
  <c r="AL5" i="1"/>
  <c r="AL6" i="1"/>
  <c r="AL7" i="1"/>
  <c r="AL8" i="1"/>
  <c r="AL9" i="1"/>
  <c r="AL3" i="1"/>
  <c r="AK4" i="1"/>
  <c r="AK5" i="1"/>
  <c r="AK6" i="1"/>
  <c r="AK7" i="1"/>
  <c r="AK8" i="1"/>
  <c r="AK9" i="1"/>
  <c r="AK3" i="1"/>
  <c r="AJ4" i="1"/>
  <c r="AJ5" i="1"/>
  <c r="AJ6" i="1"/>
  <c r="AJ7" i="1"/>
  <c r="AJ8" i="1"/>
  <c r="AJ9" i="1"/>
  <c r="AJ3" i="1"/>
  <c r="AH4" i="1"/>
  <c r="AH5" i="1"/>
  <c r="AH6" i="1"/>
  <c r="AH7" i="1"/>
  <c r="AH8" i="1"/>
  <c r="AH9" i="1"/>
  <c r="AH3" i="1"/>
  <c r="AG4" i="1"/>
  <c r="AG5" i="1"/>
  <c r="AG6" i="1"/>
  <c r="AG7" i="1"/>
  <c r="AG8" i="1"/>
  <c r="AG9" i="1"/>
  <c r="AG3" i="1"/>
  <c r="AL11" i="1"/>
  <c r="AL12" i="1"/>
  <c r="AL13" i="1"/>
  <c r="AL14" i="1"/>
  <c r="AL15" i="1"/>
  <c r="AL10" i="1"/>
  <c r="AK11" i="1"/>
  <c r="AK12" i="1"/>
  <c r="AK13" i="1"/>
  <c r="AK14" i="1"/>
  <c r="AK15" i="1"/>
  <c r="AK10" i="1"/>
  <c r="AJ11" i="1"/>
  <c r="AJ12" i="1"/>
  <c r="AJ13" i="1"/>
  <c r="AJ14" i="1"/>
  <c r="AJ15" i="1"/>
  <c r="AJ10" i="1"/>
  <c r="AH11" i="1"/>
  <c r="AH12" i="1"/>
  <c r="AH13" i="1"/>
  <c r="AH14" i="1"/>
  <c r="AH15" i="1"/>
  <c r="AH10" i="1"/>
  <c r="AG11" i="1"/>
  <c r="AG12" i="1"/>
  <c r="AG13" i="1"/>
  <c r="AG14" i="1"/>
  <c r="AG15" i="1"/>
  <c r="AG10" i="1"/>
  <c r="Q14" i="1"/>
  <c r="Q15" i="1"/>
  <c r="Q10" i="1"/>
  <c r="Q11" i="1"/>
  <c r="Q12" i="1"/>
  <c r="U14" i="1"/>
  <c r="V14" i="1"/>
  <c r="U15" i="1"/>
  <c r="V15" i="1"/>
  <c r="U10" i="1"/>
  <c r="V10" i="1"/>
  <c r="U11" i="1"/>
  <c r="V11" i="1"/>
  <c r="U12" i="1"/>
  <c r="V12" i="1"/>
  <c r="V13" i="1"/>
  <c r="U13" i="1"/>
  <c r="Q13" i="1"/>
  <c r="D12" i="1" l="1"/>
  <c r="T10" i="1"/>
  <c r="T11" i="1" s="1"/>
  <c r="T12" i="1" s="1"/>
  <c r="T13" i="1" s="1"/>
  <c r="T14" i="1" s="1"/>
  <c r="T15" i="1" s="1"/>
  <c r="R11" i="1"/>
  <c r="R12" i="1"/>
  <c r="R15" i="1"/>
  <c r="F10" i="1"/>
  <c r="F11" i="1"/>
  <c r="F12" i="1"/>
  <c r="F13" i="1"/>
  <c r="F14" i="1"/>
  <c r="AL16" i="1"/>
  <c r="R13" i="1"/>
  <c r="R14" i="1"/>
  <c r="AE23" i="1"/>
  <c r="AE22" i="1"/>
  <c r="AE21" i="1"/>
  <c r="O23" i="1"/>
  <c r="O22" i="1"/>
  <c r="O21" i="1"/>
  <c r="AQ23" i="1"/>
  <c r="AQ22" i="1"/>
  <c r="AQ21" i="1"/>
  <c r="BA23" i="1"/>
  <c r="AZ23" i="1"/>
  <c r="AY23" i="1"/>
  <c r="AX23" i="1"/>
  <c r="BB23" i="1"/>
  <c r="AZ22" i="1"/>
  <c r="BA22" i="1"/>
  <c r="AZ21" i="1"/>
  <c r="BA21" i="1"/>
  <c r="AY21" i="1"/>
  <c r="BB21" i="1"/>
  <c r="AY20" i="1"/>
  <c r="AZ20" i="1"/>
  <c r="BA20" i="1"/>
  <c r="AQ19" i="1"/>
  <c r="AQ18" i="1"/>
  <c r="AQ17" i="1"/>
  <c r="O18" i="1"/>
  <c r="O19" i="1"/>
  <c r="O17" i="1"/>
  <c r="AX18" i="1"/>
  <c r="AY18" i="1"/>
  <c r="AZ18" i="1"/>
  <c r="BA18" i="1"/>
  <c r="AX19" i="1"/>
  <c r="AY19" i="1"/>
  <c r="AZ19" i="1"/>
  <c r="BA19" i="1"/>
  <c r="AY17" i="1"/>
  <c r="BA17" i="1"/>
  <c r="AX17" i="1"/>
  <c r="AZ17" i="1"/>
  <c r="AY16" i="1"/>
  <c r="AX16" i="1"/>
  <c r="BA16" i="1"/>
  <c r="AZ16" i="1"/>
  <c r="BB16" i="1"/>
  <c r="AQ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O9" i="1"/>
  <c r="O8" i="1"/>
  <c r="O7" i="1"/>
  <c r="O6" i="1"/>
  <c r="O5" i="1"/>
  <c r="O4" i="1"/>
  <c r="O3" i="1"/>
  <c r="F27" i="1"/>
  <c r="AJ34" i="1"/>
  <c r="AJ28" i="1"/>
  <c r="AJ29" i="1"/>
  <c r="AJ30" i="1"/>
  <c r="AJ31" i="1"/>
  <c r="AJ32" i="1"/>
  <c r="AJ33" i="1"/>
  <c r="AJ27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W40" i="1"/>
  <c r="W39" i="1"/>
  <c r="W38" i="1"/>
  <c r="W37" i="1"/>
  <c r="W34" i="1"/>
  <c r="W33" i="1"/>
  <c r="W32" i="1"/>
  <c r="W30" i="1"/>
  <c r="W29" i="1"/>
  <c r="W28" i="1"/>
  <c r="W27" i="1"/>
  <c r="Y38" i="1"/>
  <c r="Y39" i="1"/>
  <c r="Y40" i="1"/>
  <c r="Y37" i="1"/>
  <c r="Y34" i="1"/>
  <c r="Y33" i="1"/>
  <c r="Y28" i="1"/>
  <c r="Y29" i="1"/>
  <c r="Y30" i="1"/>
  <c r="Y27" i="1"/>
  <c r="T38" i="1"/>
  <c r="T39" i="1"/>
  <c r="T40" i="1"/>
  <c r="T37" i="1"/>
  <c r="T34" i="1"/>
  <c r="T33" i="1"/>
  <c r="T32" i="1"/>
  <c r="T28" i="1"/>
  <c r="T29" i="1"/>
  <c r="T30" i="1"/>
  <c r="T27" i="1"/>
  <c r="O40" i="1" l="1"/>
  <c r="O39" i="1"/>
  <c r="O38" i="1"/>
  <c r="O37" i="1"/>
  <c r="O34" i="1"/>
  <c r="O33" i="1"/>
  <c r="O32" i="1"/>
  <c r="O30" i="1"/>
  <c r="O29" i="1"/>
  <c r="O28" i="1"/>
  <c r="O27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K21" i="1"/>
  <c r="AK22" i="1"/>
  <c r="AK23" i="1"/>
  <c r="AK20" i="1"/>
  <c r="AJ21" i="1"/>
  <c r="AJ22" i="1"/>
  <c r="AJ23" i="1"/>
  <c r="AJ20" i="1"/>
  <c r="AH20" i="1"/>
  <c r="AE20" i="1"/>
  <c r="BC3" i="1"/>
  <c r="BD3" i="1"/>
  <c r="BC4" i="1"/>
  <c r="BD4" i="1"/>
  <c r="BI4" i="1"/>
  <c r="BI5" i="1" s="1"/>
  <c r="BI6" i="1" s="1"/>
  <c r="BI7" i="1" s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AE16" i="1"/>
  <c r="O16" i="1"/>
  <c r="AF21" i="1"/>
  <c r="AF22" i="1"/>
  <c r="AF23" i="1"/>
  <c r="AF20" i="1"/>
  <c r="AF16" i="1"/>
  <c r="AF4" i="1"/>
  <c r="AF5" i="1"/>
  <c r="AF6" i="1"/>
  <c r="AF7" i="1"/>
  <c r="AF8" i="1"/>
  <c r="AF9" i="1"/>
  <c r="AF10" i="1"/>
  <c r="AF11" i="1"/>
  <c r="AF12" i="1"/>
  <c r="AF13" i="1"/>
  <c r="AF14" i="1"/>
  <c r="AF15" i="1"/>
  <c r="AF3" i="1"/>
  <c r="P38" i="1"/>
  <c r="P39" i="1"/>
  <c r="P40" i="1"/>
  <c r="P37" i="1"/>
  <c r="P34" i="1"/>
  <c r="P33" i="1"/>
  <c r="P28" i="1"/>
  <c r="P29" i="1"/>
  <c r="P30" i="1"/>
  <c r="P27" i="1"/>
  <c r="P25" i="1"/>
  <c r="P26" i="1"/>
  <c r="P24" i="1"/>
  <c r="P22" i="1"/>
  <c r="P23" i="1"/>
  <c r="P21" i="1"/>
  <c r="P18" i="1"/>
  <c r="P19" i="1"/>
  <c r="P17" i="1"/>
  <c r="P16" i="1"/>
  <c r="P11" i="1"/>
  <c r="P12" i="1"/>
  <c r="P13" i="1"/>
  <c r="P14" i="1"/>
  <c r="P15" i="1"/>
  <c r="P10" i="1"/>
  <c r="P4" i="1"/>
  <c r="P5" i="1"/>
  <c r="P6" i="1"/>
  <c r="P7" i="1"/>
  <c r="P8" i="1"/>
  <c r="P9" i="1"/>
  <c r="P3" i="1"/>
  <c r="AW20" i="1"/>
  <c r="AS32" i="1"/>
  <c r="AS33" i="1"/>
  <c r="AS34" i="1"/>
  <c r="AS35" i="1"/>
  <c r="AS36" i="1"/>
  <c r="AS37" i="1"/>
  <c r="AS38" i="1"/>
  <c r="AS39" i="1"/>
  <c r="AS40" i="1"/>
  <c r="AS31" i="1"/>
  <c r="AS28" i="1"/>
  <c r="AS29" i="1"/>
  <c r="AS30" i="1"/>
  <c r="AS27" i="1"/>
  <c r="AS26" i="1"/>
  <c r="AS22" i="1"/>
  <c r="AS23" i="1"/>
  <c r="AS24" i="1"/>
  <c r="AS25" i="1"/>
  <c r="AS21" i="1"/>
  <c r="AS20" i="1"/>
  <c r="AS19" i="1"/>
  <c r="AS18" i="1"/>
  <c r="AS17" i="1"/>
  <c r="AS16" i="1"/>
  <c r="AS9" i="1"/>
  <c r="AS4" i="1"/>
  <c r="AS5" i="1"/>
  <c r="AS6" i="1"/>
  <c r="AS7" i="1"/>
  <c r="AS8" i="1"/>
  <c r="AS10" i="1"/>
  <c r="AS11" i="1"/>
  <c r="AS12" i="1"/>
  <c r="AS13" i="1"/>
  <c r="AS14" i="1"/>
  <c r="AS15" i="1"/>
  <c r="AS3" i="1"/>
  <c r="AR36" i="1"/>
  <c r="AR35" i="1"/>
  <c r="AR39" i="1"/>
  <c r="AR40" i="1"/>
  <c r="AR38" i="1"/>
  <c r="AR34" i="1"/>
  <c r="AR31" i="1"/>
  <c r="AR7" i="1"/>
  <c r="AR37" i="1"/>
  <c r="AR33" i="1"/>
  <c r="AR32" i="1"/>
  <c r="AR28" i="1"/>
  <c r="AR29" i="1"/>
  <c r="AR30" i="1"/>
  <c r="AR27" i="1"/>
  <c r="AR26" i="1"/>
  <c r="AR23" i="1"/>
  <c r="AR18" i="1"/>
  <c r="AR19" i="1"/>
  <c r="AR20" i="1"/>
  <c r="AR21" i="1"/>
  <c r="AR22" i="1"/>
  <c r="AR17" i="1"/>
  <c r="AR16" i="1"/>
  <c r="AR4" i="1"/>
  <c r="AR5" i="1"/>
  <c r="AR6" i="1"/>
  <c r="AR8" i="1"/>
  <c r="AR9" i="1"/>
  <c r="AR10" i="1"/>
  <c r="AR11" i="1"/>
  <c r="AR12" i="1"/>
  <c r="AR13" i="1"/>
  <c r="AR14" i="1"/>
  <c r="AR15" i="1"/>
  <c r="AR3" i="1"/>
  <c r="AX37" i="1"/>
  <c r="AX36" i="1"/>
  <c r="AX38" i="1"/>
  <c r="AX39" i="1"/>
  <c r="AX40" i="1"/>
  <c r="AX35" i="1"/>
  <c r="AX34" i="1"/>
  <c r="AX31" i="1"/>
  <c r="AX30" i="1"/>
  <c r="AX33" i="1"/>
  <c r="AX32" i="1"/>
  <c r="AX28" i="1"/>
  <c r="AX29" i="1"/>
  <c r="AX27" i="1"/>
  <c r="AX26" i="1"/>
  <c r="AX25" i="1"/>
  <c r="AX24" i="1"/>
  <c r="AX22" i="1"/>
  <c r="AX21" i="1"/>
  <c r="AX20" i="1"/>
  <c r="AX4" i="1"/>
  <c r="AX5" i="1"/>
  <c r="AX6" i="1"/>
  <c r="AX7" i="1"/>
  <c r="AX8" i="1"/>
  <c r="AX9" i="1"/>
  <c r="AX10" i="1"/>
  <c r="AX11" i="1"/>
  <c r="AX12" i="1"/>
  <c r="AX13" i="1"/>
  <c r="AX14" i="1"/>
  <c r="AX15" i="1"/>
  <c r="AX3" i="1"/>
  <c r="AY39" i="1"/>
  <c r="AY40" i="1"/>
  <c r="AY38" i="1"/>
  <c r="AY37" i="1"/>
  <c r="AY36" i="1"/>
  <c r="AY34" i="1"/>
  <c r="AY35" i="1"/>
  <c r="AY33" i="1"/>
  <c r="AY32" i="1"/>
  <c r="AY31" i="1"/>
  <c r="AY28" i="1"/>
  <c r="AY29" i="1"/>
  <c r="AY30" i="1"/>
  <c r="AY27" i="1"/>
  <c r="AY26" i="1"/>
  <c r="AY25" i="1"/>
  <c r="AY24" i="1"/>
  <c r="AY22" i="1"/>
  <c r="AY4" i="1"/>
  <c r="AY5" i="1"/>
  <c r="AY6" i="1"/>
  <c r="AY7" i="1"/>
  <c r="AY8" i="1"/>
  <c r="AY9" i="1"/>
  <c r="AY10" i="1"/>
  <c r="AY11" i="1"/>
  <c r="AY12" i="1"/>
  <c r="AY13" i="1"/>
  <c r="AY14" i="1"/>
  <c r="AY15" i="1"/>
  <c r="AY3" i="1"/>
  <c r="BB40" i="1"/>
  <c r="BB39" i="1"/>
  <c r="BB38" i="1"/>
  <c r="BB37" i="1"/>
  <c r="BB36" i="1"/>
  <c r="BB35" i="1"/>
  <c r="BB34" i="1"/>
  <c r="BB31" i="1"/>
  <c r="BB33" i="1"/>
  <c r="BB32" i="1"/>
  <c r="BB28" i="1"/>
  <c r="BB29" i="1"/>
  <c r="BB30" i="1"/>
  <c r="BB27" i="1"/>
  <c r="BB26" i="1"/>
  <c r="BB22" i="1"/>
  <c r="BB17" i="1"/>
  <c r="BB4" i="1"/>
  <c r="BB5" i="1"/>
  <c r="BB6" i="1"/>
  <c r="BB7" i="1"/>
  <c r="BB8" i="1"/>
  <c r="BB9" i="1"/>
  <c r="BB10" i="1"/>
  <c r="BB11" i="1"/>
  <c r="BB12" i="1"/>
  <c r="BB13" i="1"/>
  <c r="BB14" i="1"/>
  <c r="BB15" i="1"/>
  <c r="BB3" i="1"/>
  <c r="AQ20" i="1"/>
  <c r="AP20" i="1"/>
  <c r="AP40" i="1"/>
  <c r="AP38" i="1"/>
  <c r="AP36" i="1"/>
  <c r="AP35" i="1"/>
  <c r="AP31" i="1"/>
  <c r="AP39" i="1"/>
  <c r="AP37" i="1"/>
  <c r="AP33" i="1"/>
  <c r="AP34" i="1"/>
  <c r="AP32" i="1"/>
  <c r="AP30" i="1"/>
  <c r="AP28" i="1"/>
  <c r="AP29" i="1"/>
  <c r="AP27" i="1"/>
  <c r="AP26" i="1"/>
  <c r="AP25" i="1"/>
  <c r="AR25" i="1" s="1"/>
  <c r="AP24" i="1"/>
  <c r="BB24" i="1" s="1"/>
  <c r="AP23" i="1"/>
  <c r="AP22" i="1"/>
  <c r="AP21" i="1"/>
  <c r="AP17" i="1"/>
  <c r="AP18" i="1"/>
  <c r="AP19" i="1"/>
  <c r="AP16" i="1"/>
  <c r="AP4" i="1"/>
  <c r="AP5" i="1"/>
  <c r="AP6" i="1"/>
  <c r="AP7" i="1"/>
  <c r="AP8" i="1"/>
  <c r="AP9" i="1"/>
  <c r="AP10" i="1"/>
  <c r="AP11" i="1"/>
  <c r="AP12" i="1"/>
  <c r="AP13" i="1"/>
  <c r="AP14" i="1"/>
  <c r="AP15" i="1"/>
  <c r="AP3" i="1"/>
  <c r="V25" i="1"/>
  <c r="V26" i="1"/>
  <c r="V24" i="1"/>
  <c r="V22" i="1"/>
  <c r="V23" i="1"/>
  <c r="V21" i="1"/>
  <c r="V18" i="1"/>
  <c r="V19" i="1"/>
  <c r="V17" i="1"/>
  <c r="U32" i="1"/>
  <c r="U38" i="1"/>
  <c r="U39" i="1"/>
  <c r="U40" i="1"/>
  <c r="U37" i="1"/>
  <c r="U34" i="1"/>
  <c r="U33" i="1"/>
  <c r="U28" i="1"/>
  <c r="U29" i="1"/>
  <c r="U30" i="1"/>
  <c r="U27" i="1"/>
  <c r="U25" i="1"/>
  <c r="U26" i="1"/>
  <c r="U24" i="1"/>
  <c r="U22" i="1"/>
  <c r="U23" i="1"/>
  <c r="U21" i="1"/>
  <c r="U18" i="1"/>
  <c r="U19" i="1"/>
  <c r="U17" i="1"/>
  <c r="T25" i="1"/>
  <c r="T26" i="1"/>
  <c r="T24" i="1"/>
  <c r="T22" i="1"/>
  <c r="T23" i="1"/>
  <c r="T21" i="1"/>
  <c r="T18" i="1"/>
  <c r="T19" i="1"/>
  <c r="T17" i="1"/>
  <c r="T16" i="1"/>
  <c r="R32" i="1"/>
  <c r="R38" i="1"/>
  <c r="R39" i="1"/>
  <c r="R40" i="1"/>
  <c r="R37" i="1"/>
  <c r="R34" i="1"/>
  <c r="R33" i="1"/>
  <c r="R28" i="1"/>
  <c r="R29" i="1"/>
  <c r="R30" i="1"/>
  <c r="R27" i="1"/>
  <c r="R25" i="1"/>
  <c r="R26" i="1"/>
  <c r="R24" i="1"/>
  <c r="R22" i="1"/>
  <c r="R23" i="1"/>
  <c r="R21" i="1"/>
  <c r="R18" i="1"/>
  <c r="R19" i="1"/>
  <c r="R17" i="1"/>
  <c r="R16" i="1"/>
  <c r="Q39" i="1"/>
  <c r="Q40" i="1"/>
  <c r="Q38" i="1"/>
  <c r="Q37" i="1"/>
  <c r="Q34" i="1"/>
  <c r="Q33" i="1"/>
  <c r="Q32" i="1"/>
  <c r="Q28" i="1"/>
  <c r="Q29" i="1"/>
  <c r="Q30" i="1"/>
  <c r="Q27" i="1"/>
  <c r="Q25" i="1"/>
  <c r="Q26" i="1"/>
  <c r="Q24" i="1"/>
  <c r="Q22" i="1"/>
  <c r="Q23" i="1"/>
  <c r="Q21" i="1"/>
  <c r="Q18" i="1"/>
  <c r="Q19" i="1"/>
  <c r="Q17" i="1"/>
  <c r="Q16" i="1"/>
  <c r="AG38" i="1"/>
  <c r="AG39" i="1"/>
  <c r="AG40" i="1"/>
  <c r="AG37" i="1"/>
  <c r="AG34" i="1"/>
  <c r="AG36" i="1"/>
  <c r="AG35" i="1"/>
  <c r="AG28" i="1"/>
  <c r="AG29" i="1"/>
  <c r="AG30" i="1"/>
  <c r="AG31" i="1"/>
  <c r="AG32" i="1"/>
  <c r="AG33" i="1"/>
  <c r="AG27" i="1"/>
  <c r="AG21" i="1"/>
  <c r="AG22" i="1"/>
  <c r="AG23" i="1"/>
  <c r="AG20" i="1"/>
  <c r="AG17" i="1"/>
  <c r="AG16" i="1"/>
  <c r="AH36" i="1"/>
  <c r="AH35" i="1"/>
  <c r="AH28" i="1"/>
  <c r="AH29" i="1"/>
  <c r="AH30" i="1"/>
  <c r="AH31" i="1"/>
  <c r="AH32" i="1"/>
  <c r="AH33" i="1"/>
  <c r="AH27" i="1"/>
  <c r="AH21" i="1"/>
  <c r="AH22" i="1"/>
  <c r="AH23" i="1"/>
  <c r="AH16" i="1"/>
  <c r="AJ38" i="1"/>
  <c r="AJ39" i="1"/>
  <c r="AJ40" i="1"/>
  <c r="AJ37" i="1"/>
  <c r="AJ36" i="1"/>
  <c r="AJ35" i="1"/>
  <c r="AJ16" i="1"/>
  <c r="AK34" i="1"/>
  <c r="AK38" i="1"/>
  <c r="AK39" i="1"/>
  <c r="AK40" i="1"/>
  <c r="AK37" i="1"/>
  <c r="AK36" i="1"/>
  <c r="AK35" i="1"/>
  <c r="AK28" i="1"/>
  <c r="AK29" i="1"/>
  <c r="AK30" i="1"/>
  <c r="AK31" i="1"/>
  <c r="AK32" i="1"/>
  <c r="AK33" i="1"/>
  <c r="AK27" i="1"/>
  <c r="AK17" i="1"/>
  <c r="AL21" i="1"/>
  <c r="AL22" i="1"/>
  <c r="AL23" i="1"/>
  <c r="AL20" i="1"/>
  <c r="AL17" i="1"/>
  <c r="I3" i="1"/>
  <c r="BI9" i="1" l="1"/>
  <c r="BI10" i="1" s="1"/>
  <c r="BI11" i="1" s="1"/>
  <c r="BI12" i="1" s="1"/>
  <c r="BI13" i="1" s="1"/>
  <c r="BI14" i="1" s="1"/>
  <c r="BI15" i="1" s="1"/>
  <c r="BI8" i="1"/>
  <c r="BB25" i="1"/>
  <c r="AR24" i="1"/>
  <c r="U16" i="1"/>
  <c r="AH34" i="1"/>
  <c r="AK16" i="1"/>
  <c r="F3" i="1" l="1"/>
  <c r="F9" i="1"/>
  <c r="F8" i="1"/>
  <c r="F5" i="1"/>
  <c r="F4" i="1"/>
  <c r="F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7" i="1"/>
  <c r="D4" i="1"/>
  <c r="D5" i="1"/>
  <c r="D7" i="1"/>
  <c r="D8" i="1"/>
  <c r="D9" i="1"/>
  <c r="D10" i="1"/>
  <c r="D11" i="1"/>
  <c r="D13" i="1"/>
  <c r="D14" i="1"/>
  <c r="D15" i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AD8" i="1" l="1"/>
  <c r="N8" i="1"/>
  <c r="BE8" i="1" l="1"/>
  <c r="BF8" i="1"/>
  <c r="I20" i="1"/>
  <c r="AD20" i="1" l="1"/>
  <c r="B20" i="1"/>
  <c r="G20" i="1"/>
  <c r="BF20" i="1" l="1"/>
  <c r="BE20" i="1"/>
  <c r="S32" i="1"/>
  <c r="AD38" i="1"/>
  <c r="AD39" i="1"/>
  <c r="AD40" i="1"/>
  <c r="AD37" i="1"/>
  <c r="AD22" i="1"/>
  <c r="AD23" i="1"/>
  <c r="AD21" i="1"/>
  <c r="N22" i="1"/>
  <c r="N23" i="1"/>
  <c r="N21" i="1"/>
  <c r="N17" i="1"/>
  <c r="N18" i="1"/>
  <c r="N19" i="1"/>
  <c r="B22" i="1"/>
  <c r="G22" i="1"/>
  <c r="G23" i="1"/>
  <c r="B23" i="1"/>
  <c r="G21" i="1"/>
  <c r="B21" i="1"/>
  <c r="BF19" i="1" l="1"/>
  <c r="BE19" i="1"/>
  <c r="BE22" i="1"/>
  <c r="BF22" i="1"/>
  <c r="BF18" i="1"/>
  <c r="BE18" i="1"/>
  <c r="BE23" i="1"/>
  <c r="BF23" i="1"/>
  <c r="BF21" i="1"/>
  <c r="BE21" i="1"/>
  <c r="N3" i="1"/>
  <c r="AD3" i="1"/>
  <c r="BE3" i="1" l="1"/>
  <c r="BF3" i="1"/>
  <c r="AH37" i="1"/>
  <c r="AH17" i="1"/>
  <c r="R10" i="1"/>
  <c r="S25" i="1"/>
  <c r="S26" i="1"/>
  <c r="S24" i="1"/>
  <c r="S18" i="1"/>
  <c r="S19" i="1"/>
  <c r="S17" i="1"/>
  <c r="AH38" i="1" l="1"/>
  <c r="AH39" i="1" s="1"/>
  <c r="AH40" i="1" s="1"/>
  <c r="N16" i="1"/>
  <c r="AD16" i="1"/>
  <c r="AD34" i="1"/>
  <c r="N32" i="1"/>
  <c r="N40" i="1"/>
  <c r="N39" i="1"/>
  <c r="N38" i="1"/>
  <c r="N37" i="1"/>
  <c r="N34" i="1"/>
  <c r="N33" i="1"/>
  <c r="AD36" i="1"/>
  <c r="AD35" i="1"/>
  <c r="AD31" i="1"/>
  <c r="AD32" i="1"/>
  <c r="AD33" i="1"/>
  <c r="N28" i="1"/>
  <c r="N29" i="1"/>
  <c r="N30" i="1"/>
  <c r="AD28" i="1"/>
  <c r="AD29" i="1"/>
  <c r="AD30" i="1"/>
  <c r="AD27" i="1"/>
  <c r="N27" i="1"/>
  <c r="B24" i="1"/>
  <c r="F24" i="1" s="1"/>
  <c r="B25" i="1"/>
  <c r="F25" i="1" s="1"/>
  <c r="B26" i="1"/>
  <c r="F26" i="1" s="1"/>
  <c r="B16" i="1"/>
  <c r="BF37" i="1" l="1"/>
  <c r="BE37" i="1"/>
  <c r="BE33" i="1"/>
  <c r="BF33" i="1"/>
  <c r="BF27" i="1"/>
  <c r="BE27" i="1"/>
  <c r="BE39" i="1"/>
  <c r="BF39" i="1"/>
  <c r="BE30" i="1"/>
  <c r="BF30" i="1"/>
  <c r="BE31" i="1"/>
  <c r="BF31" i="1"/>
  <c r="BE29" i="1"/>
  <c r="BF29" i="1"/>
  <c r="BE16" i="1"/>
  <c r="BF16" i="1"/>
  <c r="BF38" i="1"/>
  <c r="BE38" i="1"/>
  <c r="BE32" i="1"/>
  <c r="BF32" i="1"/>
  <c r="BE40" i="1"/>
  <c r="BF40" i="1"/>
  <c r="BE35" i="1"/>
  <c r="BF35" i="1"/>
  <c r="BF28" i="1"/>
  <c r="BE28" i="1"/>
  <c r="BF36" i="1"/>
  <c r="BE36" i="1"/>
  <c r="BF34" i="1"/>
  <c r="BE34" i="1"/>
  <c r="AJ17" i="1"/>
  <c r="BB18" i="1"/>
  <c r="BB20" i="1" s="1"/>
  <c r="BB19" i="1"/>
  <c r="P32" i="1"/>
  <c r="V16" i="1"/>
  <c r="N26" i="1"/>
  <c r="N25" i="1"/>
  <c r="N24" i="1"/>
  <c r="AD10" i="1"/>
  <c r="AD11" i="1"/>
  <c r="AD12" i="1"/>
  <c r="AD13" i="1"/>
  <c r="AD14" i="1"/>
  <c r="AD15" i="1"/>
  <c r="BE25" i="1" l="1"/>
  <c r="BF25" i="1"/>
  <c r="BF26" i="1"/>
  <c r="BE26" i="1"/>
  <c r="BE10" i="1"/>
  <c r="BF10" i="1"/>
  <c r="BE14" i="1"/>
  <c r="BF14" i="1"/>
  <c r="BF11" i="1"/>
  <c r="BE11" i="1"/>
  <c r="BF13" i="1"/>
  <c r="BE13" i="1"/>
  <c r="BE24" i="1"/>
  <c r="BF24" i="1"/>
  <c r="BE15" i="1"/>
  <c r="BF15" i="1"/>
  <c r="BF12" i="1"/>
  <c r="BE12" i="1"/>
  <c r="AF34" i="1"/>
  <c r="AF27" i="1"/>
  <c r="AF28" i="1" s="1"/>
  <c r="AD17" i="1"/>
  <c r="AF37" i="1"/>
  <c r="BE17" i="1" l="1"/>
  <c r="BF17" i="1"/>
  <c r="AF17" i="1"/>
  <c r="AF30" i="1"/>
  <c r="AF32" i="1"/>
  <c r="AF31" i="1"/>
  <c r="AF29" i="1"/>
  <c r="AF35" i="1"/>
  <c r="AF33" i="1"/>
  <c r="AF36" i="1"/>
  <c r="AF38" i="1"/>
  <c r="AD4" i="1"/>
  <c r="AD5" i="1"/>
  <c r="AD6" i="1"/>
  <c r="AD7" i="1"/>
  <c r="AD9" i="1"/>
  <c r="N4" i="1"/>
  <c r="N5" i="1"/>
  <c r="N6" i="1"/>
  <c r="N7" i="1"/>
  <c r="N9" i="1"/>
  <c r="BE9" i="1" l="1"/>
  <c r="BF9" i="1"/>
  <c r="BE7" i="1"/>
  <c r="BF7" i="1"/>
  <c r="BE6" i="1"/>
  <c r="BF6" i="1"/>
  <c r="BF5" i="1"/>
  <c r="BE5" i="1"/>
  <c r="BF4" i="1"/>
  <c r="BE4" i="1"/>
  <c r="AF39" i="1"/>
  <c r="AF4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tc={8A5656A9-1BF0-49F0-B842-497B3D196C93}</author>
    <author>tc={D4A52697-D429-4CC2-9E98-0E5322A887A5}</author>
    <author>13108</author>
  </authors>
  <commentList>
    <comment ref="B3" authorId="0" shapeId="0" xr:uid="{8A5656A9-1BF0-49F0-B842-497B3D196C9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 missing something here</t>
      </text>
    </comment>
    <comment ref="B7" authorId="1" shapeId="0" xr:uid="{D4A52697-D429-4CC2-9E98-0E5322A887A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not be the the right number</t>
      </text>
    </comment>
    <comment ref="C16" authorId="2" shapeId="0" xr:uid="{805C7FEB-90CD-4C9C-AFAD-4D8E9251B641}">
      <text>
        <r>
          <rPr>
            <b/>
            <sz val="9"/>
            <color indexed="81"/>
            <rFont val="Tahoma"/>
            <family val="2"/>
          </rPr>
          <t>13108:</t>
        </r>
        <r>
          <rPr>
            <sz val="9"/>
            <color indexed="81"/>
            <rFont val="Tahoma"/>
            <family val="2"/>
          </rPr>
          <t xml:space="preserve">
Derived from 1010 steel test in 2015 paper
</t>
        </r>
      </text>
    </comment>
    <comment ref="BI40" authorId="2" shapeId="0" xr:uid="{C9553969-4057-4643-8503-6B6A6D374BC0}">
      <text>
        <r>
          <rPr>
            <b/>
            <sz val="9"/>
            <color indexed="81"/>
            <rFont val="Tahoma"/>
            <family val="2"/>
          </rPr>
          <t>13108: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<sst xmlns="http://schemas.openxmlformats.org/spreadsheetml/2006/main" count="284" uniqueCount="193">
  <si>
    <t>Panel Name</t>
  </si>
  <si>
    <t>N_0f_in</t>
  </si>
  <si>
    <t>N_45f_in</t>
  </si>
  <si>
    <t>N_0u_in</t>
  </si>
  <si>
    <t>N_45u_in</t>
  </si>
  <si>
    <t>N_0f_out</t>
  </si>
  <si>
    <t>N_45f_out</t>
  </si>
  <si>
    <t>N_0u_out</t>
  </si>
  <si>
    <t>N_45u_out</t>
  </si>
  <si>
    <t>P_max (N)</t>
  </si>
  <si>
    <t>t_f (m)</t>
  </si>
  <si>
    <t>Thickness of one layer of fabric</t>
  </si>
  <si>
    <t>Ultimate Tensile Strength of fabric</t>
  </si>
  <si>
    <t>Shear modulus of fabric</t>
  </si>
  <si>
    <t>Youngs modulus in the longitudinal direction of fabric</t>
  </si>
  <si>
    <t>Youngs modulus in the transverse direction of fabric</t>
  </si>
  <si>
    <t>Poisson's Ratio of fabric</t>
  </si>
  <si>
    <t>Ultimate compressive strength of fabric</t>
  </si>
  <si>
    <t># of layers of 45F in the inner skin</t>
  </si>
  <si>
    <t># of 0F in outer skin</t>
  </si>
  <si>
    <t># of 45F in outer skin</t>
  </si>
  <si>
    <t>Max Force</t>
  </si>
  <si>
    <t># of layers of 0F in inner skin</t>
  </si>
  <si>
    <t># of layers of 0U in inner skin</t>
  </si>
  <si>
    <t># of layers of 45U in the inner skin</t>
  </si>
  <si>
    <t># of 0U in outer skin</t>
  </si>
  <si>
    <t># of 45U in outer skin</t>
  </si>
  <si>
    <t>Thickness of one layer of uni</t>
  </si>
  <si>
    <t>Width of the panel</t>
  </si>
  <si>
    <t>length between the two feet of the panel during the test</t>
  </si>
  <si>
    <t>thickness of the inner skin</t>
  </si>
  <si>
    <t>thickness of the outer skin</t>
  </si>
  <si>
    <t xml:space="preserve">thickness of the core </t>
  </si>
  <si>
    <t>density of the core</t>
  </si>
  <si>
    <t>Youngs modulus in the longitudinal direction of uni</t>
  </si>
  <si>
    <t>Youngs modulus in the transverse direction of uni</t>
  </si>
  <si>
    <t>Poisson's Ratio of uni</t>
  </si>
  <si>
    <t>Shear modulus of uni</t>
  </si>
  <si>
    <t>Cell Size</t>
  </si>
  <si>
    <t>Fabric Used</t>
  </si>
  <si>
    <t>Uni Used</t>
  </si>
  <si>
    <t xml:space="preserve">Cycom 5320-1 Fabric from boeing </t>
  </si>
  <si>
    <t xml:space="preserve">Cycom 5320-1 uni from boeing </t>
  </si>
  <si>
    <t>Hexcel IM7 fabric</t>
  </si>
  <si>
    <t>Core Used</t>
  </si>
  <si>
    <t>PAMG-XR1-3.4-1/4-N-5056</t>
  </si>
  <si>
    <t>Rig_comp (N/mm)</t>
  </si>
  <si>
    <t>Aldila X534-AF254-150/35) (50K tow)</t>
  </si>
  <si>
    <t>Aldila 3K2X2-AX021610G-024/36 (2x2 weave)</t>
  </si>
  <si>
    <t>Nomex HRH10 1/8cell dens3lbf/ft3</t>
  </si>
  <si>
    <t>TC250 AS4 8HS prepreg cloth</t>
  </si>
  <si>
    <t>MTM49 M55J uni</t>
  </si>
  <si>
    <t>PAMG XR1 0.7” thick 3.1 lb/ft3 3/16” cell size 5052 aluminum honeycomb core</t>
  </si>
  <si>
    <t>5056 F40 2.1 flexcore from Hexcel</t>
  </si>
  <si>
    <t>ECK3.2 72 kevlar hexagonal core</t>
  </si>
  <si>
    <t>E745 200g/m^2 [2X2] Twill IM7 6k 42%</t>
  </si>
  <si>
    <t>Toray T700 Plain Weave</t>
  </si>
  <si>
    <t>Toray T800 Uni</t>
  </si>
  <si>
    <t>Toray T800</t>
  </si>
  <si>
    <t>M40J</t>
  </si>
  <si>
    <t>M46J</t>
  </si>
  <si>
    <t>Hexcel HRH-10-1/8-4.0 12.7mm</t>
  </si>
  <si>
    <t>Hexcel HRH-10-1/8-4.0 0.75in</t>
  </si>
  <si>
    <t>Hexcel HRH-10-1/8-3.0 1.0in</t>
  </si>
  <si>
    <t>Hexcel HRH-10-1/8-5.0 0.2in</t>
  </si>
  <si>
    <t>Hexcel HRH-10-1/8-4.0 0.49in</t>
  </si>
  <si>
    <t>Hexcel HRH-10-1/8-4.0 25.4mm</t>
  </si>
  <si>
    <t>Hexcel HRH-10-1/8-3.0 25.4mm</t>
  </si>
  <si>
    <t>Hexcel HRH-10-1/8-4.0 0.5in</t>
  </si>
  <si>
    <t>Hexcel HRH-10-1/8-4.0 1.0in</t>
  </si>
  <si>
    <t>Hexcel HRH-10/OX-3/16-3.0 25.4mm</t>
  </si>
  <si>
    <t>t_inner (mm)</t>
  </si>
  <si>
    <t>t_outer (mm)</t>
  </si>
  <si>
    <t>ultimate compressive strength *scaled using thickness relative to tested datasheet thickness according to buckling equation</t>
  </si>
  <si>
    <t>HTS40/TC275-1 Fabric</t>
  </si>
  <si>
    <t>M46J/TC250 Uni</t>
  </si>
  <si>
    <t>4.3 lb/ft3 flexcore 0.7in</t>
  </si>
  <si>
    <t>areal weight</t>
  </si>
  <si>
    <t>hexcel 3.1lb/ft3 5052 honecomb 0.5in</t>
  </si>
  <si>
    <t>hexcel 3.1lb/ft3 5052 honecomb 0.7in</t>
  </si>
  <si>
    <t>*if red, outlier within total dataset, *if blue highlight, outlier within own dataset</t>
  </si>
  <si>
    <r>
      <t>TR20_0F_45F_0F_0U2_0F2_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_ditto_small</t>
    </r>
  </si>
  <si>
    <r>
      <t>NR18_0F_45F_0U_45F_0F_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_0F_0U_0F</t>
    </r>
  </si>
  <si>
    <r>
      <t>NR17_0F_45F_0F_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 xml:space="preserve">_0U2_0F </t>
    </r>
  </si>
  <si>
    <r>
      <t>NR18_0F_45F_0F_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_0F_0U2_0F</t>
    </r>
  </si>
  <si>
    <r>
      <t>NR17_0F_45U_-45U_0F_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_0F_0U_0F</t>
    </r>
  </si>
  <si>
    <r>
      <t>TR20_0F_45F_0F_0U2_0F_45F_0F_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_ditto_small</t>
    </r>
  </si>
  <si>
    <r>
      <t>TR20_0F_45F_0U2_45F_0F_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_ditto_small</t>
    </r>
  </si>
  <si>
    <r>
      <t>TR20_0F_45F_0F_0U2_0F_45F_0F_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</si>
  <si>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TR20_0F_45F_0U2_45F_0F_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</si>
  <si>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TR20_0F_45F_0U_0F_0U_0F_0U_45F_0F_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</si>
  <si>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CalPoly14_45F_0F_0U_0F_45F_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</si>
  <si>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CalPoly15_45F_0F_45U_-45U_0F_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</si>
  <si>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CalPoly15_45F_0F_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</si>
  <si>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CalPoly15_(45F_0F)x5_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</si>
  <si>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CalPoly17_45F_0U_0F_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</si>
  <si>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CalPoly17_45F_0U_0F_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_ditto_v2</t>
    </r>
  </si>
  <si>
    <r>
      <t>CalPoly17_45F_0U_0F_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_ditto_v3</t>
    </r>
  </si>
  <si>
    <r>
      <t>NTNU14_90F_45F_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_45F_90F_30mmflex</t>
    </r>
  </si>
  <si>
    <r>
      <t>NTNU14_90F_45F_90F_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_45F_90F_30mmflex</t>
    </r>
  </si>
  <si>
    <r>
      <t>NTNU14_90F_45F_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_45F_90F_12.7mmkev</t>
    </r>
  </si>
  <si>
    <r>
      <t>GFR2011.BB.01.01_45F_90F_0U_45F_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</si>
  <si>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GFR2011.BB.01.02_45F_90F_0U_45F_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</si>
  <si>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GFR2011.BB.01.03_45F_90F_0U_45F_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</si>
  <si>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GFR2011.BB.01.04_45F_90F_0U_45F_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</si>
  <si>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GFR2012.BB.05_0U3_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</si>
  <si>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GFR2012.BB.07_45F_90F_0U_90F_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</si>
  <si>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GFR2013.BB.02_45F_0U_0F_45F_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</si>
  <si>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GFR2013.BB.03_45F_0U2_0F_45F_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</si>
  <si>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GFR2013.BB.07_0U_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</si>
  <si>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GFR2013.BB.08_0U_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</si>
  <si>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GFR2014.BB.01_45F_0U2_0F_0U_45F_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</si>
  <si>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GFR2014.BB.03_45F_0U5_0F_0U5_45F_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</si>
  <si>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GFR2014.BB.04_45F_0U3_0F_0U4_45F_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</si>
  <si>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r>
      <t>GFR2014.BB.05_45F_0U_0F_0U_45F_0U_0F_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</si>
  <si>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t>Stiffness Error (%)</t>
  </si>
  <si>
    <t>Code Stiffness (N/mm)</t>
  </si>
  <si>
    <t>EI (N*m^2)</t>
  </si>
  <si>
    <t>Code EI (N*m^2)</t>
  </si>
  <si>
    <t>t_u nominal (m)</t>
  </si>
  <si>
    <t>t_f code match (m)</t>
  </si>
  <si>
    <t>t_u code match (m)</t>
  </si>
  <si>
    <t>Thickness of fabric plies that yeilds correct theoretical results</t>
  </si>
  <si>
    <t>Thickness of uni plies that yeilds correct theoretical results</t>
  </si>
  <si>
    <t>thickness of the core that yeilds correct theoretical result</t>
  </si>
  <si>
    <t>Shear modulus of core</t>
  </si>
  <si>
    <t>NR18_0F_45F_0F_C_0F_0U3_0F</t>
  </si>
  <si>
    <r>
      <t>NR17_0F11_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_0F2_0U_0F2</t>
    </r>
  </si>
  <si>
    <r>
      <t>NR17_0F_45F_0F_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_0F_0U5_0F</t>
    </r>
  </si>
  <si>
    <r>
      <t>CalPoly16_45U_0U_-45U_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_ditto</t>
    </r>
  </si>
  <si>
    <t>K_raw (N/mm)</t>
  </si>
  <si>
    <t>Rig Compliance</t>
  </si>
  <si>
    <t>K_corr (N/mm)</t>
  </si>
  <si>
    <t>Corrected Panel Stiffness</t>
  </si>
  <si>
    <t>Panel Stiffness not corrected for rig compliance (need to clean and note which are corrected for rig compliance)</t>
  </si>
  <si>
    <t>Panel stiffness predicted by the code</t>
  </si>
  <si>
    <t>Sources:</t>
  </si>
  <si>
    <t>Sources used to gather properties</t>
  </si>
  <si>
    <t>https://www.plascore.com/download/datasheets/honeycomb_data_sheets/PLA_PAMG-XR1-5052_2.pdf</t>
  </si>
  <si>
    <t>https://www.hexcel.com/user_area/content_media/raw/HexWeb_CRIII_DataSheet.pdf</t>
  </si>
  <si>
    <t>https://www.plascore.com/download/datasheets/honeycomb_data_sheets/PLA_PAMG-XR1-5056_2.pdf</t>
  </si>
  <si>
    <t>Dimensjonering, analyse og testing av inserts I karbonfiber kompositt sandwich chassis" </t>
  </si>
  <si>
    <t>"Design of Composite Sandwich Panels for a Formula SAE Monocoque Chassis", https://www.hexcel.com/user_area/content_media/raw/HexWeb_HRH10_DataSheet_us(1).pdf</t>
  </si>
  <si>
    <t>v12_f</t>
  </si>
  <si>
    <t>v12_u</t>
  </si>
  <si>
    <t>Ultimate Tensile Strength of uni in 1 direction</t>
  </si>
  <si>
    <t>Ultimate compressive strength of uni in 1 direction</t>
  </si>
  <si>
    <t>Ultimate Tensile Strength of uni in 2 direction</t>
  </si>
  <si>
    <t>Ultimate compressive strength of uni in 2 direction</t>
  </si>
  <si>
    <t>Uni Shear Strength</t>
  </si>
  <si>
    <t>F2t_f (Mpa)</t>
  </si>
  <si>
    <t>F2c_f (Mpa)</t>
  </si>
  <si>
    <t>F12_f (Mpa)</t>
  </si>
  <si>
    <t>Shear Strength (L Direction)</t>
  </si>
  <si>
    <t>Shear modulus (L Direction)</t>
  </si>
  <si>
    <t>Shear Modulus (W Direction)</t>
  </si>
  <si>
    <t>Shear Strength (W Direction)</t>
  </si>
  <si>
    <t>F1c_u (Pa)</t>
  </si>
  <si>
    <t>G12_u (Pa)</t>
  </si>
  <si>
    <t>F1t_u (Pa)</t>
  </si>
  <si>
    <t>E2_u (Pa)</t>
  </si>
  <si>
    <t>E1_u (Pa)</t>
  </si>
  <si>
    <t>E1_f (Pa)</t>
  </si>
  <si>
    <t>E2_f (Pa)</t>
  </si>
  <si>
    <t>G12_f (Pa)</t>
  </si>
  <si>
    <t>F1t_f (Pa)</t>
  </si>
  <si>
    <t>F1c_f (Pa)</t>
  </si>
  <si>
    <t>W_panel (m)</t>
  </si>
  <si>
    <t>L_brace (m)</t>
  </si>
  <si>
    <t>t_core (m)</t>
  </si>
  <si>
    <t>t_core code match (m)</t>
  </si>
  <si>
    <t>F_c (Pa)</t>
  </si>
  <si>
    <t>F2t_u (Pa)</t>
  </si>
  <si>
    <t>F2c_u (Pa)</t>
  </si>
  <si>
    <t>F12_u (Pa)</t>
  </si>
  <si>
    <t>G13_core (W direction) (Pa)</t>
  </si>
  <si>
    <t>G23_core (L direction) (Pa)</t>
  </si>
  <si>
    <t>d_core (kg/m^3)</t>
  </si>
  <si>
    <t>cs_core (m)</t>
  </si>
  <si>
    <t>G12_core (Pa)</t>
  </si>
  <si>
    <t>Aw_f (kg/m^2)</t>
  </si>
  <si>
    <t>Area weight of uni</t>
  </si>
  <si>
    <t>Aw_u (kg/m^2)</t>
  </si>
  <si>
    <t>E1_c (Pa)</t>
  </si>
  <si>
    <t>E2_c (Pa)</t>
  </si>
  <si>
    <t>v12_c</t>
  </si>
  <si>
    <t>poisson ratio of core</t>
  </si>
  <si>
    <t>youngs modudlus of core in 1 direction</t>
  </si>
  <si>
    <t>youngs modudlus of core in 2 direction</t>
  </si>
  <si>
    <t>https://www.hexcel.com/user_area/content_media/raw/HexWeb_HRH10_DataSheet_eu(1).pdf</t>
  </si>
  <si>
    <t>"Carbon Fiber Monocoque Development For a Formula SAE Racecar", https://www.plascore.com/honeycomb/honeycomb-cores/aluminum/pamg-xr1-5052-aluminum-honeycomb/</t>
  </si>
  <si>
    <t>F_W_core (Pa)</t>
  </si>
  <si>
    <t>F_L_core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</si>
</sst>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1" fillId="0" borderId="3" xfId="0" applyFont="1" applyBorder="1"/>
    <xf numFmtId="0" fontId="1" fillId="7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0" borderId="5" xfId="0" applyFont="1" applyBorder="1"/>
    <xf numFmtId="0" fontId="0" fillId="7" borderId="6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1" xfId="0" applyFill="1" applyBorder="1"/>
    <xf numFmtId="0" fontId="0" fillId="0" borderId="7" xfId="0" applyBorder="1"/>
    <xf numFmtId="11" fontId="0" fillId="7" borderId="1" xfId="0" applyNumberFormat="1" applyFill="1" applyBorder="1"/>
    <xf numFmtId="0" fontId="5" fillId="7" borderId="6" xfId="0" applyFont="1" applyFill="1" applyBorder="1"/>
    <xf numFmtId="0" fontId="5" fillId="7" borderId="1" xfId="0" applyFont="1" applyFill="1" applyBorder="1"/>
    <xf numFmtId="0" fontId="0" fillId="0" borderId="0" xfId="0" applyFill="1"/>
    <xf numFmtId="0" fontId="0" fillId="0" borderId="9" xfId="0" applyFill="1" applyBorder="1"/>
    <xf numFmtId="11" fontId="0" fillId="7" borderId="1" xfId="0" applyNumberFormat="1" applyFont="1" applyFill="1" applyBorder="1"/>
    <xf numFmtId="0" fontId="0" fillId="7" borderId="10" xfId="0" applyFill="1" applyBorder="1"/>
    <xf numFmtId="0" fontId="5" fillId="0" borderId="11" xfId="0" applyFont="1" applyFill="1" applyBorder="1"/>
    <xf numFmtId="0" fontId="5" fillId="8" borderId="12" xfId="0" applyFont="1" applyFill="1" applyBorder="1"/>
    <xf numFmtId="0" fontId="5" fillId="9" borderId="12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0" fillId="6" borderId="10" xfId="0" applyFill="1" applyBorder="1"/>
    <xf numFmtId="0" fontId="5" fillId="0" borderId="11" xfId="0" applyFont="1" applyBorder="1"/>
    <xf numFmtId="0" fontId="5" fillId="6" borderId="12" xfId="0" applyFont="1" applyFill="1" applyBorder="1"/>
    <xf numFmtId="0" fontId="5" fillId="10" borderId="12" xfId="0" applyFont="1" applyFill="1" applyBorder="1"/>
    <xf numFmtId="0" fontId="5" fillId="0" borderId="12" xfId="0" applyFont="1" applyFill="1" applyBorder="1"/>
    <xf numFmtId="0" fontId="0" fillId="0" borderId="1" xfId="0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7" borderId="1" xfId="0" applyFont="1" applyFill="1" applyBorder="1"/>
    <xf numFmtId="0" fontId="5" fillId="2" borderId="1" xfId="0" applyFont="1" applyFill="1" applyBorder="1"/>
    <xf numFmtId="11" fontId="0" fillId="3" borderId="1" xfId="0" applyNumberFormat="1" applyFill="1" applyBorder="1"/>
    <xf numFmtId="11" fontId="0" fillId="6" borderId="1" xfId="0" applyNumberFormat="1" applyFill="1" applyBorder="1"/>
    <xf numFmtId="11" fontId="0" fillId="2" borderId="1" xfId="0" applyNumberFormat="1" applyFill="1" applyBorder="1"/>
    <xf numFmtId="11" fontId="0" fillId="5" borderId="1" xfId="0" applyNumberFormat="1" applyFill="1" applyBorder="1"/>
    <xf numFmtId="11" fontId="0" fillId="5" borderId="2" xfId="0" applyNumberFormat="1" applyFill="1" applyBorder="1"/>
    <xf numFmtId="11" fontId="0" fillId="5" borderId="8" xfId="0" applyNumberFormat="1" applyFill="1" applyBorder="1"/>
    <xf numFmtId="11" fontId="0" fillId="6" borderId="8" xfId="0" applyNumberFormat="1" applyFill="1" applyBorder="1"/>
    <xf numFmtId="0" fontId="5" fillId="11" borderId="12" xfId="0" applyFont="1" applyFill="1" applyBorder="1"/>
    <xf numFmtId="0" fontId="0" fillId="11" borderId="10" xfId="0" applyFill="1" applyBorder="1"/>
    <xf numFmtId="0" fontId="5" fillId="11" borderId="1" xfId="0" applyFont="1" applyFill="1" applyBorder="1"/>
    <xf numFmtId="0" fontId="0" fillId="11" borderId="1" xfId="0" applyFill="1" applyBorder="1"/>
    <xf numFmtId="11" fontId="0" fillId="11" borderId="1" xfId="0" applyNumberFormat="1" applyFill="1" applyBorder="1"/>
    <xf numFmtId="0" fontId="0" fillId="11" borderId="2" xfId="0" applyFill="1" applyBorder="1"/>
    <xf numFmtId="0" fontId="0" fillId="11" borderId="0" xfId="0" applyFill="1"/>
    <xf numFmtId="0" fontId="0" fillId="7" borderId="14" xfId="0" applyFill="1" applyBorder="1"/>
    <xf numFmtId="11" fontId="5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lincolnlai@gmail.com" id="{B17A3413-6106-41FD-817A-39384B5F0304}" userId="d64d2a98f25f36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0-02-08T16:10:46.37" personId="{B17A3413-6106-41FD-817A-39384B5F0304}" id="{8A5656A9-1BF0-49F0-B842-497B3D196C93}">
    <text>May be missing something here</text>
  </threadedComment>
  <threadedComment ref="B7" dT="2020-02-08T16:01:15.04" personId="{B17A3413-6106-41FD-817A-39384B5F0304}" id="{D4A52697-D429-4CC2-9E98-0E5322A887A5}">
    <text>May not be the the right number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8AB4-FBC6-46A8-8A7D-8023B69A2789}">
  <dimension ref="A1:BJ40"/>
  <sheetViews>
    <sheetView tabSelected="1" zoomScale="85" zoomScaleNormal="85" workbookViewId="0">
      <pane xSplit="1" topLeftCell="AO1" activePane="topRight" state="frozen"/>
      <selection pane="topRight" activeCell="X12" sqref="X12"/>
    </sheetView>
  </sheetViews>
  <sheetFormatPr defaultRowHeight="14.4" x14ac:dyDescent="0.3"/>
  <cols>
    <col min="1" max="1" width="46.88671875" customWidth="1"/>
    <col min="2" max="6" width="20.44140625" style="5" customWidth="1"/>
    <col min="7" max="9" width="17.44140625" style="5" customWidth="1"/>
    <col min="10" max="10" width="10.21875" style="1" customWidth="1"/>
    <col min="11" max="11" width="9.88671875" style="1" customWidth="1"/>
    <col min="12" max="12" width="10.77734375" style="1" customWidth="1"/>
    <col min="13" max="13" width="9.77734375" style="1" bestFit="1" customWidth="1"/>
    <col min="14" max="14" width="9.88671875" style="1" customWidth="1"/>
    <col min="15" max="15" width="17.5546875" style="1" bestFit="1" customWidth="1"/>
    <col min="16" max="16" width="16.5546875" style="1" customWidth="1"/>
    <col min="17" max="18" width="12" style="1" bestFit="1" customWidth="1"/>
    <col min="19" max="19" width="9.33203125" style="1" customWidth="1"/>
    <col min="20" max="20" width="12.6640625" style="1" bestFit="1" customWidth="1"/>
    <col min="21" max="21" width="11.77734375" style="1" customWidth="1"/>
    <col min="22" max="22" width="12.109375" style="1" customWidth="1"/>
    <col min="23" max="25" width="17.5546875" style="1" bestFit="1" customWidth="1"/>
    <col min="26" max="26" width="8.88671875" style="2"/>
    <col min="27" max="27" width="8.77734375" style="2" bestFit="1" customWidth="1"/>
    <col min="28" max="28" width="8.88671875" style="2"/>
    <col min="29" max="29" width="10.33203125" style="2" bestFit="1" customWidth="1"/>
    <col min="30" max="30" width="16.5546875" style="2" customWidth="1"/>
    <col min="31" max="31" width="18" style="2" bestFit="1" customWidth="1"/>
    <col min="32" max="32" width="13.44140625" style="2" customWidth="1"/>
    <col min="33" max="33" width="10.77734375" style="2" customWidth="1"/>
    <col min="34" max="34" width="10.44140625" style="2" customWidth="1"/>
    <col min="35" max="35" width="6.77734375" style="2" customWidth="1"/>
    <col min="36" max="36" width="13.21875" style="2" bestFit="1" customWidth="1"/>
    <col min="37" max="37" width="12.21875" style="2" customWidth="1"/>
    <col min="38" max="38" width="23.109375" style="2" customWidth="1"/>
    <col min="39" max="41" width="12.21875" style="2" customWidth="1"/>
    <col min="42" max="42" width="9.6640625" style="4" customWidth="1"/>
    <col min="43" max="43" width="20.77734375" style="4" bestFit="1" customWidth="1"/>
    <col min="44" max="44" width="16.21875" style="4" customWidth="1"/>
    <col min="45" max="48" width="13.21875" style="4" customWidth="1"/>
    <col min="49" max="49" width="14.6640625" style="4" customWidth="1"/>
    <col min="50" max="50" width="25.21875" style="4" bestFit="1" customWidth="1"/>
    <col min="51" max="51" width="25.5546875" style="4" bestFit="1" customWidth="1"/>
    <col min="52" max="53" width="25.5546875" style="4" customWidth="1"/>
    <col min="54" max="54" width="13.5546875" style="4" customWidth="1"/>
    <col min="55" max="55" width="13.6640625" style="3" bestFit="1" customWidth="1"/>
    <col min="56" max="60" width="12.77734375" style="3" customWidth="1"/>
    <col min="61" max="61" width="36.77734375" style="3" customWidth="1"/>
  </cols>
  <sheetData>
    <row r="1" spans="1:62" s="15" customFormat="1" ht="15" thickBot="1" x14ac:dyDescent="0.35">
      <c r="A1" s="9" t="s">
        <v>0</v>
      </c>
      <c r="B1" s="10" t="s">
        <v>130</v>
      </c>
      <c r="C1" s="10" t="s">
        <v>46</v>
      </c>
      <c r="D1" s="10" t="s">
        <v>132</v>
      </c>
      <c r="E1" s="10" t="s">
        <v>116</v>
      </c>
      <c r="F1" s="10" t="s">
        <v>115</v>
      </c>
      <c r="G1" s="10" t="s">
        <v>9</v>
      </c>
      <c r="H1" s="10" t="s">
        <v>117</v>
      </c>
      <c r="I1" s="10" t="s">
        <v>118</v>
      </c>
      <c r="J1" s="11" t="s">
        <v>1</v>
      </c>
      <c r="K1" s="11" t="s">
        <v>2</v>
      </c>
      <c r="L1" s="11" t="s">
        <v>5</v>
      </c>
      <c r="M1" s="11" t="s">
        <v>6</v>
      </c>
      <c r="N1" s="11" t="s">
        <v>10</v>
      </c>
      <c r="O1" s="11" t="s">
        <v>120</v>
      </c>
      <c r="P1" s="11" t="s">
        <v>180</v>
      </c>
      <c r="Q1" s="11" t="s">
        <v>162</v>
      </c>
      <c r="R1" s="11" t="s">
        <v>163</v>
      </c>
      <c r="S1" s="11" t="s">
        <v>143</v>
      </c>
      <c r="T1" s="11" t="s">
        <v>164</v>
      </c>
      <c r="U1" s="11" t="s">
        <v>165</v>
      </c>
      <c r="V1" s="11" t="s">
        <v>166</v>
      </c>
      <c r="W1" s="11" t="s">
        <v>150</v>
      </c>
      <c r="X1" s="11" t="s">
        <v>151</v>
      </c>
      <c r="Y1" s="11" t="s">
        <v>152</v>
      </c>
      <c r="Z1" s="12" t="s">
        <v>3</v>
      </c>
      <c r="AA1" s="12" t="s">
        <v>4</v>
      </c>
      <c r="AB1" s="12" t="s">
        <v>7</v>
      </c>
      <c r="AC1" s="12" t="s">
        <v>8</v>
      </c>
      <c r="AD1" s="12" t="s">
        <v>119</v>
      </c>
      <c r="AE1" s="12" t="s">
        <v>121</v>
      </c>
      <c r="AF1" s="12" t="s">
        <v>182</v>
      </c>
      <c r="AG1" s="12" t="s">
        <v>161</v>
      </c>
      <c r="AH1" s="12" t="s">
        <v>160</v>
      </c>
      <c r="AI1" s="12" t="s">
        <v>144</v>
      </c>
      <c r="AJ1" s="12" t="s">
        <v>158</v>
      </c>
      <c r="AK1" s="12" t="s">
        <v>159</v>
      </c>
      <c r="AL1" s="12" t="s">
        <v>157</v>
      </c>
      <c r="AM1" s="12" t="s">
        <v>172</v>
      </c>
      <c r="AN1" s="12" t="s">
        <v>173</v>
      </c>
      <c r="AO1" s="12" t="s">
        <v>174</v>
      </c>
      <c r="AP1" s="14" t="s">
        <v>169</v>
      </c>
      <c r="AQ1" s="14" t="s">
        <v>170</v>
      </c>
      <c r="AR1" s="14" t="s">
        <v>177</v>
      </c>
      <c r="AS1" s="14" t="s">
        <v>178</v>
      </c>
      <c r="AT1" s="14" t="s">
        <v>183</v>
      </c>
      <c r="AU1" s="14" t="s">
        <v>184</v>
      </c>
      <c r="AV1" s="14" t="s">
        <v>185</v>
      </c>
      <c r="AW1" s="14" t="s">
        <v>179</v>
      </c>
      <c r="AX1" s="14" t="s">
        <v>176</v>
      </c>
      <c r="AY1" s="14" t="s">
        <v>175</v>
      </c>
      <c r="AZ1" s="14" t="s">
        <v>192</v>
      </c>
      <c r="BA1" s="14" t="s">
        <v>191</v>
      </c>
      <c r="BB1" s="14" t="s">
        <v>171</v>
      </c>
      <c r="BC1" s="13" t="s">
        <v>167</v>
      </c>
      <c r="BD1" s="13" t="s">
        <v>168</v>
      </c>
      <c r="BE1" s="13" t="s">
        <v>71</v>
      </c>
      <c r="BF1" s="13" t="s">
        <v>72</v>
      </c>
      <c r="BG1" s="13" t="s">
        <v>39</v>
      </c>
      <c r="BH1" s="13" t="s">
        <v>40</v>
      </c>
      <c r="BI1" s="13" t="s">
        <v>44</v>
      </c>
      <c r="BJ1" s="15" t="s">
        <v>136</v>
      </c>
    </row>
    <row r="2" spans="1:62" ht="15" thickBot="1" x14ac:dyDescent="0.35">
      <c r="A2" t="s">
        <v>80</v>
      </c>
      <c r="B2" s="16" t="s">
        <v>134</v>
      </c>
      <c r="C2" s="24" t="s">
        <v>131</v>
      </c>
      <c r="D2" s="24" t="s">
        <v>133</v>
      </c>
      <c r="E2" s="16" t="s">
        <v>135</v>
      </c>
      <c r="F2" s="16"/>
      <c r="G2" s="16" t="s">
        <v>21</v>
      </c>
      <c r="H2" s="16"/>
      <c r="I2" s="16"/>
      <c r="J2" s="17" t="s">
        <v>22</v>
      </c>
      <c r="K2" s="17" t="s">
        <v>18</v>
      </c>
      <c r="L2" s="17" t="s">
        <v>19</v>
      </c>
      <c r="M2" s="17" t="s">
        <v>20</v>
      </c>
      <c r="N2" s="17" t="s">
        <v>11</v>
      </c>
      <c r="O2" s="17" t="s">
        <v>122</v>
      </c>
      <c r="P2" s="17" t="s">
        <v>77</v>
      </c>
      <c r="Q2" s="17" t="s">
        <v>14</v>
      </c>
      <c r="R2" s="17" t="s">
        <v>15</v>
      </c>
      <c r="S2" s="17" t="s">
        <v>16</v>
      </c>
      <c r="T2" s="17" t="s">
        <v>13</v>
      </c>
      <c r="U2" s="17" t="s">
        <v>12</v>
      </c>
      <c r="V2" s="17" t="s">
        <v>17</v>
      </c>
      <c r="W2" s="17"/>
      <c r="X2" s="17"/>
      <c r="Y2" s="17"/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123</v>
      </c>
      <c r="AF2" s="18" t="s">
        <v>181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145</v>
      </c>
      <c r="AL2" s="18" t="s">
        <v>146</v>
      </c>
      <c r="AM2" s="18" t="s">
        <v>147</v>
      </c>
      <c r="AN2" s="18" t="s">
        <v>148</v>
      </c>
      <c r="AO2" s="18" t="s">
        <v>149</v>
      </c>
      <c r="AP2" s="20" t="s">
        <v>32</v>
      </c>
      <c r="AQ2" s="20" t="s">
        <v>124</v>
      </c>
      <c r="AR2" s="20" t="s">
        <v>33</v>
      </c>
      <c r="AS2" s="20" t="s">
        <v>38</v>
      </c>
      <c r="AT2" s="20" t="s">
        <v>187</v>
      </c>
      <c r="AU2" s="20" t="s">
        <v>188</v>
      </c>
      <c r="AV2" s="20" t="s">
        <v>186</v>
      </c>
      <c r="AW2" s="20" t="s">
        <v>125</v>
      </c>
      <c r="AX2" s="20" t="s">
        <v>154</v>
      </c>
      <c r="AY2" s="20" t="s">
        <v>155</v>
      </c>
      <c r="AZ2" s="20" t="s">
        <v>153</v>
      </c>
      <c r="BA2" s="20" t="s">
        <v>156</v>
      </c>
      <c r="BB2" s="20" t="s">
        <v>73</v>
      </c>
      <c r="BC2" s="19" t="s">
        <v>28</v>
      </c>
      <c r="BD2" s="19" t="s">
        <v>29</v>
      </c>
      <c r="BE2" s="19" t="s">
        <v>30</v>
      </c>
      <c r="BF2" s="19" t="s">
        <v>31</v>
      </c>
      <c r="BG2" s="19"/>
      <c r="BH2" s="19"/>
      <c r="BI2" s="19"/>
      <c r="BJ2" s="20" t="s">
        <v>137</v>
      </c>
    </row>
    <row r="3" spans="1:62" s="22" customFormat="1" x14ac:dyDescent="0.3">
      <c r="A3" s="36" t="s">
        <v>82</v>
      </c>
      <c r="B3" s="35">
        <v>1348.96</v>
      </c>
      <c r="C3" s="43">
        <v>50000</v>
      </c>
      <c r="D3" s="25">
        <f>IF(C3&lt;=0,"",((1/B3) - (1/C3))^(-1))</f>
        <v>1386.3629636694304</v>
      </c>
      <c r="E3" s="23">
        <v>1883.02446735591</v>
      </c>
      <c r="F3" s="5">
        <f t="shared" ref="F3:F5" si="0">IF(E3&lt;=0,"",(E3-B3)/B3*100)</f>
        <v>39.590830518022031</v>
      </c>
      <c r="G3" s="5">
        <v>8122.45</v>
      </c>
      <c r="H3" s="5"/>
      <c r="I3" s="40">
        <f>0.0055*25.4</f>
        <v>0.13969999999999999</v>
      </c>
      <c r="J3" s="1">
        <v>2</v>
      </c>
      <c r="K3" s="1">
        <v>0</v>
      </c>
      <c r="L3" s="1">
        <v>2</v>
      </c>
      <c r="M3" s="1">
        <v>2</v>
      </c>
      <c r="N3" s="1">
        <f xml:space="preserve"> (0.075/4)*0.0254</f>
        <v>4.7624999999999995E-4</v>
      </c>
      <c r="O3" s="1">
        <f xml:space="preserve"> (0.075/4)*0.0254</f>
        <v>4.7624999999999995E-4</v>
      </c>
      <c r="P3" s="1">
        <f>590/1000</f>
        <v>0.59</v>
      </c>
      <c r="Q3" s="47">
        <f xml:space="preserve"> 0.6*10.02/0.1415*10^9</f>
        <v>42487632508.833923</v>
      </c>
      <c r="R3" s="47">
        <f xml:space="preserve"> 0.6*9.9/0.1415*10^9</f>
        <v>41978798586.572449</v>
      </c>
      <c r="S3" s="1">
        <v>4.8000000000000001E-2</v>
      </c>
      <c r="T3" s="47">
        <f xml:space="preserve"> 0.6*0.81/0.1451*10^9</f>
        <v>3349414197.1054444</v>
      </c>
      <c r="U3" s="46">
        <f xml:space="preserve"> 0.6*117.4*6.89476*10^6</f>
        <v>485666894.39999998</v>
      </c>
      <c r="V3" s="46">
        <f xml:space="preserve"> 0.6*121*6.89476*10^6</f>
        <v>500559575.99999994</v>
      </c>
      <c r="W3" s="1"/>
      <c r="X3" s="1"/>
      <c r="Y3" s="1"/>
      <c r="Z3" s="2">
        <v>1</v>
      </c>
      <c r="AA3" s="2">
        <v>0</v>
      </c>
      <c r="AB3" s="2">
        <v>1</v>
      </c>
      <c r="AC3" s="2">
        <v>0</v>
      </c>
      <c r="AD3" s="2">
        <f xml:space="preserve"> (0.025/4)*0.0254</f>
        <v>1.5875000000000001E-4</v>
      </c>
      <c r="AE3" s="2">
        <f xml:space="preserve"> (0.025/4)*0.0254</f>
        <v>1.5875000000000001E-4</v>
      </c>
      <c r="AF3" s="2">
        <f>11/(500)*10000/1000</f>
        <v>0.22</v>
      </c>
      <c r="AG3" s="45">
        <f xml:space="preserve"> 0.6*22.8/0.1451*10^9</f>
        <v>94279807029.63472</v>
      </c>
      <c r="AH3" s="45">
        <f xml:space="preserve"> 0.6*1.36/0.1451*10^9</f>
        <v>5623707787.7325983</v>
      </c>
      <c r="AI3" s="2">
        <v>0.3</v>
      </c>
      <c r="AJ3" s="45">
        <f>0.6*0.8/0.1451*10^9</f>
        <v>3308063404.5485868</v>
      </c>
      <c r="AK3" s="46">
        <f>0.6*363*6.89476*10^6</f>
        <v>1501678727.9999998</v>
      </c>
      <c r="AL3" s="46">
        <f>0.6*301*6.89476*10^6</f>
        <v>1245193656</v>
      </c>
      <c r="AM3" s="2"/>
      <c r="AN3" s="2"/>
      <c r="AO3" s="2"/>
      <c r="AP3" s="4">
        <f>5/8*25.4/1000</f>
        <v>1.5875E-2</v>
      </c>
      <c r="AQ3" s="4">
        <f>5/8*25.4/1000</f>
        <v>1.5875E-2</v>
      </c>
      <c r="AR3" s="4">
        <f>3.4*16.0185</f>
        <v>54.462899999999998</v>
      </c>
      <c r="AS3" s="4">
        <f>0.25*25.4/1000</f>
        <v>6.3499999999999997E-3</v>
      </c>
      <c r="AT3" s="21">
        <v>86</v>
      </c>
      <c r="AU3" s="21">
        <v>40</v>
      </c>
      <c r="AV3" s="21">
        <v>1</v>
      </c>
      <c r="AW3" s="46">
        <f t="shared" ref="AW3:AW40" si="1">4.46*6894.76</f>
        <v>30750.6296</v>
      </c>
      <c r="AX3" s="48">
        <f>52*6895000</f>
        <v>358540000</v>
      </c>
      <c r="AY3" s="48">
        <f>22*6895000</f>
        <v>151690000</v>
      </c>
      <c r="AZ3" s="48"/>
      <c r="BA3" s="48"/>
      <c r="BB3" s="48">
        <f>2.94*10^6</f>
        <v>2940000</v>
      </c>
      <c r="BC3" s="3">
        <f>275/1000</f>
        <v>0.27500000000000002</v>
      </c>
      <c r="BD3" s="3">
        <f>15.5*25.4/1000</f>
        <v>0.39369999999999999</v>
      </c>
      <c r="BE3" s="3">
        <f>1000*($AD3*($Z3+$AA3) + $N3*($J3+$K3))</f>
        <v>1.1112499999999998</v>
      </c>
      <c r="BF3" s="3">
        <f>1000*($AD3*($AB3+$AC3) + $N3*($M3+$L3))</f>
        <v>2.0637499999999998</v>
      </c>
      <c r="BG3" s="3" t="s">
        <v>41</v>
      </c>
      <c r="BH3" s="3" t="s">
        <v>42</v>
      </c>
      <c r="BI3" s="3" t="s">
        <v>45</v>
      </c>
      <c r="BJ3" s="26" t="s">
        <v>140</v>
      </c>
    </row>
    <row r="4" spans="1:62" x14ac:dyDescent="0.3">
      <c r="A4" s="33" t="s">
        <v>83</v>
      </c>
      <c r="B4" s="29">
        <v>1576.49</v>
      </c>
      <c r="C4" s="43">
        <v>50000</v>
      </c>
      <c r="D4" s="25">
        <f t="shared" ref="D4:D40" si="2">IF(C4&lt;=0,"",((1/B4) - (1/C4))^(-1))</f>
        <v>1627.8146710141418</v>
      </c>
      <c r="E4" s="23">
        <v>1434.0550646259401</v>
      </c>
      <c r="F4" s="5">
        <f t="shared" si="0"/>
        <v>-9.034940619608113</v>
      </c>
      <c r="G4" s="5">
        <v>9886.08</v>
      </c>
      <c r="J4" s="1">
        <v>1</v>
      </c>
      <c r="K4" s="1">
        <v>0</v>
      </c>
      <c r="L4" s="1">
        <v>2</v>
      </c>
      <c r="M4" s="1">
        <v>1</v>
      </c>
      <c r="N4" s="6">
        <f t="shared" ref="N4:O9" si="3" xml:space="preserve"> (0.075/4)*0.0254</f>
        <v>4.7624999999999995E-4</v>
      </c>
      <c r="O4" s="6">
        <f t="shared" si="3"/>
        <v>4.7624999999999995E-4</v>
      </c>
      <c r="P4" s="1">
        <f t="shared" ref="P4:P9" si="4">590/1000</f>
        <v>0.59</v>
      </c>
      <c r="Q4" s="47">
        <f t="shared" ref="Q4:Q9" si="5" xml:space="preserve"> 0.6*10.02/0.1415*10^9</f>
        <v>42487632508.833923</v>
      </c>
      <c r="R4" s="47">
        <f t="shared" ref="R4:R9" si="6" xml:space="preserve"> 0.6*9.9/0.1415*10^9</f>
        <v>41978798586.572449</v>
      </c>
      <c r="S4" s="1">
        <v>4.8000000000000001E-2</v>
      </c>
      <c r="T4" s="47">
        <f t="shared" ref="T4:T9" si="7" xml:space="preserve"> 0.6*0.81/0.1451*10^9</f>
        <v>3349414197.1054444</v>
      </c>
      <c r="U4" s="46">
        <f t="shared" ref="U4:U9" si="8" xml:space="preserve"> 0.6*117.4*6.89476*10^6</f>
        <v>485666894.39999998</v>
      </c>
      <c r="V4" s="46">
        <f t="shared" ref="V4:V9" si="9" xml:space="preserve"> 0.6*121*6.89476*10^6</f>
        <v>500559575.99999994</v>
      </c>
      <c r="W4" s="6"/>
      <c r="X4" s="6"/>
      <c r="Y4" s="6"/>
      <c r="Z4" s="2">
        <v>2</v>
      </c>
      <c r="AA4" s="2">
        <v>0</v>
      </c>
      <c r="AB4" s="2">
        <v>0</v>
      </c>
      <c r="AC4" s="2">
        <v>0</v>
      </c>
      <c r="AD4" s="7">
        <f t="shared" ref="AD4:AE15" si="10" xml:space="preserve"> (0.025/4)*0.0254</f>
        <v>1.5875000000000001E-4</v>
      </c>
      <c r="AE4" s="7">
        <f t="shared" si="10"/>
        <v>1.5875000000000001E-4</v>
      </c>
      <c r="AF4" s="2">
        <f t="shared" ref="AF4:AF15" si="11">11/(500)*10000/1000</f>
        <v>0.22</v>
      </c>
      <c r="AG4" s="45">
        <f t="shared" ref="AG4:AG9" si="12" xml:space="preserve"> 0.6*22.8/0.1451*10^9</f>
        <v>94279807029.63472</v>
      </c>
      <c r="AH4" s="45">
        <f t="shared" ref="AH4:AH9" si="13" xml:space="preserve"> 0.6*1.36/0.1451*10^9</f>
        <v>5623707787.7325983</v>
      </c>
      <c r="AI4" s="7">
        <v>0.3</v>
      </c>
      <c r="AJ4" s="45">
        <f t="shared" ref="AJ4:AJ9" si="14">0.6*0.8/0.1451*10^9</f>
        <v>3308063404.5485868</v>
      </c>
      <c r="AK4" s="46">
        <f t="shared" ref="AK4:AK9" si="15">0.6*363*6.89476*10^6</f>
        <v>1501678727.9999998</v>
      </c>
      <c r="AL4" s="46">
        <f t="shared" ref="AL4:AL9" si="16">0.6*301*6.89476*10^6</f>
        <v>1245193656</v>
      </c>
      <c r="AM4" s="7"/>
      <c r="AN4" s="7"/>
      <c r="AO4" s="7"/>
      <c r="AP4" s="4">
        <f t="shared" ref="AP4:AQ15" si="17">5/8*25.4/1000</f>
        <v>1.5875E-2</v>
      </c>
      <c r="AQ4" s="4">
        <f t="shared" si="17"/>
        <v>1.5875E-2</v>
      </c>
      <c r="AR4" s="4">
        <f t="shared" ref="AR4:AR15" si="18">3.4*16.0185</f>
        <v>54.462899999999998</v>
      </c>
      <c r="AS4" s="4">
        <f t="shared" ref="AS4:AS15" si="19">0.25*25.4/1000</f>
        <v>6.3499999999999997E-3</v>
      </c>
      <c r="AT4" s="21">
        <v>86</v>
      </c>
      <c r="AU4" s="21">
        <v>40</v>
      </c>
      <c r="AV4" s="21">
        <v>1</v>
      </c>
      <c r="AW4" s="46">
        <f t="shared" si="1"/>
        <v>30750.6296</v>
      </c>
      <c r="AX4" s="48">
        <f t="shared" ref="AX4:AX15" si="20">52*6895000</f>
        <v>358540000</v>
      </c>
      <c r="AY4" s="48">
        <f t="shared" ref="AY4:AY15" si="21">22*6895000</f>
        <v>151690000</v>
      </c>
      <c r="AZ4" s="49"/>
      <c r="BA4" s="49"/>
      <c r="BB4" s="48">
        <f t="shared" ref="BB4:BB15" si="22">2.94*10^6</f>
        <v>2940000</v>
      </c>
      <c r="BC4" s="3">
        <f t="shared" ref="BC4:BC9" si="23">275/1000</f>
        <v>0.27500000000000002</v>
      </c>
      <c r="BD4" s="3">
        <f t="shared" ref="BD4:BD9" si="24">15.5*25.4/1000</f>
        <v>0.39369999999999999</v>
      </c>
      <c r="BE4" s="3">
        <f t="shared" ref="BE4:BE40" si="25">1000*($AD4*($Z4+$AA4) + $N4*($J4+$K4))</f>
        <v>0.79374999999999996</v>
      </c>
      <c r="BF4" s="3">
        <f t="shared" ref="BF4:BF40" si="26">1000*($AD4*($AB4+$AC4) + $N4*($M4+$L4))</f>
        <v>1.42875</v>
      </c>
      <c r="BG4" s="8" t="s">
        <v>41</v>
      </c>
      <c r="BH4" s="8" t="s">
        <v>42</v>
      </c>
      <c r="BI4" s="8" t="str">
        <f>BI3</f>
        <v>PAMG-XR1-3.4-1/4-N-5056</v>
      </c>
      <c r="BJ4" s="26" t="s">
        <v>140</v>
      </c>
    </row>
    <row r="5" spans="1:62" x14ac:dyDescent="0.3">
      <c r="A5" s="33" t="s">
        <v>128</v>
      </c>
      <c r="B5" s="29">
        <v>2489.7800000000002</v>
      </c>
      <c r="C5" s="43">
        <v>50000</v>
      </c>
      <c r="D5" s="25">
        <f t="shared" si="2"/>
        <v>2620.2572835907731</v>
      </c>
      <c r="E5" s="23">
        <v>2056.7709208475198</v>
      </c>
      <c r="F5" s="5">
        <f t="shared" si="0"/>
        <v>-17.391459452340381</v>
      </c>
      <c r="G5" s="5">
        <v>8411.58</v>
      </c>
      <c r="J5" s="1">
        <v>2</v>
      </c>
      <c r="K5" s="1">
        <v>0</v>
      </c>
      <c r="L5" s="1">
        <v>2</v>
      </c>
      <c r="M5" s="1">
        <v>1</v>
      </c>
      <c r="N5" s="6">
        <f t="shared" si="3"/>
        <v>4.7624999999999995E-4</v>
      </c>
      <c r="O5" s="6">
        <f t="shared" si="3"/>
        <v>4.7624999999999995E-4</v>
      </c>
      <c r="P5" s="1">
        <f t="shared" si="4"/>
        <v>0.59</v>
      </c>
      <c r="Q5" s="47">
        <f t="shared" si="5"/>
        <v>42487632508.833923</v>
      </c>
      <c r="R5" s="47">
        <f t="shared" si="6"/>
        <v>41978798586.572449</v>
      </c>
      <c r="S5" s="1">
        <v>4.8000000000000001E-2</v>
      </c>
      <c r="T5" s="47">
        <f t="shared" si="7"/>
        <v>3349414197.1054444</v>
      </c>
      <c r="U5" s="46">
        <f t="shared" si="8"/>
        <v>485666894.39999998</v>
      </c>
      <c r="V5" s="46">
        <f t="shared" si="9"/>
        <v>500559575.99999994</v>
      </c>
      <c r="W5" s="6"/>
      <c r="X5" s="6"/>
      <c r="Y5" s="6"/>
      <c r="Z5" s="2">
        <v>5</v>
      </c>
      <c r="AA5" s="2">
        <v>0</v>
      </c>
      <c r="AB5" s="2">
        <v>0</v>
      </c>
      <c r="AC5" s="2">
        <v>0</v>
      </c>
      <c r="AD5" s="7">
        <f t="shared" si="10"/>
        <v>1.5875000000000001E-4</v>
      </c>
      <c r="AE5" s="7">
        <f t="shared" si="10"/>
        <v>1.5875000000000001E-4</v>
      </c>
      <c r="AF5" s="2">
        <f t="shared" si="11"/>
        <v>0.22</v>
      </c>
      <c r="AG5" s="45">
        <f t="shared" si="12"/>
        <v>94279807029.63472</v>
      </c>
      <c r="AH5" s="45">
        <f t="shared" si="13"/>
        <v>5623707787.7325983</v>
      </c>
      <c r="AI5" s="7">
        <v>0.3</v>
      </c>
      <c r="AJ5" s="45">
        <f t="shared" si="14"/>
        <v>3308063404.5485868</v>
      </c>
      <c r="AK5" s="46">
        <f t="shared" si="15"/>
        <v>1501678727.9999998</v>
      </c>
      <c r="AL5" s="46">
        <f t="shared" si="16"/>
        <v>1245193656</v>
      </c>
      <c r="AM5" s="7"/>
      <c r="AN5" s="7"/>
      <c r="AO5" s="7"/>
      <c r="AP5" s="4">
        <f t="shared" si="17"/>
        <v>1.5875E-2</v>
      </c>
      <c r="AQ5" s="4">
        <f t="shared" si="17"/>
        <v>1.5875E-2</v>
      </c>
      <c r="AR5" s="4">
        <f t="shared" si="18"/>
        <v>54.462899999999998</v>
      </c>
      <c r="AS5" s="4">
        <f t="shared" si="19"/>
        <v>6.3499999999999997E-3</v>
      </c>
      <c r="AT5" s="21">
        <v>86</v>
      </c>
      <c r="AU5" s="21">
        <v>40</v>
      </c>
      <c r="AV5" s="21">
        <v>1</v>
      </c>
      <c r="AW5" s="46">
        <f t="shared" si="1"/>
        <v>30750.6296</v>
      </c>
      <c r="AX5" s="48">
        <f t="shared" si="20"/>
        <v>358540000</v>
      </c>
      <c r="AY5" s="48">
        <f t="shared" si="21"/>
        <v>151690000</v>
      </c>
      <c r="AZ5" s="49"/>
      <c r="BA5" s="49"/>
      <c r="BB5" s="48">
        <f t="shared" si="22"/>
        <v>2940000</v>
      </c>
      <c r="BC5" s="3">
        <f t="shared" si="23"/>
        <v>0.27500000000000002</v>
      </c>
      <c r="BD5" s="3">
        <f t="shared" si="24"/>
        <v>0.39369999999999999</v>
      </c>
      <c r="BE5" s="3">
        <f t="shared" si="25"/>
        <v>1.7462500000000001</v>
      </c>
      <c r="BF5" s="3">
        <f t="shared" si="26"/>
        <v>1.42875</v>
      </c>
      <c r="BG5" s="8" t="s">
        <v>41</v>
      </c>
      <c r="BH5" s="8" t="s">
        <v>42</v>
      </c>
      <c r="BI5" s="8" t="str">
        <f t="shared" ref="BI5:BI15" si="27">BI4</f>
        <v>PAMG-XR1-3.4-1/4-N-5056</v>
      </c>
      <c r="BJ5" s="26" t="s">
        <v>140</v>
      </c>
    </row>
    <row r="6" spans="1:62" x14ac:dyDescent="0.3">
      <c r="A6" s="33" t="s">
        <v>127</v>
      </c>
      <c r="B6" s="29">
        <v>4988</v>
      </c>
      <c r="C6" s="43">
        <v>50000</v>
      </c>
      <c r="D6" s="25">
        <f t="shared" si="2"/>
        <v>5540.7446903048076</v>
      </c>
      <c r="E6" s="23">
        <v>4466.3466678783197</v>
      </c>
      <c r="F6" s="5">
        <f>IF(E6&lt;=0,"",(E6-B6)/B6*100)</f>
        <v>-10.458166241412997</v>
      </c>
      <c r="G6" s="5">
        <v>15106.16</v>
      </c>
      <c r="J6" s="1">
        <v>4</v>
      </c>
      <c r="K6" s="1">
        <v>0</v>
      </c>
      <c r="L6" s="1">
        <v>11</v>
      </c>
      <c r="M6" s="1">
        <v>0</v>
      </c>
      <c r="N6" s="6">
        <f t="shared" si="3"/>
        <v>4.7624999999999995E-4</v>
      </c>
      <c r="O6" s="6">
        <f t="shared" si="3"/>
        <v>4.7624999999999995E-4</v>
      </c>
      <c r="P6" s="1">
        <f t="shared" si="4"/>
        <v>0.59</v>
      </c>
      <c r="Q6" s="47">
        <f t="shared" si="5"/>
        <v>42487632508.833923</v>
      </c>
      <c r="R6" s="47">
        <f t="shared" si="6"/>
        <v>41978798586.572449</v>
      </c>
      <c r="S6" s="1">
        <v>4.8000000000000001E-2</v>
      </c>
      <c r="T6" s="47">
        <f t="shared" si="7"/>
        <v>3349414197.1054444</v>
      </c>
      <c r="U6" s="46">
        <f t="shared" si="8"/>
        <v>485666894.39999998</v>
      </c>
      <c r="V6" s="46">
        <f t="shared" si="9"/>
        <v>500559575.99999994</v>
      </c>
      <c r="W6" s="6"/>
      <c r="X6" s="6"/>
      <c r="Y6" s="6"/>
      <c r="Z6" s="2">
        <v>2</v>
      </c>
      <c r="AA6" s="2">
        <v>0</v>
      </c>
      <c r="AB6" s="2">
        <v>0</v>
      </c>
      <c r="AC6" s="2">
        <v>0</v>
      </c>
      <c r="AD6" s="7">
        <f t="shared" si="10"/>
        <v>1.5875000000000001E-4</v>
      </c>
      <c r="AE6" s="7">
        <f t="shared" si="10"/>
        <v>1.5875000000000001E-4</v>
      </c>
      <c r="AF6" s="2">
        <f t="shared" si="11"/>
        <v>0.22</v>
      </c>
      <c r="AG6" s="45">
        <f t="shared" si="12"/>
        <v>94279807029.63472</v>
      </c>
      <c r="AH6" s="45">
        <f t="shared" si="13"/>
        <v>5623707787.7325983</v>
      </c>
      <c r="AI6" s="7">
        <v>0.3</v>
      </c>
      <c r="AJ6" s="45">
        <f t="shared" si="14"/>
        <v>3308063404.5485868</v>
      </c>
      <c r="AK6" s="46">
        <f t="shared" si="15"/>
        <v>1501678727.9999998</v>
      </c>
      <c r="AL6" s="46">
        <f t="shared" si="16"/>
        <v>1245193656</v>
      </c>
      <c r="AM6" s="7"/>
      <c r="AN6" s="7"/>
      <c r="AO6" s="7"/>
      <c r="AP6" s="4">
        <f t="shared" si="17"/>
        <v>1.5875E-2</v>
      </c>
      <c r="AQ6" s="4">
        <f t="shared" si="17"/>
        <v>1.5875E-2</v>
      </c>
      <c r="AR6" s="4">
        <f t="shared" si="18"/>
        <v>54.462899999999998</v>
      </c>
      <c r="AS6" s="4">
        <f t="shared" si="19"/>
        <v>6.3499999999999997E-3</v>
      </c>
      <c r="AT6" s="21">
        <v>86</v>
      </c>
      <c r="AU6" s="21">
        <v>40</v>
      </c>
      <c r="AV6" s="21">
        <v>1</v>
      </c>
      <c r="AW6" s="46">
        <f t="shared" si="1"/>
        <v>30750.6296</v>
      </c>
      <c r="AX6" s="48">
        <f t="shared" si="20"/>
        <v>358540000</v>
      </c>
      <c r="AY6" s="48">
        <f t="shared" si="21"/>
        <v>151690000</v>
      </c>
      <c r="AZ6" s="49"/>
      <c r="BA6" s="49"/>
      <c r="BB6" s="48">
        <f t="shared" si="22"/>
        <v>2940000</v>
      </c>
      <c r="BC6" s="3">
        <f t="shared" si="23"/>
        <v>0.27500000000000002</v>
      </c>
      <c r="BD6" s="3">
        <f t="shared" si="24"/>
        <v>0.39369999999999999</v>
      </c>
      <c r="BE6" s="3">
        <f t="shared" si="25"/>
        <v>2.2224999999999997</v>
      </c>
      <c r="BF6" s="3">
        <f t="shared" si="26"/>
        <v>5.2387499999999996</v>
      </c>
      <c r="BG6" s="8" t="s">
        <v>41</v>
      </c>
      <c r="BH6" s="8" t="s">
        <v>42</v>
      </c>
      <c r="BI6" s="8" t="str">
        <f t="shared" si="27"/>
        <v>PAMG-XR1-3.4-1/4-N-5056</v>
      </c>
      <c r="BJ6" s="26" t="s">
        <v>140</v>
      </c>
    </row>
    <row r="7" spans="1:62" x14ac:dyDescent="0.3">
      <c r="A7" s="37" t="s">
        <v>84</v>
      </c>
      <c r="B7" s="35">
        <v>1593.3050000000001</v>
      </c>
      <c r="C7" s="43">
        <v>50000</v>
      </c>
      <c r="D7" s="25">
        <f t="shared" si="2"/>
        <v>1645.7485891156175</v>
      </c>
      <c r="E7" s="23">
        <v>1713.52916310961</v>
      </c>
      <c r="F7" s="5">
        <f t="shared" ref="F7:F40" si="28">IF(E7&lt;=0,"",(E7-B7)/B7*100)</f>
        <v>7.5455837463392061</v>
      </c>
      <c r="G7" s="5">
        <v>8705.17</v>
      </c>
      <c r="J7" s="1">
        <v>2</v>
      </c>
      <c r="K7" s="1">
        <v>0</v>
      </c>
      <c r="L7" s="1">
        <v>2</v>
      </c>
      <c r="M7" s="1">
        <v>1</v>
      </c>
      <c r="N7" s="6">
        <f t="shared" si="3"/>
        <v>4.7624999999999995E-4</v>
      </c>
      <c r="O7" s="6">
        <f t="shared" si="3"/>
        <v>4.7624999999999995E-4</v>
      </c>
      <c r="P7" s="1">
        <f t="shared" si="4"/>
        <v>0.59</v>
      </c>
      <c r="Q7" s="47">
        <f t="shared" si="5"/>
        <v>42487632508.833923</v>
      </c>
      <c r="R7" s="47">
        <f t="shared" si="6"/>
        <v>41978798586.572449</v>
      </c>
      <c r="S7" s="1">
        <v>4.8000000000000001E-2</v>
      </c>
      <c r="T7" s="47">
        <f t="shared" si="7"/>
        <v>3349414197.1054444</v>
      </c>
      <c r="U7" s="46">
        <f t="shared" si="8"/>
        <v>485666894.39999998</v>
      </c>
      <c r="V7" s="46">
        <f t="shared" si="9"/>
        <v>500559575.99999994</v>
      </c>
      <c r="W7" s="6"/>
      <c r="X7" s="6"/>
      <c r="Y7" s="6"/>
      <c r="Z7" s="2">
        <v>2</v>
      </c>
      <c r="AA7" s="2">
        <v>0</v>
      </c>
      <c r="AB7" s="2">
        <v>0</v>
      </c>
      <c r="AC7" s="2">
        <v>0</v>
      </c>
      <c r="AD7" s="7">
        <f t="shared" si="10"/>
        <v>1.5875000000000001E-4</v>
      </c>
      <c r="AE7" s="7">
        <f t="shared" si="10"/>
        <v>1.5875000000000001E-4</v>
      </c>
      <c r="AF7" s="2">
        <f t="shared" si="11"/>
        <v>0.22</v>
      </c>
      <c r="AG7" s="45">
        <f t="shared" si="12"/>
        <v>94279807029.63472</v>
      </c>
      <c r="AH7" s="45">
        <f t="shared" si="13"/>
        <v>5623707787.7325983</v>
      </c>
      <c r="AI7" s="7">
        <v>0.3</v>
      </c>
      <c r="AJ7" s="45">
        <f t="shared" si="14"/>
        <v>3308063404.5485868</v>
      </c>
      <c r="AK7" s="46">
        <f t="shared" si="15"/>
        <v>1501678727.9999998</v>
      </c>
      <c r="AL7" s="46">
        <f t="shared" si="16"/>
        <v>1245193656</v>
      </c>
      <c r="AM7" s="7"/>
      <c r="AN7" s="7"/>
      <c r="AO7" s="7"/>
      <c r="AP7" s="4">
        <f t="shared" si="17"/>
        <v>1.5875E-2</v>
      </c>
      <c r="AQ7" s="4">
        <f t="shared" si="17"/>
        <v>1.5875E-2</v>
      </c>
      <c r="AR7" s="4">
        <f>3.4*16.0185</f>
        <v>54.462899999999998</v>
      </c>
      <c r="AS7" s="4">
        <f t="shared" si="19"/>
        <v>6.3499999999999997E-3</v>
      </c>
      <c r="AT7" s="21">
        <v>86</v>
      </c>
      <c r="AU7" s="21">
        <v>40</v>
      </c>
      <c r="AV7" s="21">
        <v>1</v>
      </c>
      <c r="AW7" s="46">
        <f t="shared" si="1"/>
        <v>30750.6296</v>
      </c>
      <c r="AX7" s="48">
        <f t="shared" si="20"/>
        <v>358540000</v>
      </c>
      <c r="AY7" s="48">
        <f t="shared" si="21"/>
        <v>151690000</v>
      </c>
      <c r="AZ7" s="49"/>
      <c r="BA7" s="49"/>
      <c r="BB7" s="48">
        <f t="shared" si="22"/>
        <v>2940000</v>
      </c>
      <c r="BC7" s="3">
        <f t="shared" si="23"/>
        <v>0.27500000000000002</v>
      </c>
      <c r="BD7" s="3">
        <f t="shared" si="24"/>
        <v>0.39369999999999999</v>
      </c>
      <c r="BE7" s="3">
        <f t="shared" si="25"/>
        <v>1.2699999999999998</v>
      </c>
      <c r="BF7" s="3">
        <f t="shared" si="26"/>
        <v>1.42875</v>
      </c>
      <c r="BG7" s="8" t="s">
        <v>41</v>
      </c>
      <c r="BH7" s="8" t="s">
        <v>42</v>
      </c>
      <c r="BI7" s="8" t="str">
        <f t="shared" si="27"/>
        <v>PAMG-XR1-3.4-1/4-N-5056</v>
      </c>
      <c r="BJ7" s="26" t="s">
        <v>140</v>
      </c>
    </row>
    <row r="8" spans="1:62" x14ac:dyDescent="0.3">
      <c r="A8" s="38" t="s">
        <v>126</v>
      </c>
      <c r="B8" s="29">
        <v>2390</v>
      </c>
      <c r="C8" s="43">
        <v>50000</v>
      </c>
      <c r="D8" s="25">
        <f t="shared" si="2"/>
        <v>2509.9768956101661</v>
      </c>
      <c r="E8" s="23">
        <v>1852.40121680312</v>
      </c>
      <c r="F8" s="5">
        <f t="shared" si="28"/>
        <v>-22.493672937107952</v>
      </c>
      <c r="G8" s="5">
        <v>9443.6</v>
      </c>
      <c r="J8" s="1">
        <v>2</v>
      </c>
      <c r="K8" s="1">
        <v>0</v>
      </c>
      <c r="L8" s="1">
        <v>2</v>
      </c>
      <c r="M8" s="1">
        <v>1</v>
      </c>
      <c r="N8" s="6">
        <f t="shared" si="3"/>
        <v>4.7624999999999995E-4</v>
      </c>
      <c r="O8" s="6">
        <f t="shared" si="3"/>
        <v>4.7624999999999995E-4</v>
      </c>
      <c r="P8" s="1">
        <f t="shared" si="4"/>
        <v>0.59</v>
      </c>
      <c r="Q8" s="47">
        <f t="shared" si="5"/>
        <v>42487632508.833923</v>
      </c>
      <c r="R8" s="47">
        <f t="shared" si="6"/>
        <v>41978798586.572449</v>
      </c>
      <c r="S8" s="1">
        <v>4.8000000000000001E-2</v>
      </c>
      <c r="T8" s="47">
        <f t="shared" si="7"/>
        <v>3349414197.1054444</v>
      </c>
      <c r="U8" s="46">
        <f t="shared" si="8"/>
        <v>485666894.39999998</v>
      </c>
      <c r="V8" s="46">
        <f t="shared" si="9"/>
        <v>500559575.99999994</v>
      </c>
      <c r="W8" s="6"/>
      <c r="X8" s="6"/>
      <c r="Y8" s="6"/>
      <c r="Z8" s="2">
        <v>3</v>
      </c>
      <c r="AA8" s="2">
        <v>0</v>
      </c>
      <c r="AB8" s="2">
        <v>0</v>
      </c>
      <c r="AC8" s="2">
        <v>0</v>
      </c>
      <c r="AD8" s="7">
        <f t="shared" si="10"/>
        <v>1.5875000000000001E-4</v>
      </c>
      <c r="AE8" s="7">
        <f t="shared" si="10"/>
        <v>1.5875000000000001E-4</v>
      </c>
      <c r="AF8" s="2">
        <f t="shared" si="11"/>
        <v>0.22</v>
      </c>
      <c r="AG8" s="45">
        <f t="shared" si="12"/>
        <v>94279807029.63472</v>
      </c>
      <c r="AH8" s="45">
        <f t="shared" si="13"/>
        <v>5623707787.7325983</v>
      </c>
      <c r="AI8" s="7">
        <v>0.3</v>
      </c>
      <c r="AJ8" s="45">
        <f t="shared" si="14"/>
        <v>3308063404.5485868</v>
      </c>
      <c r="AK8" s="46">
        <f t="shared" si="15"/>
        <v>1501678727.9999998</v>
      </c>
      <c r="AL8" s="46">
        <f t="shared" si="16"/>
        <v>1245193656</v>
      </c>
      <c r="AM8" s="7"/>
      <c r="AN8" s="7"/>
      <c r="AO8" s="7"/>
      <c r="AP8" s="4">
        <f t="shared" si="17"/>
        <v>1.5875E-2</v>
      </c>
      <c r="AQ8" s="4">
        <f t="shared" si="17"/>
        <v>1.5875E-2</v>
      </c>
      <c r="AR8" s="4">
        <f t="shared" si="18"/>
        <v>54.462899999999998</v>
      </c>
      <c r="AS8" s="4">
        <f t="shared" si="19"/>
        <v>6.3499999999999997E-3</v>
      </c>
      <c r="AT8" s="21">
        <v>86</v>
      </c>
      <c r="AU8" s="21">
        <v>40</v>
      </c>
      <c r="AV8" s="21">
        <v>1</v>
      </c>
      <c r="AW8" s="46">
        <f t="shared" si="1"/>
        <v>30750.6296</v>
      </c>
      <c r="AX8" s="48">
        <f t="shared" si="20"/>
        <v>358540000</v>
      </c>
      <c r="AY8" s="48">
        <f t="shared" si="21"/>
        <v>151690000</v>
      </c>
      <c r="AZ8" s="49"/>
      <c r="BA8" s="49"/>
      <c r="BB8" s="48">
        <f t="shared" si="22"/>
        <v>2940000</v>
      </c>
      <c r="BC8" s="3">
        <f t="shared" si="23"/>
        <v>0.27500000000000002</v>
      </c>
      <c r="BD8" s="3">
        <f t="shared" si="24"/>
        <v>0.39369999999999999</v>
      </c>
      <c r="BE8" s="3">
        <f t="shared" si="25"/>
        <v>1.42875</v>
      </c>
      <c r="BF8" s="3">
        <f t="shared" si="26"/>
        <v>1.42875</v>
      </c>
      <c r="BG8" s="8" t="s">
        <v>41</v>
      </c>
      <c r="BH8" s="8" t="s">
        <v>42</v>
      </c>
      <c r="BI8" s="8" t="str">
        <f t="shared" si="27"/>
        <v>PAMG-XR1-3.4-1/4-N-5056</v>
      </c>
      <c r="BJ8" s="26" t="s">
        <v>140</v>
      </c>
    </row>
    <row r="9" spans="1:62" ht="15" thickBot="1" x14ac:dyDescent="0.35">
      <c r="A9" s="34" t="s">
        <v>85</v>
      </c>
      <c r="B9" s="29">
        <v>1545</v>
      </c>
      <c r="C9" s="43">
        <v>50000</v>
      </c>
      <c r="D9" s="25">
        <f t="shared" si="2"/>
        <v>1594.26271798576</v>
      </c>
      <c r="E9" s="23">
        <v>1500.20683189223</v>
      </c>
      <c r="F9" s="5">
        <f t="shared" si="28"/>
        <v>-2.8992341817326888</v>
      </c>
      <c r="G9" s="5">
        <v>9786.0840000000007</v>
      </c>
      <c r="J9" s="1">
        <v>2</v>
      </c>
      <c r="K9" s="1">
        <v>0</v>
      </c>
      <c r="L9" s="1">
        <v>2</v>
      </c>
      <c r="M9" s="1">
        <v>0</v>
      </c>
      <c r="N9" s="6">
        <f t="shared" si="3"/>
        <v>4.7624999999999995E-4</v>
      </c>
      <c r="O9" s="6">
        <f t="shared" si="3"/>
        <v>4.7624999999999995E-4</v>
      </c>
      <c r="P9" s="1">
        <f t="shared" si="4"/>
        <v>0.59</v>
      </c>
      <c r="Q9" s="47">
        <f t="shared" si="5"/>
        <v>42487632508.833923</v>
      </c>
      <c r="R9" s="47">
        <f t="shared" si="6"/>
        <v>41978798586.572449</v>
      </c>
      <c r="S9" s="1">
        <v>4.8000000000000001E-2</v>
      </c>
      <c r="T9" s="47">
        <f t="shared" si="7"/>
        <v>3349414197.1054444</v>
      </c>
      <c r="U9" s="46">
        <f t="shared" si="8"/>
        <v>485666894.39999998</v>
      </c>
      <c r="V9" s="46">
        <f t="shared" si="9"/>
        <v>500559575.99999994</v>
      </c>
      <c r="W9" s="6"/>
      <c r="X9" s="6"/>
      <c r="Y9" s="6"/>
      <c r="Z9" s="2">
        <v>1</v>
      </c>
      <c r="AA9" s="2">
        <v>0</v>
      </c>
      <c r="AB9" s="2">
        <v>0</v>
      </c>
      <c r="AC9" s="2">
        <v>2</v>
      </c>
      <c r="AD9" s="7">
        <f t="shared" si="10"/>
        <v>1.5875000000000001E-4</v>
      </c>
      <c r="AE9" s="7">
        <f t="shared" si="10"/>
        <v>1.5875000000000001E-4</v>
      </c>
      <c r="AF9" s="2">
        <f t="shared" si="11"/>
        <v>0.22</v>
      </c>
      <c r="AG9" s="45">
        <f t="shared" si="12"/>
        <v>94279807029.63472</v>
      </c>
      <c r="AH9" s="45">
        <f t="shared" si="13"/>
        <v>5623707787.7325983</v>
      </c>
      <c r="AI9" s="7">
        <v>0.3</v>
      </c>
      <c r="AJ9" s="45">
        <f t="shared" si="14"/>
        <v>3308063404.5485868</v>
      </c>
      <c r="AK9" s="46">
        <f t="shared" si="15"/>
        <v>1501678727.9999998</v>
      </c>
      <c r="AL9" s="46">
        <f t="shared" si="16"/>
        <v>1245193656</v>
      </c>
      <c r="AM9" s="7"/>
      <c r="AN9" s="7"/>
      <c r="AO9" s="7"/>
      <c r="AP9" s="4">
        <f t="shared" si="17"/>
        <v>1.5875E-2</v>
      </c>
      <c r="AQ9" s="4">
        <f t="shared" si="17"/>
        <v>1.5875E-2</v>
      </c>
      <c r="AR9" s="4">
        <f t="shared" si="18"/>
        <v>54.462899999999998</v>
      </c>
      <c r="AS9" s="4">
        <f>0.25*25.4/1000</f>
        <v>6.3499999999999997E-3</v>
      </c>
      <c r="AT9" s="21">
        <v>86</v>
      </c>
      <c r="AU9" s="21">
        <v>40</v>
      </c>
      <c r="AV9" s="21">
        <v>1</v>
      </c>
      <c r="AW9" s="46">
        <f t="shared" si="1"/>
        <v>30750.6296</v>
      </c>
      <c r="AX9" s="48">
        <f t="shared" si="20"/>
        <v>358540000</v>
      </c>
      <c r="AY9" s="48">
        <f t="shared" si="21"/>
        <v>151690000</v>
      </c>
      <c r="AZ9" s="49"/>
      <c r="BA9" s="49"/>
      <c r="BB9" s="48">
        <f t="shared" si="22"/>
        <v>2940000</v>
      </c>
      <c r="BC9" s="3">
        <f t="shared" si="23"/>
        <v>0.27500000000000002</v>
      </c>
      <c r="BD9" s="3">
        <f t="shared" si="24"/>
        <v>0.39369999999999999</v>
      </c>
      <c r="BE9" s="3">
        <f t="shared" si="25"/>
        <v>1.1112499999999998</v>
      </c>
      <c r="BF9" s="3">
        <f t="shared" si="26"/>
        <v>1.2699999999999998</v>
      </c>
      <c r="BG9" s="8" t="s">
        <v>41</v>
      </c>
      <c r="BH9" s="8" t="s">
        <v>42</v>
      </c>
      <c r="BI9" s="8" t="str">
        <f>BI7</f>
        <v>PAMG-XR1-3.4-1/4-N-5056</v>
      </c>
      <c r="BJ9" s="26" t="s">
        <v>140</v>
      </c>
    </row>
    <row r="10" spans="1:62" x14ac:dyDescent="0.3">
      <c r="A10" s="30" t="s">
        <v>86</v>
      </c>
      <c r="B10" s="29">
        <v>986.54</v>
      </c>
      <c r="C10" s="43">
        <v>10233</v>
      </c>
      <c r="D10" s="25">
        <f t="shared" si="2"/>
        <v>1091.797706365463</v>
      </c>
      <c r="E10" s="23">
        <v>1104.3</v>
      </c>
      <c r="F10" s="5">
        <f t="shared" ref="F10:F14" si="29">IF(E10&lt;=0,"",(E10-D10)/D10*100)</f>
        <v>1.1451108169256401</v>
      </c>
      <c r="G10" s="5">
        <v>5272.37</v>
      </c>
      <c r="J10" s="1">
        <v>4</v>
      </c>
      <c r="K10" s="1">
        <v>2</v>
      </c>
      <c r="L10" s="1">
        <v>4</v>
      </c>
      <c r="M10" s="1">
        <v>2</v>
      </c>
      <c r="N10" s="44">
        <v>2.39175E-4</v>
      </c>
      <c r="O10" s="44">
        <v>2.3499999999999999E-4</v>
      </c>
      <c r="P10" s="1">
        <f>35/(100*10)*10000/1000</f>
        <v>0.35000000000000003</v>
      </c>
      <c r="Q10" s="46">
        <f t="shared" ref="Q10:Q15" si="30">164/3*10^9</f>
        <v>54666666666.666664</v>
      </c>
      <c r="R10" s="46">
        <f>Q10</f>
        <v>54666666666.666664</v>
      </c>
      <c r="S10" s="21">
        <v>5.0999999999999997E-2</v>
      </c>
      <c r="T10" s="46">
        <f>U10*(T7+T21+T27+T24)/(U7+U21+U24+U27)</f>
        <v>4242954532.902555</v>
      </c>
      <c r="U10" s="46">
        <f t="shared" ref="U10:U15" si="31">2723/3*10^6</f>
        <v>907666666.66666663</v>
      </c>
      <c r="V10" s="46">
        <f t="shared" ref="V10:V15" si="32">1689/3*10^6</f>
        <v>563000000</v>
      </c>
      <c r="W10" s="1">
        <v>0</v>
      </c>
      <c r="X10" s="1">
        <v>0</v>
      </c>
      <c r="Y10" s="1">
        <v>0</v>
      </c>
      <c r="Z10" s="2">
        <v>2</v>
      </c>
      <c r="AA10" s="2">
        <v>0</v>
      </c>
      <c r="AB10" s="2">
        <v>2</v>
      </c>
      <c r="AC10" s="2">
        <v>0</v>
      </c>
      <c r="AD10" s="7">
        <f t="shared" si="10"/>
        <v>1.5875000000000001E-4</v>
      </c>
      <c r="AE10" s="7">
        <f t="shared" si="10"/>
        <v>1.5875000000000001E-4</v>
      </c>
      <c r="AF10" s="2">
        <f t="shared" si="11"/>
        <v>0.22</v>
      </c>
      <c r="AG10" s="45">
        <f xml:space="preserve"> 0.5*22.8/0.1451*10^9</f>
        <v>78566505858.028946</v>
      </c>
      <c r="AH10" s="45">
        <f xml:space="preserve"> 0.5*1.36/0.1451*10^9</f>
        <v>4686423156.4438314</v>
      </c>
      <c r="AI10" s="7">
        <v>0.3</v>
      </c>
      <c r="AJ10" s="45">
        <f>0.5*0.8/0.1451*10^9</f>
        <v>2756719503.7904892</v>
      </c>
      <c r="AK10" s="46">
        <f>0.5*363*6.89476*10^6</f>
        <v>1251398940</v>
      </c>
      <c r="AL10" s="46">
        <f>0.5*301*6.89476*10^6</f>
        <v>1037661380</v>
      </c>
      <c r="AM10" s="7">
        <v>0</v>
      </c>
      <c r="AN10" s="7">
        <v>0</v>
      </c>
      <c r="AO10" s="7">
        <v>0</v>
      </c>
      <c r="AP10" s="4">
        <f t="shared" si="17"/>
        <v>1.5875E-2</v>
      </c>
      <c r="AQ10" s="4">
        <f t="shared" si="17"/>
        <v>1.5875E-2</v>
      </c>
      <c r="AR10" s="4">
        <f t="shared" si="18"/>
        <v>54.462899999999998</v>
      </c>
      <c r="AS10" s="4">
        <f t="shared" si="19"/>
        <v>6.3499999999999997E-3</v>
      </c>
      <c r="AT10" s="21">
        <v>86</v>
      </c>
      <c r="AU10" s="21">
        <v>40</v>
      </c>
      <c r="AV10" s="21">
        <v>1</v>
      </c>
      <c r="AW10" s="46">
        <f t="shared" si="1"/>
        <v>30750.6296</v>
      </c>
      <c r="AX10" s="48">
        <f t="shared" si="20"/>
        <v>358540000</v>
      </c>
      <c r="AY10" s="48">
        <f t="shared" si="21"/>
        <v>151690000</v>
      </c>
      <c r="AZ10" s="49">
        <v>0</v>
      </c>
      <c r="BA10" s="49">
        <v>0</v>
      </c>
      <c r="BB10" s="48">
        <f t="shared" si="22"/>
        <v>2940000</v>
      </c>
      <c r="BC10" s="3">
        <f>5*25.4/1000</f>
        <v>0.127</v>
      </c>
      <c r="BD10" s="3">
        <f>16*25.4/1000</f>
        <v>0.40639999999999998</v>
      </c>
      <c r="BE10" s="3">
        <f t="shared" si="25"/>
        <v>1.7525500000000001</v>
      </c>
      <c r="BF10" s="3">
        <f t="shared" si="26"/>
        <v>1.7525500000000001</v>
      </c>
      <c r="BG10" s="3" t="s">
        <v>43</v>
      </c>
      <c r="BH10" s="8" t="s">
        <v>42</v>
      </c>
      <c r="BI10" s="8" t="str">
        <f t="shared" si="27"/>
        <v>PAMG-XR1-3.4-1/4-N-5056</v>
      </c>
      <c r="BJ10" s="26" t="s">
        <v>140</v>
      </c>
    </row>
    <row r="11" spans="1:62" x14ac:dyDescent="0.3">
      <c r="A11" s="31" t="s">
        <v>81</v>
      </c>
      <c r="B11" s="29">
        <v>956.6</v>
      </c>
      <c r="C11" s="43">
        <v>10233</v>
      </c>
      <c r="D11" s="25">
        <f t="shared" si="2"/>
        <v>1055.2464102453537</v>
      </c>
      <c r="E11" s="28">
        <v>1109.2</v>
      </c>
      <c r="F11" s="5">
        <f t="shared" si="29"/>
        <v>5.112890148766458</v>
      </c>
      <c r="G11" s="5">
        <v>4968.1499999999996</v>
      </c>
      <c r="J11" s="1">
        <v>4</v>
      </c>
      <c r="K11" s="1">
        <v>1</v>
      </c>
      <c r="L11" s="1">
        <v>4</v>
      </c>
      <c r="M11" s="1">
        <v>1</v>
      </c>
      <c r="N11" s="44">
        <v>2.39175E-4</v>
      </c>
      <c r="O11" s="44">
        <v>2.3499999999999999E-4</v>
      </c>
      <c r="P11" s="1">
        <f t="shared" ref="P11:P15" si="33">35/(100*10)*10000/1000</f>
        <v>0.35000000000000003</v>
      </c>
      <c r="Q11" s="46">
        <f t="shared" si="30"/>
        <v>54666666666.666664</v>
      </c>
      <c r="R11" s="46">
        <f t="shared" ref="R11:R15" si="34">Q11</f>
        <v>54666666666.666664</v>
      </c>
      <c r="S11" s="21">
        <v>5.0999999999999997E-2</v>
      </c>
      <c r="T11" s="46">
        <f>T10</f>
        <v>4242954532.902555</v>
      </c>
      <c r="U11" s="46">
        <f t="shared" si="31"/>
        <v>907666666.66666663</v>
      </c>
      <c r="V11" s="46">
        <f t="shared" si="32"/>
        <v>563000000</v>
      </c>
      <c r="W11" s="1">
        <v>0</v>
      </c>
      <c r="X11" s="1">
        <v>0</v>
      </c>
      <c r="Y11" s="1">
        <v>0</v>
      </c>
      <c r="Z11" s="2">
        <v>2</v>
      </c>
      <c r="AA11" s="2">
        <v>0</v>
      </c>
      <c r="AB11" s="2">
        <v>2</v>
      </c>
      <c r="AC11" s="2">
        <v>0</v>
      </c>
      <c r="AD11" s="7">
        <f t="shared" si="10"/>
        <v>1.5875000000000001E-4</v>
      </c>
      <c r="AE11" s="7">
        <f t="shared" si="10"/>
        <v>1.5875000000000001E-4</v>
      </c>
      <c r="AF11" s="2">
        <f t="shared" si="11"/>
        <v>0.22</v>
      </c>
      <c r="AG11" s="45">
        <f t="shared" ref="AG11:AG15" si="35" xml:space="preserve"> 0.5*22.8/0.1451*10^9</f>
        <v>78566505858.028946</v>
      </c>
      <c r="AH11" s="45">
        <f t="shared" ref="AH11:AH15" si="36" xml:space="preserve"> 0.5*1.36/0.1451*10^9</f>
        <v>4686423156.4438314</v>
      </c>
      <c r="AI11" s="7">
        <v>0.3</v>
      </c>
      <c r="AJ11" s="45">
        <f t="shared" ref="AJ11:AJ15" si="37">0.5*0.8/0.1451*10^9</f>
        <v>2756719503.7904892</v>
      </c>
      <c r="AK11" s="46">
        <f t="shared" ref="AK11:AK15" si="38">0.5*363*6.89476*10^6</f>
        <v>1251398940</v>
      </c>
      <c r="AL11" s="46">
        <f t="shared" ref="AL11:AL15" si="39">0.5*301*6.89476*10^6</f>
        <v>1037661380</v>
      </c>
      <c r="AM11" s="7">
        <v>0</v>
      </c>
      <c r="AN11" s="7">
        <v>0</v>
      </c>
      <c r="AO11" s="7">
        <v>0</v>
      </c>
      <c r="AP11" s="4">
        <f t="shared" si="17"/>
        <v>1.5875E-2</v>
      </c>
      <c r="AQ11" s="4">
        <f t="shared" si="17"/>
        <v>1.5875E-2</v>
      </c>
      <c r="AR11" s="4">
        <f t="shared" si="18"/>
        <v>54.462899999999998</v>
      </c>
      <c r="AS11" s="4">
        <f t="shared" si="19"/>
        <v>6.3499999999999997E-3</v>
      </c>
      <c r="AT11" s="21">
        <v>86</v>
      </c>
      <c r="AU11" s="21">
        <v>40</v>
      </c>
      <c r="AV11" s="21">
        <v>1</v>
      </c>
      <c r="AW11" s="46">
        <f t="shared" si="1"/>
        <v>30750.6296</v>
      </c>
      <c r="AX11" s="48">
        <f t="shared" si="20"/>
        <v>358540000</v>
      </c>
      <c r="AY11" s="48">
        <f t="shared" si="21"/>
        <v>151690000</v>
      </c>
      <c r="AZ11" s="49">
        <v>0</v>
      </c>
      <c r="BA11" s="49">
        <v>0</v>
      </c>
      <c r="BB11" s="48">
        <f t="shared" si="22"/>
        <v>2940000</v>
      </c>
      <c r="BC11" s="3">
        <f>5.43*25.4/1000</f>
        <v>0.13792199999999999</v>
      </c>
      <c r="BD11" s="3">
        <f>16*25.4/1000</f>
        <v>0.40639999999999998</v>
      </c>
      <c r="BE11" s="3">
        <f t="shared" si="25"/>
        <v>1.5133749999999999</v>
      </c>
      <c r="BF11" s="3">
        <f t="shared" si="26"/>
        <v>1.5133749999999999</v>
      </c>
      <c r="BG11" s="3" t="s">
        <v>43</v>
      </c>
      <c r="BH11" s="8" t="s">
        <v>42</v>
      </c>
      <c r="BI11" s="8" t="str">
        <f t="shared" si="27"/>
        <v>PAMG-XR1-3.4-1/4-N-5056</v>
      </c>
      <c r="BJ11" s="26" t="s">
        <v>140</v>
      </c>
    </row>
    <row r="12" spans="1:62" x14ac:dyDescent="0.3">
      <c r="A12" s="32" t="s">
        <v>87</v>
      </c>
      <c r="B12" s="29">
        <v>760.68</v>
      </c>
      <c r="C12" s="43">
        <v>10233</v>
      </c>
      <c r="D12" s="25">
        <f t="shared" si="2"/>
        <v>821.76683642444505</v>
      </c>
      <c r="E12" s="23">
        <v>805.77</v>
      </c>
      <c r="F12" s="5">
        <f t="shared" si="29"/>
        <v>-1.9466393282610701</v>
      </c>
      <c r="G12" s="5">
        <v>4588.45</v>
      </c>
      <c r="J12" s="1">
        <v>2</v>
      </c>
      <c r="K12" s="1">
        <v>2</v>
      </c>
      <c r="L12" s="1">
        <v>2</v>
      </c>
      <c r="M12" s="1">
        <v>2</v>
      </c>
      <c r="N12" s="44">
        <v>2.39175E-4</v>
      </c>
      <c r="O12" s="44">
        <v>2.3499999999999999E-4</v>
      </c>
      <c r="P12" s="1">
        <f t="shared" si="33"/>
        <v>0.35000000000000003</v>
      </c>
      <c r="Q12" s="46">
        <f t="shared" si="30"/>
        <v>54666666666.666664</v>
      </c>
      <c r="R12" s="46">
        <f t="shared" si="34"/>
        <v>54666666666.666664</v>
      </c>
      <c r="S12" s="21">
        <v>5.0999999999999997E-2</v>
      </c>
      <c r="T12" s="46">
        <f t="shared" ref="T12:T15" si="40">T11</f>
        <v>4242954532.902555</v>
      </c>
      <c r="U12" s="46">
        <f t="shared" si="31"/>
        <v>907666666.66666663</v>
      </c>
      <c r="V12" s="46">
        <f t="shared" si="32"/>
        <v>563000000</v>
      </c>
      <c r="W12" s="1">
        <v>0</v>
      </c>
      <c r="X12" s="1">
        <v>0</v>
      </c>
      <c r="Y12" s="1">
        <v>0</v>
      </c>
      <c r="Z12" s="2">
        <v>2</v>
      </c>
      <c r="AA12" s="2">
        <v>0</v>
      </c>
      <c r="AB12" s="2">
        <v>2</v>
      </c>
      <c r="AC12" s="2">
        <v>0</v>
      </c>
      <c r="AD12" s="7">
        <f t="shared" si="10"/>
        <v>1.5875000000000001E-4</v>
      </c>
      <c r="AE12" s="7">
        <f t="shared" si="10"/>
        <v>1.5875000000000001E-4</v>
      </c>
      <c r="AF12" s="2">
        <f t="shared" si="11"/>
        <v>0.22</v>
      </c>
      <c r="AG12" s="45">
        <f t="shared" si="35"/>
        <v>78566505858.028946</v>
      </c>
      <c r="AH12" s="45">
        <f t="shared" si="36"/>
        <v>4686423156.4438314</v>
      </c>
      <c r="AI12" s="7">
        <v>0.3</v>
      </c>
      <c r="AJ12" s="45">
        <f t="shared" si="37"/>
        <v>2756719503.7904892</v>
      </c>
      <c r="AK12" s="46">
        <f t="shared" si="38"/>
        <v>1251398940</v>
      </c>
      <c r="AL12" s="46">
        <f t="shared" si="39"/>
        <v>1037661380</v>
      </c>
      <c r="AM12" s="7">
        <v>0</v>
      </c>
      <c r="AN12" s="7">
        <v>0</v>
      </c>
      <c r="AO12" s="7">
        <v>0</v>
      </c>
      <c r="AP12" s="4">
        <f t="shared" si="17"/>
        <v>1.5875E-2</v>
      </c>
      <c r="AQ12" s="4">
        <f t="shared" si="17"/>
        <v>1.5875E-2</v>
      </c>
      <c r="AR12" s="4">
        <f t="shared" si="18"/>
        <v>54.462899999999998</v>
      </c>
      <c r="AS12" s="4">
        <f t="shared" si="19"/>
        <v>6.3499999999999997E-3</v>
      </c>
      <c r="AT12" s="21">
        <v>86</v>
      </c>
      <c r="AU12" s="21">
        <v>40</v>
      </c>
      <c r="AV12" s="21">
        <v>1</v>
      </c>
      <c r="AW12" s="46">
        <f t="shared" si="1"/>
        <v>30750.6296</v>
      </c>
      <c r="AX12" s="48">
        <f t="shared" si="20"/>
        <v>358540000</v>
      </c>
      <c r="AY12" s="48">
        <f t="shared" si="21"/>
        <v>151690000</v>
      </c>
      <c r="AZ12" s="49">
        <v>0</v>
      </c>
      <c r="BA12" s="49">
        <v>0</v>
      </c>
      <c r="BB12" s="48">
        <f t="shared" si="22"/>
        <v>2940000</v>
      </c>
      <c r="BC12" s="3">
        <f>5*25.4/1000</f>
        <v>0.127</v>
      </c>
      <c r="BD12" s="3">
        <f>16*25.4/1000</f>
        <v>0.40639999999999998</v>
      </c>
      <c r="BE12" s="3">
        <f t="shared" si="25"/>
        <v>1.2742</v>
      </c>
      <c r="BF12" s="3">
        <f t="shared" si="26"/>
        <v>1.2742</v>
      </c>
      <c r="BG12" s="3" t="s">
        <v>43</v>
      </c>
      <c r="BH12" s="8" t="s">
        <v>42</v>
      </c>
      <c r="BI12" s="8" t="str">
        <f t="shared" si="27"/>
        <v>PAMG-XR1-3.4-1/4-N-5056</v>
      </c>
      <c r="BJ12" s="26" t="s">
        <v>140</v>
      </c>
    </row>
    <row r="13" spans="1:62" x14ac:dyDescent="0.3">
      <c r="A13" s="33" t="s">
        <v>88</v>
      </c>
      <c r="B13" s="29">
        <v>1934.1220000000001</v>
      </c>
      <c r="C13" s="43">
        <v>10233</v>
      </c>
      <c r="D13" s="25">
        <f t="shared" si="2"/>
        <v>2384.8850924185172</v>
      </c>
      <c r="E13" s="23">
        <v>2496.6</v>
      </c>
      <c r="F13" s="5">
        <f t="shared" si="29"/>
        <v>4.6842888966274021</v>
      </c>
      <c r="G13" s="5">
        <v>9682.7209999999995</v>
      </c>
      <c r="J13" s="1">
        <v>4</v>
      </c>
      <c r="K13" s="1">
        <v>2</v>
      </c>
      <c r="L13" s="1">
        <v>4</v>
      </c>
      <c r="M13" s="1">
        <v>2</v>
      </c>
      <c r="N13" s="44">
        <v>2.39175E-4</v>
      </c>
      <c r="O13" s="44">
        <v>2.3499999999999999E-4</v>
      </c>
      <c r="P13" s="1">
        <f t="shared" si="33"/>
        <v>0.35000000000000003</v>
      </c>
      <c r="Q13" s="46">
        <f>164/3*10^9</f>
        <v>54666666666.666664</v>
      </c>
      <c r="R13" s="46">
        <f t="shared" si="34"/>
        <v>54666666666.666664</v>
      </c>
      <c r="S13" s="21">
        <v>5.0999999999999997E-2</v>
      </c>
      <c r="T13" s="46">
        <f t="shared" si="40"/>
        <v>4242954532.902555</v>
      </c>
      <c r="U13" s="46">
        <f>2723/3*10^6</f>
        <v>907666666.66666663</v>
      </c>
      <c r="V13" s="46">
        <f>1689/3*10^6</f>
        <v>563000000</v>
      </c>
      <c r="W13" s="1">
        <v>0</v>
      </c>
      <c r="X13" s="1">
        <v>0</v>
      </c>
      <c r="Y13" s="1">
        <v>0</v>
      </c>
      <c r="Z13" s="2">
        <v>2</v>
      </c>
      <c r="AA13" s="2">
        <v>0</v>
      </c>
      <c r="AB13" s="2">
        <v>2</v>
      </c>
      <c r="AC13" s="2">
        <v>0</v>
      </c>
      <c r="AD13" s="7">
        <f t="shared" si="10"/>
        <v>1.5875000000000001E-4</v>
      </c>
      <c r="AE13" s="7">
        <f t="shared" si="10"/>
        <v>1.5875000000000001E-4</v>
      </c>
      <c r="AF13" s="2">
        <f t="shared" si="11"/>
        <v>0.22</v>
      </c>
      <c r="AG13" s="45">
        <f t="shared" si="35"/>
        <v>78566505858.028946</v>
      </c>
      <c r="AH13" s="45">
        <f t="shared" si="36"/>
        <v>4686423156.4438314</v>
      </c>
      <c r="AI13" s="7">
        <v>0.3</v>
      </c>
      <c r="AJ13" s="45">
        <f t="shared" si="37"/>
        <v>2756719503.7904892</v>
      </c>
      <c r="AK13" s="46">
        <f t="shared" si="38"/>
        <v>1251398940</v>
      </c>
      <c r="AL13" s="46">
        <f t="shared" si="39"/>
        <v>1037661380</v>
      </c>
      <c r="AM13" s="7">
        <v>0</v>
      </c>
      <c r="AN13" s="7">
        <v>0</v>
      </c>
      <c r="AO13" s="7">
        <v>0</v>
      </c>
      <c r="AP13" s="4">
        <f t="shared" si="17"/>
        <v>1.5875E-2</v>
      </c>
      <c r="AQ13" s="4">
        <f t="shared" si="17"/>
        <v>1.5875E-2</v>
      </c>
      <c r="AR13" s="4">
        <f t="shared" si="18"/>
        <v>54.462899999999998</v>
      </c>
      <c r="AS13" s="4">
        <f t="shared" si="19"/>
        <v>6.3499999999999997E-3</v>
      </c>
      <c r="AT13" s="21">
        <v>86</v>
      </c>
      <c r="AU13" s="21">
        <v>40</v>
      </c>
      <c r="AV13" s="21">
        <v>1</v>
      </c>
      <c r="AW13" s="46">
        <f t="shared" si="1"/>
        <v>30750.6296</v>
      </c>
      <c r="AX13" s="48">
        <f t="shared" si="20"/>
        <v>358540000</v>
      </c>
      <c r="AY13" s="48">
        <f t="shared" si="21"/>
        <v>151690000</v>
      </c>
      <c r="AZ13" s="49">
        <v>0</v>
      </c>
      <c r="BA13" s="49">
        <v>0</v>
      </c>
      <c r="BB13" s="48">
        <f t="shared" si="22"/>
        <v>2940000</v>
      </c>
      <c r="BC13" s="8">
        <f>275/1000</f>
        <v>0.27500000000000002</v>
      </c>
      <c r="BD13" s="8">
        <f>15.75*25.4/1000</f>
        <v>0.40004999999999996</v>
      </c>
      <c r="BE13" s="3">
        <f t="shared" si="25"/>
        <v>1.7525500000000001</v>
      </c>
      <c r="BF13" s="3">
        <f t="shared" si="26"/>
        <v>1.7525500000000001</v>
      </c>
      <c r="BG13" s="3" t="s">
        <v>43</v>
      </c>
      <c r="BH13" s="8" t="s">
        <v>42</v>
      </c>
      <c r="BI13" s="8" t="str">
        <f t="shared" si="27"/>
        <v>PAMG-XR1-3.4-1/4-N-5056</v>
      </c>
      <c r="BJ13" s="26" t="s">
        <v>140</v>
      </c>
    </row>
    <row r="14" spans="1:62" x14ac:dyDescent="0.3">
      <c r="A14" s="33" t="s">
        <v>89</v>
      </c>
      <c r="B14" s="29">
        <v>1790</v>
      </c>
      <c r="C14" s="43">
        <v>10233</v>
      </c>
      <c r="D14" s="25">
        <f t="shared" si="2"/>
        <v>2169.497808835722</v>
      </c>
      <c r="E14" s="23">
        <v>1823.5</v>
      </c>
      <c r="F14" s="5">
        <f t="shared" si="29"/>
        <v>-15.948290310622829</v>
      </c>
      <c r="G14" s="5">
        <v>12218.74</v>
      </c>
      <c r="J14" s="1">
        <v>2</v>
      </c>
      <c r="K14" s="1">
        <v>2</v>
      </c>
      <c r="L14" s="1">
        <v>2</v>
      </c>
      <c r="M14" s="1">
        <v>2</v>
      </c>
      <c r="N14" s="44">
        <v>2.39175E-4</v>
      </c>
      <c r="O14" s="44">
        <v>2.3499999999999999E-4</v>
      </c>
      <c r="P14" s="1">
        <f t="shared" si="33"/>
        <v>0.35000000000000003</v>
      </c>
      <c r="Q14" s="46">
        <f t="shared" si="30"/>
        <v>54666666666.666664</v>
      </c>
      <c r="R14" s="46">
        <f t="shared" si="34"/>
        <v>54666666666.666664</v>
      </c>
      <c r="S14" s="21">
        <v>5.0999999999999997E-2</v>
      </c>
      <c r="T14" s="46">
        <f t="shared" si="40"/>
        <v>4242954532.902555</v>
      </c>
      <c r="U14" s="46">
        <f t="shared" si="31"/>
        <v>907666666.66666663</v>
      </c>
      <c r="V14" s="46">
        <f t="shared" si="32"/>
        <v>563000000</v>
      </c>
      <c r="W14" s="1">
        <v>0</v>
      </c>
      <c r="X14" s="1">
        <v>0</v>
      </c>
      <c r="Y14" s="1">
        <v>0</v>
      </c>
      <c r="Z14" s="2">
        <v>2</v>
      </c>
      <c r="AA14" s="2">
        <v>0</v>
      </c>
      <c r="AB14" s="2">
        <v>2</v>
      </c>
      <c r="AC14" s="2">
        <v>0</v>
      </c>
      <c r="AD14" s="7">
        <f t="shared" si="10"/>
        <v>1.5875000000000001E-4</v>
      </c>
      <c r="AE14" s="7">
        <f t="shared" si="10"/>
        <v>1.5875000000000001E-4</v>
      </c>
      <c r="AF14" s="2">
        <f t="shared" si="11"/>
        <v>0.22</v>
      </c>
      <c r="AG14" s="45">
        <f t="shared" si="35"/>
        <v>78566505858.028946</v>
      </c>
      <c r="AH14" s="45">
        <f t="shared" si="36"/>
        <v>4686423156.4438314</v>
      </c>
      <c r="AI14" s="7">
        <v>0.3</v>
      </c>
      <c r="AJ14" s="45">
        <f t="shared" si="37"/>
        <v>2756719503.7904892</v>
      </c>
      <c r="AK14" s="46">
        <f t="shared" si="38"/>
        <v>1251398940</v>
      </c>
      <c r="AL14" s="46">
        <f t="shared" si="39"/>
        <v>1037661380</v>
      </c>
      <c r="AM14" s="7">
        <v>0</v>
      </c>
      <c r="AN14" s="7">
        <v>0</v>
      </c>
      <c r="AO14" s="7">
        <v>0</v>
      </c>
      <c r="AP14" s="4">
        <f t="shared" si="17"/>
        <v>1.5875E-2</v>
      </c>
      <c r="AQ14" s="4">
        <f t="shared" si="17"/>
        <v>1.5875E-2</v>
      </c>
      <c r="AR14" s="4">
        <f t="shared" si="18"/>
        <v>54.462899999999998</v>
      </c>
      <c r="AS14" s="4">
        <f t="shared" si="19"/>
        <v>6.3499999999999997E-3</v>
      </c>
      <c r="AT14" s="21">
        <v>86</v>
      </c>
      <c r="AU14" s="21">
        <v>40</v>
      </c>
      <c r="AV14" s="21">
        <v>1</v>
      </c>
      <c r="AW14" s="46">
        <f t="shared" si="1"/>
        <v>30750.6296</v>
      </c>
      <c r="AX14" s="48">
        <f t="shared" si="20"/>
        <v>358540000</v>
      </c>
      <c r="AY14" s="48">
        <f t="shared" si="21"/>
        <v>151690000</v>
      </c>
      <c r="AZ14" s="49">
        <v>0</v>
      </c>
      <c r="BA14" s="49">
        <v>0</v>
      </c>
      <c r="BB14" s="48">
        <f t="shared" si="22"/>
        <v>2940000</v>
      </c>
      <c r="BC14" s="8">
        <f t="shared" ref="BC14:BC26" si="41">275/1000</f>
        <v>0.27500000000000002</v>
      </c>
      <c r="BD14" s="8">
        <f t="shared" ref="BD14:BD15" si="42">15.75*25.4/1000</f>
        <v>0.40004999999999996</v>
      </c>
      <c r="BE14" s="3">
        <f t="shared" si="25"/>
        <v>1.2742</v>
      </c>
      <c r="BF14" s="3">
        <f t="shared" si="26"/>
        <v>1.2742</v>
      </c>
      <c r="BG14" s="3" t="s">
        <v>43</v>
      </c>
      <c r="BH14" s="8" t="s">
        <v>42</v>
      </c>
      <c r="BI14" s="8" t="str">
        <f t="shared" si="27"/>
        <v>PAMG-XR1-3.4-1/4-N-5056</v>
      </c>
      <c r="BJ14" s="26" t="s">
        <v>140</v>
      </c>
    </row>
    <row r="15" spans="1:62" ht="15" thickBot="1" x14ac:dyDescent="0.35">
      <c r="A15" s="34" t="s">
        <v>90</v>
      </c>
      <c r="B15" s="29">
        <v>2199.672</v>
      </c>
      <c r="C15" s="43">
        <v>10233</v>
      </c>
      <c r="D15" s="25">
        <f t="shared" si="2"/>
        <v>2801.9823883700506</v>
      </c>
      <c r="E15" s="23">
        <v>2959.4</v>
      </c>
      <c r="F15" s="5">
        <f>IF(E15&lt;=0,"",(E15-D15)/D15*100)</f>
        <v>5.618079980920986</v>
      </c>
      <c r="G15" s="5">
        <v>10728.62</v>
      </c>
      <c r="J15" s="1">
        <v>4</v>
      </c>
      <c r="K15" s="1">
        <v>2</v>
      </c>
      <c r="L15" s="1">
        <v>4</v>
      </c>
      <c r="M15" s="1">
        <v>2</v>
      </c>
      <c r="N15" s="44">
        <v>2.39175E-4</v>
      </c>
      <c r="O15" s="44">
        <v>2.3499999999999999E-4</v>
      </c>
      <c r="P15" s="1">
        <f t="shared" si="33"/>
        <v>0.35000000000000003</v>
      </c>
      <c r="Q15" s="46">
        <f t="shared" si="30"/>
        <v>54666666666.666664</v>
      </c>
      <c r="R15" s="46">
        <f t="shared" si="34"/>
        <v>54666666666.666664</v>
      </c>
      <c r="S15" s="21">
        <v>5.0999999999999997E-2</v>
      </c>
      <c r="T15" s="46">
        <f t="shared" si="40"/>
        <v>4242954532.902555</v>
      </c>
      <c r="U15" s="46">
        <f t="shared" si="31"/>
        <v>907666666.66666663</v>
      </c>
      <c r="V15" s="46">
        <f t="shared" si="32"/>
        <v>563000000</v>
      </c>
      <c r="W15" s="1">
        <v>0</v>
      </c>
      <c r="X15" s="1">
        <v>0</v>
      </c>
      <c r="Y15" s="1">
        <v>0</v>
      </c>
      <c r="Z15" s="2">
        <v>3</v>
      </c>
      <c r="AA15" s="2">
        <v>0</v>
      </c>
      <c r="AB15" s="2">
        <v>3</v>
      </c>
      <c r="AC15" s="2">
        <v>0</v>
      </c>
      <c r="AD15" s="7">
        <f t="shared" si="10"/>
        <v>1.5875000000000001E-4</v>
      </c>
      <c r="AE15" s="7">
        <f t="shared" si="10"/>
        <v>1.5875000000000001E-4</v>
      </c>
      <c r="AF15" s="2">
        <f t="shared" si="11"/>
        <v>0.22</v>
      </c>
      <c r="AG15" s="45">
        <f t="shared" si="35"/>
        <v>78566505858.028946</v>
      </c>
      <c r="AH15" s="45">
        <f t="shared" si="36"/>
        <v>4686423156.4438314</v>
      </c>
      <c r="AI15" s="7">
        <v>0.3</v>
      </c>
      <c r="AJ15" s="45">
        <f t="shared" si="37"/>
        <v>2756719503.7904892</v>
      </c>
      <c r="AK15" s="46">
        <f t="shared" si="38"/>
        <v>1251398940</v>
      </c>
      <c r="AL15" s="46">
        <f t="shared" si="39"/>
        <v>1037661380</v>
      </c>
      <c r="AM15" s="7">
        <v>0</v>
      </c>
      <c r="AN15" s="7">
        <v>0</v>
      </c>
      <c r="AO15" s="7">
        <v>0</v>
      </c>
      <c r="AP15" s="4">
        <f t="shared" si="17"/>
        <v>1.5875E-2</v>
      </c>
      <c r="AQ15" s="4">
        <f t="shared" si="17"/>
        <v>1.5875E-2</v>
      </c>
      <c r="AR15" s="4">
        <f t="shared" si="18"/>
        <v>54.462899999999998</v>
      </c>
      <c r="AS15" s="4">
        <f t="shared" si="19"/>
        <v>6.3499999999999997E-3</v>
      </c>
      <c r="AT15" s="21">
        <v>86</v>
      </c>
      <c r="AU15" s="21">
        <v>40</v>
      </c>
      <c r="AV15" s="21">
        <v>1</v>
      </c>
      <c r="AW15" s="46">
        <f t="shared" si="1"/>
        <v>30750.6296</v>
      </c>
      <c r="AX15" s="48">
        <f t="shared" si="20"/>
        <v>358540000</v>
      </c>
      <c r="AY15" s="48">
        <f t="shared" si="21"/>
        <v>151690000</v>
      </c>
      <c r="AZ15" s="49">
        <v>0</v>
      </c>
      <c r="BA15" s="49">
        <v>0</v>
      </c>
      <c r="BB15" s="48">
        <f t="shared" si="22"/>
        <v>2940000</v>
      </c>
      <c r="BC15" s="8">
        <f t="shared" si="41"/>
        <v>0.27500000000000002</v>
      </c>
      <c r="BD15" s="8">
        <f t="shared" si="42"/>
        <v>0.40004999999999996</v>
      </c>
      <c r="BE15" s="3">
        <f t="shared" si="25"/>
        <v>1.9113</v>
      </c>
      <c r="BF15" s="3">
        <f t="shared" si="26"/>
        <v>1.9113</v>
      </c>
      <c r="BG15" s="3" t="s">
        <v>43</v>
      </c>
      <c r="BH15" s="8" t="s">
        <v>42</v>
      </c>
      <c r="BI15" s="8" t="str">
        <f t="shared" si="27"/>
        <v>PAMG-XR1-3.4-1/4-N-5056</v>
      </c>
      <c r="BJ15" s="26" t="s">
        <v>140</v>
      </c>
    </row>
    <row r="16" spans="1:62" x14ac:dyDescent="0.3">
      <c r="A16" s="36" t="s">
        <v>91</v>
      </c>
      <c r="B16" s="29">
        <f>4400/10</f>
        <v>440</v>
      </c>
      <c r="C16" s="43">
        <v>3900</v>
      </c>
      <c r="D16" s="25">
        <f t="shared" si="2"/>
        <v>495.95375722543349</v>
      </c>
      <c r="E16" s="23">
        <v>643.19000000000005</v>
      </c>
      <c r="F16" s="5">
        <f>IF(E16&lt;=0,"",(E16-D16)/D16*100)</f>
        <v>29.687494172494194</v>
      </c>
      <c r="G16" s="5">
        <v>4650</v>
      </c>
      <c r="J16" s="1">
        <v>2</v>
      </c>
      <c r="K16" s="1">
        <v>2</v>
      </c>
      <c r="L16" s="1">
        <v>2</v>
      </c>
      <c r="M16" s="1">
        <v>2</v>
      </c>
      <c r="N16" s="1">
        <f>0.0052/25.4</f>
        <v>2.0472440944881891E-4</v>
      </c>
      <c r="O16" s="1">
        <f>0.0052/25.4</f>
        <v>2.0472440944881891E-4</v>
      </c>
      <c r="P16" s="1">
        <f>0.00045*703070/1000</f>
        <v>0.31638150000000004</v>
      </c>
      <c r="Q16" s="47">
        <f>9.4/0.1415*10^9</f>
        <v>66431095406.360428</v>
      </c>
      <c r="R16" s="47">
        <f>9.4/0.1415*10^9</f>
        <v>66431095406.360428</v>
      </c>
      <c r="S16" s="1">
        <v>0.05</v>
      </c>
      <c r="T16" s="46">
        <f>0.619/0.1451*10^9</f>
        <v>4266023432.1157818</v>
      </c>
      <c r="U16" s="46">
        <f>Q16*(U24+U27+U33)/(Q24+Q27+Q33)</f>
        <v>1024771731.7487586</v>
      </c>
      <c r="V16" s="46">
        <f>R16*(V24+V27)/(R24+R27)+1</f>
        <v>364235646.83895719</v>
      </c>
      <c r="W16" s="1">
        <v>0</v>
      </c>
      <c r="X16" s="1">
        <v>0</v>
      </c>
      <c r="Y16" s="1">
        <v>0</v>
      </c>
      <c r="Z16" s="2">
        <v>1</v>
      </c>
      <c r="AA16" s="2">
        <v>0</v>
      </c>
      <c r="AB16" s="2">
        <v>1</v>
      </c>
      <c r="AC16" s="2">
        <v>0</v>
      </c>
      <c r="AD16" s="2">
        <f>0.01/25.4</f>
        <v>3.9370078740157485E-4</v>
      </c>
      <c r="AE16" s="2">
        <f>0.01/25.4</f>
        <v>3.9370078740157485E-4</v>
      </c>
      <c r="AF16" s="2">
        <f>0.0003*703070/1000</f>
        <v>0.210921</v>
      </c>
      <c r="AG16" s="45">
        <f>20/0.1451*10^9</f>
        <v>137835975189.52444</v>
      </c>
      <c r="AH16" s="45">
        <f>1.4/0.1451*10^9</f>
        <v>9648518263.2667103</v>
      </c>
      <c r="AI16" s="2">
        <v>0.3</v>
      </c>
      <c r="AJ16" s="45">
        <f>0.723/0.1451*10^9</f>
        <v>4982770503.1013098</v>
      </c>
      <c r="AK16" s="46">
        <f>AG16*(AK17+AK27+AK34+AK37)/(AG17+AG27+AG34+AG37)</f>
        <v>1370093726.3966224</v>
      </c>
      <c r="AL16" s="46">
        <f t="shared" ref="AL4:AL16" si="43">301*6.89476*10^6</f>
        <v>2075322760</v>
      </c>
      <c r="AM16" s="7">
        <v>0</v>
      </c>
      <c r="AN16" s="7">
        <v>0</v>
      </c>
      <c r="AO16" s="7">
        <v>0</v>
      </c>
      <c r="AP16" s="4">
        <f>0.7*25.4/1000</f>
        <v>1.7779999999999997E-2</v>
      </c>
      <c r="AQ16" s="4">
        <f>0.7*25.4/1000</f>
        <v>1.7779999999999997E-2</v>
      </c>
      <c r="AR16" s="4">
        <f>3*16.0185</f>
        <v>48.055499999999995</v>
      </c>
      <c r="AS16" s="4">
        <f>1/8*25.4/1000</f>
        <v>3.1749999999999999E-3</v>
      </c>
      <c r="AT16" s="21">
        <v>86</v>
      </c>
      <c r="AU16" s="21">
        <v>40</v>
      </c>
      <c r="AV16" s="21">
        <v>1</v>
      </c>
      <c r="AW16" s="46">
        <f t="shared" si="1"/>
        <v>30750.6296</v>
      </c>
      <c r="AX16" s="23">
        <f>41*10^6</f>
        <v>41000000</v>
      </c>
      <c r="AY16" s="23">
        <f>24*10^6</f>
        <v>24000000</v>
      </c>
      <c r="AZ16" s="48">
        <f>1.21*10^6</f>
        <v>1210000</v>
      </c>
      <c r="BA16" s="48">
        <f>0.69*10^6</f>
        <v>690000</v>
      </c>
      <c r="BB16" s="23">
        <f>2.24*10^6</f>
        <v>2240000</v>
      </c>
      <c r="BC16" s="3">
        <f>8*25.4/1000</f>
        <v>0.20319999999999999</v>
      </c>
      <c r="BD16" s="3">
        <f>20*25.4/1000</f>
        <v>0.50800000000000001</v>
      </c>
      <c r="BE16" s="3">
        <f t="shared" si="25"/>
        <v>1.2125984251968505</v>
      </c>
      <c r="BF16" s="3">
        <f t="shared" si="26"/>
        <v>1.2125984251968505</v>
      </c>
      <c r="BG16" s="3" t="s">
        <v>48</v>
      </c>
      <c r="BH16" s="3" t="s">
        <v>47</v>
      </c>
      <c r="BI16" s="3" t="s">
        <v>49</v>
      </c>
      <c r="BJ16" s="26" t="s">
        <v>189</v>
      </c>
    </row>
    <row r="17" spans="1:62" x14ac:dyDescent="0.3">
      <c r="A17" s="33" t="s">
        <v>92</v>
      </c>
      <c r="B17" s="29">
        <v>1112.5</v>
      </c>
      <c r="C17" s="43">
        <v>3900</v>
      </c>
      <c r="D17" s="25">
        <f t="shared" si="2"/>
        <v>1556.5022421524664</v>
      </c>
      <c r="E17" s="23">
        <v>2135.9</v>
      </c>
      <c r="F17" s="5">
        <f t="shared" ref="F17:F23" si="44">IF(E17&lt;=0,"",(E17-D17)/D17*100)</f>
        <v>37.224344569288398</v>
      </c>
      <c r="G17" s="5">
        <v>11750</v>
      </c>
      <c r="J17" s="1">
        <v>2</v>
      </c>
      <c r="K17" s="1">
        <v>1</v>
      </c>
      <c r="L17" s="1">
        <v>2</v>
      </c>
      <c r="M17" s="1">
        <v>1</v>
      </c>
      <c r="N17" s="1">
        <f t="shared" ref="N17:O19" si="45">0.017*25.4/1000</f>
        <v>4.3180000000000003E-4</v>
      </c>
      <c r="O17" s="1">
        <f t="shared" si="45"/>
        <v>4.3180000000000003E-4</v>
      </c>
      <c r="P17" s="1">
        <f>644/1000</f>
        <v>0.64400000000000002</v>
      </c>
      <c r="Q17" s="46">
        <f>141/2*10^9</f>
        <v>70500000000</v>
      </c>
      <c r="R17" s="46">
        <f>141/2*10^9</f>
        <v>70500000000</v>
      </c>
      <c r="S17" s="21">
        <f>0.053</f>
        <v>5.2999999999999999E-2</v>
      </c>
      <c r="T17" s="47">
        <f>0.77/145038*10^6*10^9</f>
        <v>5308953515.6303873</v>
      </c>
      <c r="U17" s="46">
        <f>2205/2*10^6</f>
        <v>1102500000</v>
      </c>
      <c r="V17" s="46">
        <f>1530/2*10^6</f>
        <v>765000000</v>
      </c>
      <c r="Z17" s="2">
        <v>0</v>
      </c>
      <c r="AA17" s="2">
        <v>2</v>
      </c>
      <c r="AB17" s="2">
        <v>0</v>
      </c>
      <c r="AC17" s="2">
        <v>2</v>
      </c>
      <c r="AD17" s="21">
        <f>AG17*(AD15+AD16+AD21+AD27+AD34+AD37)/(AG15+AG16+AG21+AG27+AG34+AG37)</f>
        <v>4.2790181016148988E-4</v>
      </c>
      <c r="AE17" s="2">
        <v>3.9876303179060628E-4</v>
      </c>
      <c r="AF17" s="21">
        <f>AD17*(AF13+AF22+AF16)/(AD22+AD13+AD16)</f>
        <v>0.38181484968086682</v>
      </c>
      <c r="AG17" s="45">
        <f>340*10^9</f>
        <v>340000000000</v>
      </c>
      <c r="AH17" s="46">
        <f>AG17*(AH3+AH21+AH27)/(AG3+AG21+AG27)</f>
        <v>14035737214.328651</v>
      </c>
      <c r="AI17" s="21">
        <v>0.3</v>
      </c>
      <c r="AJ17" s="46">
        <f>AG17*(AJ15+AJ20)/(AG15+AG20)</f>
        <v>7448344535.723177</v>
      </c>
      <c r="AK17" s="45">
        <f>2010*10^6</f>
        <v>2010000000</v>
      </c>
      <c r="AL17" s="45">
        <f>835*10^6</f>
        <v>835000000</v>
      </c>
      <c r="AP17" s="4">
        <f t="shared" ref="AP17:AQ23" si="46">0.7*25.4/1000</f>
        <v>1.7779999999999997E-2</v>
      </c>
      <c r="AQ17" s="4">
        <f>0.7*25.4/1000</f>
        <v>1.7779999999999997E-2</v>
      </c>
      <c r="AR17" s="4">
        <f>3.1*16.0185</f>
        <v>49.657350000000001</v>
      </c>
      <c r="AS17" s="4">
        <f>3/16*25.4/1000</f>
        <v>4.7624999999999994E-3</v>
      </c>
      <c r="AT17" s="21">
        <v>86</v>
      </c>
      <c r="AU17" s="21">
        <v>40</v>
      </c>
      <c r="AV17" s="21">
        <v>1</v>
      </c>
      <c r="AW17" s="46">
        <f t="shared" si="1"/>
        <v>30750.6296</v>
      </c>
      <c r="AX17" s="48">
        <f>0.39*10^9</f>
        <v>390000000</v>
      </c>
      <c r="AY17" s="48">
        <f>0.19*10^9</f>
        <v>190000000</v>
      </c>
      <c r="AZ17" s="48">
        <f>1.5*10^6</f>
        <v>1500000</v>
      </c>
      <c r="BA17" s="48">
        <f>0.88*10^6</f>
        <v>880000</v>
      </c>
      <c r="BB17" s="48">
        <f>270/145.05*(0.625/0.7)^2*10^6</f>
        <v>1483918.2829284763</v>
      </c>
      <c r="BC17" s="8">
        <f t="shared" si="41"/>
        <v>0.27500000000000002</v>
      </c>
      <c r="BD17" s="3">
        <f>500/1000</f>
        <v>0.5</v>
      </c>
      <c r="BE17" s="3">
        <f t="shared" si="25"/>
        <v>2.1512036203229798</v>
      </c>
      <c r="BF17" s="3">
        <f t="shared" si="26"/>
        <v>2.1512036203229798</v>
      </c>
      <c r="BG17" s="3" t="s">
        <v>50</v>
      </c>
      <c r="BH17" s="3" t="s">
        <v>51</v>
      </c>
      <c r="BI17" s="3" t="s">
        <v>52</v>
      </c>
      <c r="BJ17" s="26" t="s">
        <v>190</v>
      </c>
    </row>
    <row r="18" spans="1:62" x14ac:dyDescent="0.3">
      <c r="A18" s="33" t="s">
        <v>93</v>
      </c>
      <c r="B18" s="29">
        <v>553.33000000000004</v>
      </c>
      <c r="C18" s="43">
        <v>3900</v>
      </c>
      <c r="D18" s="25">
        <f t="shared" si="2"/>
        <v>644.81619042212117</v>
      </c>
      <c r="E18" s="23">
        <v>771.06</v>
      </c>
      <c r="F18" s="5">
        <f t="shared" si="44"/>
        <v>19.578262992316429</v>
      </c>
      <c r="G18" s="5">
        <v>6100</v>
      </c>
      <c r="J18" s="1">
        <v>1</v>
      </c>
      <c r="K18" s="1">
        <v>1</v>
      </c>
      <c r="L18" s="1">
        <v>1</v>
      </c>
      <c r="M18" s="1">
        <v>1</v>
      </c>
      <c r="N18" s="1">
        <f t="shared" si="45"/>
        <v>4.3180000000000003E-4</v>
      </c>
      <c r="O18" s="1">
        <f t="shared" si="45"/>
        <v>4.3180000000000003E-4</v>
      </c>
      <c r="P18" s="1">
        <f t="shared" ref="P18:P19" si="47">644/1000</f>
        <v>0.64400000000000002</v>
      </c>
      <c r="Q18" s="46">
        <f t="shared" ref="Q18:R19" si="48">141/2*10^9</f>
        <v>70500000000</v>
      </c>
      <c r="R18" s="46">
        <f t="shared" si="48"/>
        <v>70500000000</v>
      </c>
      <c r="S18" s="21">
        <f t="shared" ref="S18:S19" si="49">0.053</f>
        <v>5.2999999999999999E-2</v>
      </c>
      <c r="T18" s="47">
        <f t="shared" ref="T18:T19" si="50">0.77/145038*10^6*10^9</f>
        <v>5308953515.6303873</v>
      </c>
      <c r="U18" s="46">
        <f t="shared" ref="U18:U19" si="51">2205/2*10^6</f>
        <v>1102500000</v>
      </c>
      <c r="V18" s="46">
        <f t="shared" ref="V18:V19" si="52">1530/2*10^6</f>
        <v>765000000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45">
        <v>0</v>
      </c>
      <c r="AH18" s="45">
        <v>0</v>
      </c>
      <c r="AI18" s="2">
        <v>0</v>
      </c>
      <c r="AJ18" s="45">
        <v>0</v>
      </c>
      <c r="AK18" s="45">
        <v>0</v>
      </c>
      <c r="AL18" s="45">
        <v>0</v>
      </c>
      <c r="AP18" s="4">
        <f t="shared" si="46"/>
        <v>1.7779999999999997E-2</v>
      </c>
      <c r="AQ18" s="4">
        <f>0.7*25.4/1000</f>
        <v>1.7779999999999997E-2</v>
      </c>
      <c r="AR18" s="4">
        <f t="shared" ref="AR18:AR22" si="53">3.1*16.0185</f>
        <v>49.657350000000001</v>
      </c>
      <c r="AS18" s="4">
        <f>3/16*25.4/1000</f>
        <v>4.7624999999999994E-3</v>
      </c>
      <c r="AT18" s="21">
        <v>86</v>
      </c>
      <c r="AU18" s="21">
        <v>40</v>
      </c>
      <c r="AV18" s="21">
        <v>1</v>
      </c>
      <c r="AW18" s="46">
        <f t="shared" si="1"/>
        <v>30750.6296</v>
      </c>
      <c r="AX18" s="48">
        <f t="shared" ref="AX18:AX19" si="54">0.39*10^9</f>
        <v>390000000</v>
      </c>
      <c r="AY18" s="48">
        <f t="shared" ref="AY18:AY20" si="55">0.19*10^9</f>
        <v>190000000</v>
      </c>
      <c r="AZ18" s="48">
        <f t="shared" ref="AZ18:AZ20" si="56">1.5*10^6</f>
        <v>1500000</v>
      </c>
      <c r="BA18" s="48">
        <f t="shared" ref="BA18:BA20" si="57">0.88*10^6</f>
        <v>880000</v>
      </c>
      <c r="BB18" s="48">
        <f>BB17</f>
        <v>1483918.2829284763</v>
      </c>
      <c r="BC18" s="8">
        <f t="shared" si="41"/>
        <v>0.27500000000000002</v>
      </c>
      <c r="BD18" s="3">
        <f t="shared" ref="BD18:BD40" si="58">500/1000</f>
        <v>0.5</v>
      </c>
      <c r="BE18" s="3">
        <f t="shared" si="25"/>
        <v>0.86360000000000003</v>
      </c>
      <c r="BF18" s="3">
        <f t="shared" si="26"/>
        <v>0.86360000000000003</v>
      </c>
      <c r="BG18" s="3" t="s">
        <v>50</v>
      </c>
      <c r="BH18" s="3">
        <v>0</v>
      </c>
      <c r="BI18" s="3" t="s">
        <v>52</v>
      </c>
      <c r="BJ18" s="26" t="s">
        <v>190</v>
      </c>
    </row>
    <row r="19" spans="1:62" x14ac:dyDescent="0.3">
      <c r="A19" s="33" t="s">
        <v>94</v>
      </c>
      <c r="B19" s="29">
        <v>2380.9499999999998</v>
      </c>
      <c r="C19" s="43">
        <v>3900</v>
      </c>
      <c r="D19" s="25">
        <f t="shared" si="2"/>
        <v>6112.8369704749666</v>
      </c>
      <c r="E19" s="23">
        <v>4540.5</v>
      </c>
      <c r="F19" s="5">
        <f t="shared" si="44"/>
        <v>-25.721886221886209</v>
      </c>
      <c r="G19" s="5">
        <v>23750</v>
      </c>
      <c r="J19" s="1">
        <v>5</v>
      </c>
      <c r="K19" s="1">
        <v>5</v>
      </c>
      <c r="L19" s="1">
        <v>5</v>
      </c>
      <c r="M19" s="1">
        <v>5</v>
      </c>
      <c r="N19" s="1">
        <f>0.017*25.4/1000</f>
        <v>4.3180000000000003E-4</v>
      </c>
      <c r="O19" s="1">
        <f t="shared" si="45"/>
        <v>4.3180000000000003E-4</v>
      </c>
      <c r="P19" s="1">
        <f t="shared" si="47"/>
        <v>0.64400000000000002</v>
      </c>
      <c r="Q19" s="46">
        <f t="shared" si="48"/>
        <v>70500000000</v>
      </c>
      <c r="R19" s="46">
        <f t="shared" si="48"/>
        <v>70500000000</v>
      </c>
      <c r="S19" s="21">
        <f t="shared" si="49"/>
        <v>5.2999999999999999E-2</v>
      </c>
      <c r="T19" s="47">
        <f t="shared" si="50"/>
        <v>5308953515.6303873</v>
      </c>
      <c r="U19" s="46">
        <f t="shared" si="51"/>
        <v>1102500000</v>
      </c>
      <c r="V19" s="46">
        <f t="shared" si="52"/>
        <v>765000000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45">
        <v>0</v>
      </c>
      <c r="AH19" s="45">
        <v>0</v>
      </c>
      <c r="AI19" s="2">
        <v>0</v>
      </c>
      <c r="AJ19" s="45">
        <v>0</v>
      </c>
      <c r="AK19" s="45">
        <v>0</v>
      </c>
      <c r="AL19" s="45">
        <v>0</v>
      </c>
      <c r="AP19" s="4">
        <f t="shared" si="46"/>
        <v>1.7779999999999997E-2</v>
      </c>
      <c r="AQ19" s="4">
        <f>0.7*25.4/1000</f>
        <v>1.7779999999999997E-2</v>
      </c>
      <c r="AR19" s="4">
        <f t="shared" si="53"/>
        <v>49.657350000000001</v>
      </c>
      <c r="AS19" s="4">
        <f>3/16*25.4/1000</f>
        <v>4.7624999999999994E-3</v>
      </c>
      <c r="AT19" s="21">
        <v>86</v>
      </c>
      <c r="AU19" s="21">
        <v>40</v>
      </c>
      <c r="AV19" s="21">
        <v>1</v>
      </c>
      <c r="AW19" s="46">
        <f t="shared" si="1"/>
        <v>30750.6296</v>
      </c>
      <c r="AX19" s="48">
        <f t="shared" si="54"/>
        <v>390000000</v>
      </c>
      <c r="AY19" s="48">
        <f t="shared" si="55"/>
        <v>190000000</v>
      </c>
      <c r="AZ19" s="48">
        <f t="shared" si="56"/>
        <v>1500000</v>
      </c>
      <c r="BA19" s="48">
        <f t="shared" si="57"/>
        <v>880000</v>
      </c>
      <c r="BB19" s="48">
        <f>BB17</f>
        <v>1483918.2829284763</v>
      </c>
      <c r="BC19" s="8">
        <f t="shared" si="41"/>
        <v>0.27500000000000002</v>
      </c>
      <c r="BD19" s="3">
        <f t="shared" si="58"/>
        <v>0.5</v>
      </c>
      <c r="BE19" s="3">
        <f t="shared" si="25"/>
        <v>4.3180000000000005</v>
      </c>
      <c r="BF19" s="3">
        <f t="shared" si="26"/>
        <v>4.3180000000000005</v>
      </c>
      <c r="BG19" s="3" t="s">
        <v>50</v>
      </c>
      <c r="BH19" s="3">
        <v>0</v>
      </c>
      <c r="BI19" s="3" t="s">
        <v>52</v>
      </c>
      <c r="BJ19" s="26" t="s">
        <v>190</v>
      </c>
    </row>
    <row r="20" spans="1:62" s="58" customFormat="1" x14ac:dyDescent="0.3">
      <c r="A20" s="52" t="s">
        <v>129</v>
      </c>
      <c r="B20" s="53">
        <f>(720-300)/(0.2-0.1)*4.44822/25.4</f>
        <v>735.53244094488196</v>
      </c>
      <c r="C20" s="43">
        <v>3900</v>
      </c>
      <c r="D20" s="54">
        <f t="shared" si="2"/>
        <v>906.49578993995794</v>
      </c>
      <c r="E20" s="56">
        <v>971.42</v>
      </c>
      <c r="F20" s="5">
        <f t="shared" si="44"/>
        <v>7.162108283408827</v>
      </c>
      <c r="G20" s="55">
        <f>972.6*4.44822</f>
        <v>4326.3387720000001</v>
      </c>
      <c r="H20" s="55"/>
      <c r="I20" s="56">
        <f>703210*4.44822*(25.4/1000)^2</f>
        <v>2018.0816323447918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6">
        <v>0</v>
      </c>
      <c r="R20" s="56">
        <v>0</v>
      </c>
      <c r="S20" s="55">
        <v>0</v>
      </c>
      <c r="T20" s="56">
        <v>0</v>
      </c>
      <c r="U20" s="56">
        <v>0</v>
      </c>
      <c r="V20" s="56">
        <v>0</v>
      </c>
      <c r="W20" s="55">
        <v>0</v>
      </c>
      <c r="X20" s="55">
        <v>0</v>
      </c>
      <c r="Y20" s="55">
        <v>0</v>
      </c>
      <c r="Z20" s="55">
        <v>1</v>
      </c>
      <c r="AA20" s="55">
        <v>2</v>
      </c>
      <c r="AB20" s="55">
        <v>1</v>
      </c>
      <c r="AC20" s="55">
        <v>2</v>
      </c>
      <c r="AD20" s="55">
        <f>0.012*25.4/1000</f>
        <v>3.0480000000000004E-4</v>
      </c>
      <c r="AE20" s="55">
        <f>0.012*25.4/1000</f>
        <v>3.0480000000000004E-4</v>
      </c>
      <c r="AF20" s="55">
        <f>334/1000</f>
        <v>0.33400000000000002</v>
      </c>
      <c r="AG20" s="56">
        <f>28.77/0.1451*10^9</f>
        <v>198277050310.13092</v>
      </c>
      <c r="AH20" s="56">
        <f>0.78/0.1451*10^9</f>
        <v>5375603032.3914537</v>
      </c>
      <c r="AI20" s="55">
        <v>0.22600000000000001</v>
      </c>
      <c r="AJ20" s="56">
        <f>0.48/0.1451*10^9</f>
        <v>3308063404.5485868</v>
      </c>
      <c r="AK20" s="56">
        <f>2210*10^6</f>
        <v>2210000000</v>
      </c>
      <c r="AL20" s="56">
        <f>1090*10^6</f>
        <v>1090000000</v>
      </c>
      <c r="AM20" s="55">
        <v>0</v>
      </c>
      <c r="AN20" s="55">
        <v>0</v>
      </c>
      <c r="AO20" s="55">
        <v>0</v>
      </c>
      <c r="AP20" s="55">
        <f>0.7*25.4/1000</f>
        <v>1.7779999999999997E-2</v>
      </c>
      <c r="AQ20" s="55">
        <f>0.69*25.4/1000</f>
        <v>1.7525999999999996E-2</v>
      </c>
      <c r="AR20" s="55">
        <f t="shared" si="53"/>
        <v>49.657350000000001</v>
      </c>
      <c r="AS20" s="55">
        <f>3/16*25.4/1000</f>
        <v>4.7624999999999994E-3</v>
      </c>
      <c r="AT20" s="55">
        <v>86</v>
      </c>
      <c r="AU20" s="55">
        <v>40</v>
      </c>
      <c r="AV20" s="55">
        <v>1</v>
      </c>
      <c r="AW20" s="56">
        <f>4.46*6894.76</f>
        <v>30750.6296</v>
      </c>
      <c r="AX20" s="56">
        <f>51*6895000</f>
        <v>351645000</v>
      </c>
      <c r="AY20" s="48">
        <f t="shared" si="55"/>
        <v>190000000</v>
      </c>
      <c r="AZ20" s="48">
        <f t="shared" si="56"/>
        <v>1500000</v>
      </c>
      <c r="BA20" s="48">
        <f t="shared" si="57"/>
        <v>880000</v>
      </c>
      <c r="BB20" s="56">
        <f>BB18</f>
        <v>1483918.2829284763</v>
      </c>
      <c r="BC20" s="57">
        <f t="shared" si="41"/>
        <v>0.27500000000000002</v>
      </c>
      <c r="BD20" s="55">
        <f t="shared" si="58"/>
        <v>0.5</v>
      </c>
      <c r="BE20" s="55">
        <f t="shared" si="25"/>
        <v>0.9144000000000001</v>
      </c>
      <c r="BF20" s="55">
        <f t="shared" si="26"/>
        <v>0.9144000000000001</v>
      </c>
      <c r="BG20" s="55">
        <v>0</v>
      </c>
      <c r="BH20" s="55" t="s">
        <v>75</v>
      </c>
      <c r="BI20" s="55" t="s">
        <v>52</v>
      </c>
      <c r="BJ20" s="58" t="s">
        <v>138</v>
      </c>
    </row>
    <row r="21" spans="1:62" x14ac:dyDescent="0.3">
      <c r="A21" s="33" t="s">
        <v>95</v>
      </c>
      <c r="B21" s="29">
        <f>(1400-200)/(0.53-0.1)*4.44822/25.4</f>
        <v>488.72587438198133</v>
      </c>
      <c r="C21" s="43">
        <v>3900</v>
      </c>
      <c r="D21" s="25">
        <f t="shared" si="2"/>
        <v>558.74457457868846</v>
      </c>
      <c r="E21" s="23">
        <v>701.65</v>
      </c>
      <c r="F21" s="5">
        <f t="shared" si="44"/>
        <v>25.576163406878148</v>
      </c>
      <c r="G21" s="5">
        <f>1490*4.44822</f>
        <v>6627.8478000000005</v>
      </c>
      <c r="J21" s="1">
        <v>1</v>
      </c>
      <c r="K21" s="1">
        <v>1</v>
      </c>
      <c r="L21" s="1">
        <v>1</v>
      </c>
      <c r="M21" s="1">
        <v>1</v>
      </c>
      <c r="N21" s="1">
        <f>0.01*25.4/1000</f>
        <v>2.5399999999999999E-4</v>
      </c>
      <c r="O21" s="1">
        <f>0.01*25.4/1000</f>
        <v>2.5399999999999999E-4</v>
      </c>
      <c r="P21" s="1">
        <f>346/1000</f>
        <v>0.34599999999999997</v>
      </c>
      <c r="Q21" s="47">
        <f>6.7/0.1415*10^9</f>
        <v>47349823321.554771</v>
      </c>
      <c r="R21" s="47">
        <f>6.7/0.1415*10^9</f>
        <v>47349823321.554771</v>
      </c>
      <c r="S21" s="21">
        <v>4.1000000000000002E-2</v>
      </c>
      <c r="T21" s="47">
        <f>4.8*10^9</f>
        <v>4800000000</v>
      </c>
      <c r="U21" s="47">
        <f>1003*10^6</f>
        <v>1003000000</v>
      </c>
      <c r="V21" s="47">
        <f>923*10^6</f>
        <v>923000000</v>
      </c>
      <c r="W21" s="1">
        <v>0</v>
      </c>
      <c r="X21" s="1">
        <v>0</v>
      </c>
      <c r="Y21" s="1">
        <v>0</v>
      </c>
      <c r="Z21" s="2">
        <v>1</v>
      </c>
      <c r="AA21" s="2">
        <v>0</v>
      </c>
      <c r="AB21" s="2">
        <v>1</v>
      </c>
      <c r="AC21" s="2">
        <v>0</v>
      </c>
      <c r="AD21" s="2">
        <f>0.012*25.4/1000</f>
        <v>3.0480000000000004E-4</v>
      </c>
      <c r="AE21" s="2">
        <f>0.012*25.4/1000</f>
        <v>3.0480000000000004E-4</v>
      </c>
      <c r="AF21" s="2">
        <f t="shared" ref="AF21:AF23" si="59">334/1000</f>
        <v>0.33400000000000002</v>
      </c>
      <c r="AG21" s="45">
        <f t="shared" ref="AG21:AG23" si="60">28.77/0.1451*10^9</f>
        <v>198277050310.13092</v>
      </c>
      <c r="AH21" s="45">
        <f t="shared" ref="AH21:AH23" si="61">0.78/0.1451*10^9</f>
        <v>5375603032.3914537</v>
      </c>
      <c r="AI21" s="2">
        <v>0.22600000000000001</v>
      </c>
      <c r="AJ21" s="45">
        <f t="shared" ref="AJ21:AJ23" si="62">0.48/0.1451*10^9</f>
        <v>3308063404.5485868</v>
      </c>
      <c r="AK21" s="45">
        <f t="shared" ref="AK21:AK23" si="63">2210*10^6</f>
        <v>2210000000</v>
      </c>
      <c r="AL21" s="45">
        <f t="shared" ref="AL21:AL23" si="64">1090*10^6</f>
        <v>1090000000</v>
      </c>
      <c r="AP21" s="4">
        <f>0.5*25.4/1000</f>
        <v>1.2699999999999999E-2</v>
      </c>
      <c r="AQ21" s="4">
        <f>0.5*25.4/1000</f>
        <v>1.2699999999999999E-2</v>
      </c>
      <c r="AR21" s="4">
        <f t="shared" si="53"/>
        <v>49.657350000000001</v>
      </c>
      <c r="AS21" s="4">
        <f>1/8*25.4/1000</f>
        <v>3.1749999999999999E-3</v>
      </c>
      <c r="AT21" s="21">
        <v>86</v>
      </c>
      <c r="AU21" s="21">
        <v>40</v>
      </c>
      <c r="AV21" s="21">
        <v>1</v>
      </c>
      <c r="AW21" s="46">
        <f t="shared" si="1"/>
        <v>30750.6296</v>
      </c>
      <c r="AX21" s="48">
        <f>45*6895000</f>
        <v>310275000</v>
      </c>
      <c r="AY21" s="48">
        <f>22*6895000</f>
        <v>151690000</v>
      </c>
      <c r="AZ21" s="50">
        <f>210*6895000</f>
        <v>1447950000</v>
      </c>
      <c r="BA21" s="50">
        <f>130*6895000</f>
        <v>896350000</v>
      </c>
      <c r="BB21" s="51">
        <f>300/145.05*(0.7/0.5)^2*10^6</f>
        <v>4053774.5604963796</v>
      </c>
      <c r="BC21" s="8">
        <f t="shared" si="41"/>
        <v>0.27500000000000002</v>
      </c>
      <c r="BD21" s="3">
        <f t="shared" si="58"/>
        <v>0.5</v>
      </c>
      <c r="BE21" s="3">
        <f t="shared" si="25"/>
        <v>0.81280000000000008</v>
      </c>
      <c r="BF21" s="3">
        <f t="shared" si="26"/>
        <v>0.81280000000000008</v>
      </c>
      <c r="BG21" s="3" t="s">
        <v>74</v>
      </c>
      <c r="BH21" s="3" t="s">
        <v>75</v>
      </c>
      <c r="BI21" s="3" t="s">
        <v>78</v>
      </c>
      <c r="BJ21" s="27" t="s">
        <v>139</v>
      </c>
    </row>
    <row r="22" spans="1:62" x14ac:dyDescent="0.3">
      <c r="A22" s="33" t="s">
        <v>96</v>
      </c>
      <c r="B22" s="29">
        <f>(2180-980)/(0.3-0.15)*4.44822/25.4</f>
        <v>1401.0141732283466</v>
      </c>
      <c r="C22" s="43">
        <v>3900</v>
      </c>
      <c r="D22" s="25">
        <f t="shared" si="2"/>
        <v>2186.4690936039569</v>
      </c>
      <c r="E22" s="23">
        <v>1291.5</v>
      </c>
      <c r="F22" s="5">
        <f t="shared" si="44"/>
        <v>-40.932163012136584</v>
      </c>
      <c r="G22" s="5">
        <f>2300*4.44822</f>
        <v>10230.906000000001</v>
      </c>
      <c r="J22" s="1">
        <v>1</v>
      </c>
      <c r="K22" s="1">
        <v>1</v>
      </c>
      <c r="L22" s="1">
        <v>1</v>
      </c>
      <c r="M22" s="1">
        <v>1</v>
      </c>
      <c r="N22" s="1">
        <f t="shared" ref="N22:O23" si="65">0.01*25.4/1000</f>
        <v>2.5399999999999999E-4</v>
      </c>
      <c r="O22" s="1">
        <f t="shared" si="65"/>
        <v>2.5399999999999999E-4</v>
      </c>
      <c r="P22" s="1">
        <f t="shared" ref="P22:P23" si="66">346/1000</f>
        <v>0.34599999999999997</v>
      </c>
      <c r="Q22" s="47">
        <f t="shared" ref="Q22:R23" si="67">6.7/0.1415*10^9</f>
        <v>47349823321.554771</v>
      </c>
      <c r="R22" s="47">
        <f t="shared" si="67"/>
        <v>47349823321.554771</v>
      </c>
      <c r="S22" s="21">
        <v>4.1000000000000002E-2</v>
      </c>
      <c r="T22" s="47">
        <f t="shared" ref="T22:T23" si="68">4.8*10^9</f>
        <v>4800000000</v>
      </c>
      <c r="U22" s="47">
        <f t="shared" ref="U22:U23" si="69">1003*10^6</f>
        <v>1003000000</v>
      </c>
      <c r="V22" s="47">
        <f t="shared" ref="V22:V23" si="70">923*10^6</f>
        <v>923000000</v>
      </c>
      <c r="Z22" s="2">
        <v>1</v>
      </c>
      <c r="AA22" s="2">
        <v>0</v>
      </c>
      <c r="AB22" s="2">
        <v>1</v>
      </c>
      <c r="AC22" s="2">
        <v>0</v>
      </c>
      <c r="AD22" s="2">
        <f t="shared" ref="AD22:AD23" si="71">0.012*25.4/1000</f>
        <v>3.0480000000000004E-4</v>
      </c>
      <c r="AE22" s="2">
        <f>0.012*25.4/1000</f>
        <v>3.0480000000000004E-4</v>
      </c>
      <c r="AF22" s="2">
        <f t="shared" si="59"/>
        <v>0.33400000000000002</v>
      </c>
      <c r="AG22" s="45">
        <f t="shared" si="60"/>
        <v>198277050310.13092</v>
      </c>
      <c r="AH22" s="45">
        <f t="shared" si="61"/>
        <v>5375603032.3914537</v>
      </c>
      <c r="AI22" s="2">
        <v>0.22600000000000001</v>
      </c>
      <c r="AJ22" s="45">
        <f t="shared" si="62"/>
        <v>3308063404.5485868</v>
      </c>
      <c r="AK22" s="45">
        <f t="shared" si="63"/>
        <v>2210000000</v>
      </c>
      <c r="AL22" s="45">
        <f t="shared" si="64"/>
        <v>1090000000</v>
      </c>
      <c r="AP22" s="4">
        <f t="shared" si="46"/>
        <v>1.7779999999999997E-2</v>
      </c>
      <c r="AQ22" s="4">
        <f t="shared" si="46"/>
        <v>1.7779999999999997E-2</v>
      </c>
      <c r="AR22" s="4">
        <f t="shared" si="53"/>
        <v>49.657350000000001</v>
      </c>
      <c r="AS22" s="4">
        <f t="shared" ref="AS22:AS25" si="72">1/8*25.4/1000</f>
        <v>3.1749999999999999E-3</v>
      </c>
      <c r="AT22" s="21">
        <v>86</v>
      </c>
      <c r="AU22" s="21">
        <v>40</v>
      </c>
      <c r="AV22" s="21">
        <v>1</v>
      </c>
      <c r="AW22" s="46">
        <f t="shared" si="1"/>
        <v>30750.6296</v>
      </c>
      <c r="AX22" s="48">
        <f t="shared" ref="AX22" si="73">45*6895000</f>
        <v>310275000</v>
      </c>
      <c r="AY22" s="48">
        <f t="shared" ref="AY22" si="74">22*6895000</f>
        <v>151690000</v>
      </c>
      <c r="AZ22" s="50">
        <f t="shared" ref="AZ22" si="75">210*6895000</f>
        <v>1447950000</v>
      </c>
      <c r="BA22" s="50">
        <f t="shared" ref="BA22" si="76">130*6895000</f>
        <v>896350000</v>
      </c>
      <c r="BB22" s="48">
        <f>335/145.05*10^6</f>
        <v>2309548.4315753183</v>
      </c>
      <c r="BC22" s="8">
        <f t="shared" si="41"/>
        <v>0.27500000000000002</v>
      </c>
      <c r="BD22" s="3">
        <f t="shared" si="58"/>
        <v>0.5</v>
      </c>
      <c r="BE22" s="3">
        <f t="shared" si="25"/>
        <v>0.81280000000000008</v>
      </c>
      <c r="BF22" s="3">
        <f t="shared" si="26"/>
        <v>0.81280000000000008</v>
      </c>
      <c r="BG22" s="3" t="s">
        <v>74</v>
      </c>
      <c r="BH22" s="3" t="s">
        <v>75</v>
      </c>
      <c r="BI22" s="3" t="s">
        <v>79</v>
      </c>
      <c r="BJ22" s="27" t="s">
        <v>139</v>
      </c>
    </row>
    <row r="23" spans="1:62" ht="15" thickBot="1" x14ac:dyDescent="0.35">
      <c r="A23" s="34" t="s">
        <v>97</v>
      </c>
      <c r="B23" s="29">
        <f>(2250-1000)/(0.3-0.15)*4.44822/25.4</f>
        <v>1459.3897637795276</v>
      </c>
      <c r="C23" s="43">
        <v>3900</v>
      </c>
      <c r="D23" s="25">
        <f t="shared" si="2"/>
        <v>2332.0479420565725</v>
      </c>
      <c r="E23" s="23">
        <v>1285.7</v>
      </c>
      <c r="F23" s="5">
        <f t="shared" si="44"/>
        <v>-44.868200313833398</v>
      </c>
      <c r="G23" s="5">
        <f>2650*4.44822</f>
        <v>11787.782999999999</v>
      </c>
      <c r="J23" s="1">
        <v>1</v>
      </c>
      <c r="K23" s="1">
        <v>1</v>
      </c>
      <c r="L23" s="1">
        <v>1</v>
      </c>
      <c r="M23" s="1">
        <v>1</v>
      </c>
      <c r="N23" s="1">
        <f t="shared" si="65"/>
        <v>2.5399999999999999E-4</v>
      </c>
      <c r="O23" s="1">
        <f t="shared" si="65"/>
        <v>2.5399999999999999E-4</v>
      </c>
      <c r="P23" s="1">
        <f t="shared" si="66"/>
        <v>0.34599999999999997</v>
      </c>
      <c r="Q23" s="47">
        <f t="shared" si="67"/>
        <v>47349823321.554771</v>
      </c>
      <c r="R23" s="47">
        <f t="shared" si="67"/>
        <v>47349823321.554771</v>
      </c>
      <c r="S23" s="21">
        <v>4.1000000000000002E-2</v>
      </c>
      <c r="T23" s="47">
        <f t="shared" si="68"/>
        <v>4800000000</v>
      </c>
      <c r="U23" s="47">
        <f t="shared" si="69"/>
        <v>1003000000</v>
      </c>
      <c r="V23" s="47">
        <f t="shared" si="70"/>
        <v>923000000</v>
      </c>
      <c r="Z23" s="2">
        <v>1</v>
      </c>
      <c r="AA23" s="2">
        <v>0</v>
      </c>
      <c r="AB23" s="2">
        <v>1</v>
      </c>
      <c r="AC23" s="2">
        <v>0</v>
      </c>
      <c r="AD23" s="2">
        <f t="shared" si="71"/>
        <v>3.0480000000000004E-4</v>
      </c>
      <c r="AE23" s="2">
        <f>0.012*25.4/1000</f>
        <v>3.0480000000000004E-4</v>
      </c>
      <c r="AF23" s="2">
        <f t="shared" si="59"/>
        <v>0.33400000000000002</v>
      </c>
      <c r="AG23" s="45">
        <f t="shared" si="60"/>
        <v>198277050310.13092</v>
      </c>
      <c r="AH23" s="45">
        <f t="shared" si="61"/>
        <v>5375603032.3914537</v>
      </c>
      <c r="AI23" s="2">
        <v>0.22600000000000001</v>
      </c>
      <c r="AJ23" s="45">
        <f t="shared" si="62"/>
        <v>3308063404.5485868</v>
      </c>
      <c r="AK23" s="45">
        <f t="shared" si="63"/>
        <v>2210000000</v>
      </c>
      <c r="AL23" s="45">
        <f t="shared" si="64"/>
        <v>1090000000</v>
      </c>
      <c r="AP23" s="4">
        <f t="shared" si="46"/>
        <v>1.7779999999999997E-2</v>
      </c>
      <c r="AQ23" s="4">
        <f t="shared" si="46"/>
        <v>1.7779999999999997E-2</v>
      </c>
      <c r="AR23" s="4">
        <f>4.3*16.0185</f>
        <v>68.879549999999995</v>
      </c>
      <c r="AS23" s="4">
        <f t="shared" si="72"/>
        <v>3.1749999999999999E-3</v>
      </c>
      <c r="AT23" s="21">
        <v>86</v>
      </c>
      <c r="AU23" s="21">
        <v>40</v>
      </c>
      <c r="AV23" s="21">
        <v>1</v>
      </c>
      <c r="AW23" s="46">
        <f t="shared" si="1"/>
        <v>30750.6296</v>
      </c>
      <c r="AX23" s="50">
        <f>43000*6894.76</f>
        <v>296474680</v>
      </c>
      <c r="AY23" s="50">
        <f>17000*6894.76</f>
        <v>117210920</v>
      </c>
      <c r="AZ23" s="50">
        <f>260*6894.76</f>
        <v>1792637.6</v>
      </c>
      <c r="BA23" s="50">
        <f>150*6894.76</f>
        <v>1034214</v>
      </c>
      <c r="BB23" s="48">
        <f>525/145.05*10^6</f>
        <v>3619441.5718717682</v>
      </c>
      <c r="BC23" s="8">
        <f t="shared" si="41"/>
        <v>0.27500000000000002</v>
      </c>
      <c r="BD23" s="3">
        <f t="shared" si="58"/>
        <v>0.5</v>
      </c>
      <c r="BE23" s="3">
        <f t="shared" si="25"/>
        <v>0.81280000000000008</v>
      </c>
      <c r="BF23" s="3">
        <f t="shared" si="26"/>
        <v>0.81280000000000008</v>
      </c>
      <c r="BG23" s="3" t="s">
        <v>74</v>
      </c>
      <c r="BH23" s="3" t="s">
        <v>75</v>
      </c>
      <c r="BI23" s="3" t="s">
        <v>76</v>
      </c>
      <c r="BJ23" s="27" t="s">
        <v>139</v>
      </c>
    </row>
    <row r="24" spans="1:62" x14ac:dyDescent="0.3">
      <c r="A24" s="36" t="s">
        <v>98</v>
      </c>
      <c r="B24" s="29">
        <f>G24/2.1</f>
        <v>857.14285714285711</v>
      </c>
      <c r="C24" s="43"/>
      <c r="D24" s="25" t="str">
        <f t="shared" si="2"/>
        <v/>
      </c>
      <c r="E24" s="23">
        <v>854.62</v>
      </c>
      <c r="F24" s="5">
        <f t="shared" si="28"/>
        <v>-0.29433333333332906</v>
      </c>
      <c r="G24" s="5">
        <v>1800</v>
      </c>
      <c r="J24" s="1">
        <v>1</v>
      </c>
      <c r="K24" s="1">
        <v>1</v>
      </c>
      <c r="L24" s="1">
        <v>1</v>
      </c>
      <c r="M24" s="1">
        <v>1</v>
      </c>
      <c r="N24" s="21">
        <f>P24*(N3+N16+N17+N21+N27+N33)/(P3+P17+P21+P27+P33)</f>
        <v>1.8320878144805069E-4</v>
      </c>
      <c r="O24" s="1">
        <v>1.8320878144805069E-4</v>
      </c>
      <c r="P24" s="1">
        <f>200/1000</f>
        <v>0.2</v>
      </c>
      <c r="Q24" s="47">
        <f>75.9*10^9</f>
        <v>75900000000</v>
      </c>
      <c r="R24" s="47">
        <f>75.9*10^9</f>
        <v>75900000000</v>
      </c>
      <c r="S24" s="21">
        <f>0.051</f>
        <v>5.0999999999999997E-2</v>
      </c>
      <c r="T24" s="47">
        <f>3.9*10^9</f>
        <v>3900000000</v>
      </c>
      <c r="U24" s="47">
        <f>1072*10^6</f>
        <v>1072000000</v>
      </c>
      <c r="V24" s="47">
        <f>717*10^6</f>
        <v>717000000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F24" s="2">
        <v>0</v>
      </c>
      <c r="AG24" s="45">
        <v>0</v>
      </c>
      <c r="AH24" s="45">
        <v>0</v>
      </c>
      <c r="AI24" s="2">
        <v>0</v>
      </c>
      <c r="AJ24" s="45">
        <v>0</v>
      </c>
      <c r="AK24" s="45">
        <v>0</v>
      </c>
      <c r="AL24" s="45">
        <v>0</v>
      </c>
      <c r="AP24" s="4">
        <f>30/1000</f>
        <v>0.03</v>
      </c>
      <c r="AR24" s="4">
        <f>2.1*AP24/0.625*16.0185</f>
        <v>1.6146647999999999</v>
      </c>
      <c r="AS24" s="4">
        <f t="shared" si="72"/>
        <v>3.1749999999999999E-3</v>
      </c>
      <c r="AT24" s="21">
        <v>86</v>
      </c>
      <c r="AU24" s="21">
        <v>40</v>
      </c>
      <c r="AV24" s="21">
        <v>1</v>
      </c>
      <c r="AW24" s="46">
        <f t="shared" si="1"/>
        <v>30750.6296</v>
      </c>
      <c r="AX24" s="23">
        <f>18*6895000</f>
        <v>124110000</v>
      </c>
      <c r="AY24" s="23">
        <f>10*6895000</f>
        <v>68950000</v>
      </c>
      <c r="AZ24" s="23"/>
      <c r="BA24" s="23"/>
      <c r="BB24" s="48">
        <f>165*(0.625/AP24)^2/145.05*10^6</f>
        <v>493723428.70274633</v>
      </c>
      <c r="BC24" s="8">
        <f t="shared" si="41"/>
        <v>0.27500000000000002</v>
      </c>
      <c r="BD24" s="3">
        <f t="shared" si="58"/>
        <v>0.5</v>
      </c>
      <c r="BE24" s="3">
        <f t="shared" si="25"/>
        <v>0.36641756289610139</v>
      </c>
      <c r="BF24" s="3">
        <f t="shared" si="26"/>
        <v>0.36641756289610139</v>
      </c>
      <c r="BG24" s="3" t="s">
        <v>55</v>
      </c>
      <c r="BH24" s="3">
        <v>0</v>
      </c>
      <c r="BI24" s="3" t="s">
        <v>53</v>
      </c>
      <c r="BJ24" s="41" t="s">
        <v>141</v>
      </c>
    </row>
    <row r="25" spans="1:62" x14ac:dyDescent="0.3">
      <c r="A25" s="33" t="s">
        <v>99</v>
      </c>
      <c r="B25" s="29">
        <f>G25/2.9</f>
        <v>1017.2413793103449</v>
      </c>
      <c r="C25" s="43"/>
      <c r="D25" s="25" t="str">
        <f t="shared" si="2"/>
        <v/>
      </c>
      <c r="E25" s="23">
        <v>1063.95845155757</v>
      </c>
      <c r="F25" s="5">
        <f t="shared" si="28"/>
        <v>4.5925257463373859</v>
      </c>
      <c r="G25" s="5">
        <v>2950</v>
      </c>
      <c r="J25" s="1">
        <v>1</v>
      </c>
      <c r="K25" s="1">
        <v>1</v>
      </c>
      <c r="L25" s="1">
        <v>2</v>
      </c>
      <c r="M25" s="1">
        <v>1</v>
      </c>
      <c r="N25" s="21">
        <f>P24*(N3+N16+N17+N21+N27+N33)/(P3+P17+P21+P27+P33)</f>
        <v>1.8320878144805069E-4</v>
      </c>
      <c r="O25" s="1">
        <v>1.8320878144805069E-4</v>
      </c>
      <c r="P25" s="1">
        <f t="shared" ref="P25:P26" si="77">200/1000</f>
        <v>0.2</v>
      </c>
      <c r="Q25" s="47">
        <f t="shared" ref="Q25:R26" si="78">75.9*10^9</f>
        <v>75900000000</v>
      </c>
      <c r="R25" s="47">
        <f t="shared" si="78"/>
        <v>75900000000</v>
      </c>
      <c r="S25" s="21">
        <f t="shared" ref="S25:S26" si="79">0.051</f>
        <v>5.0999999999999997E-2</v>
      </c>
      <c r="T25" s="47">
        <f t="shared" ref="T25:T26" si="80">3.9*10^9</f>
        <v>3900000000</v>
      </c>
      <c r="U25" s="47">
        <f t="shared" ref="U25:U26" si="81">1072*10^6</f>
        <v>1072000000</v>
      </c>
      <c r="V25" s="47">
        <f t="shared" ref="V25:V26" si="82">717*10^6</f>
        <v>717000000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F25" s="2">
        <v>0</v>
      </c>
      <c r="AG25" s="45">
        <v>0</v>
      </c>
      <c r="AH25" s="45">
        <v>0</v>
      </c>
      <c r="AI25" s="2">
        <v>0</v>
      </c>
      <c r="AJ25" s="45">
        <v>0</v>
      </c>
      <c r="AK25" s="45">
        <v>0</v>
      </c>
      <c r="AL25" s="45">
        <v>0</v>
      </c>
      <c r="AP25" s="4">
        <f>30/1000</f>
        <v>0.03</v>
      </c>
      <c r="AR25" s="4">
        <f>2.1*AP25/0.625*16.0185</f>
        <v>1.6146647999999999</v>
      </c>
      <c r="AS25" s="4">
        <f t="shared" si="72"/>
        <v>3.1749999999999999E-3</v>
      </c>
      <c r="AT25" s="21">
        <v>86</v>
      </c>
      <c r="AU25" s="21">
        <v>40</v>
      </c>
      <c r="AV25" s="21">
        <v>1</v>
      </c>
      <c r="AW25" s="46">
        <f t="shared" si="1"/>
        <v>30750.6296</v>
      </c>
      <c r="AX25" s="23">
        <f>18*6895000</f>
        <v>124110000</v>
      </c>
      <c r="AY25" s="23">
        <f>10*6895000</f>
        <v>68950000</v>
      </c>
      <c r="AZ25" s="23"/>
      <c r="BA25" s="23"/>
      <c r="BB25" s="48">
        <f>165*(0.625/AP25)^2/145.05*10^6</f>
        <v>493723428.70274633</v>
      </c>
      <c r="BC25" s="8">
        <f t="shared" si="41"/>
        <v>0.27500000000000002</v>
      </c>
      <c r="BD25" s="3">
        <f t="shared" si="58"/>
        <v>0.5</v>
      </c>
      <c r="BE25" s="3">
        <f t="shared" si="25"/>
        <v>0.36641756289610139</v>
      </c>
      <c r="BF25" s="3">
        <f t="shared" si="26"/>
        <v>0.54962634434415203</v>
      </c>
      <c r="BG25" s="3" t="s">
        <v>55</v>
      </c>
      <c r="BH25" s="3">
        <v>0</v>
      </c>
      <c r="BI25" s="3" t="s">
        <v>53</v>
      </c>
      <c r="BJ25" s="41" t="s">
        <v>141</v>
      </c>
    </row>
    <row r="26" spans="1:62" ht="15" thickBot="1" x14ac:dyDescent="0.35">
      <c r="A26" s="34" t="s">
        <v>100</v>
      </c>
      <c r="B26" s="29">
        <f>3400/20</f>
        <v>170</v>
      </c>
      <c r="C26" s="43"/>
      <c r="D26" s="25" t="str">
        <f t="shared" si="2"/>
        <v/>
      </c>
      <c r="E26" s="23">
        <v>170.62</v>
      </c>
      <c r="F26" s="5">
        <f t="shared" si="28"/>
        <v>0.36470588235294388</v>
      </c>
      <c r="G26" s="5">
        <v>3550</v>
      </c>
      <c r="J26" s="1">
        <v>1</v>
      </c>
      <c r="K26" s="1">
        <v>1</v>
      </c>
      <c r="L26" s="1">
        <v>1</v>
      </c>
      <c r="M26" s="1">
        <v>1</v>
      </c>
      <c r="N26" s="21">
        <f>P24*(N3+N16+N17+N21+N27+N33)/(P3+P17+P21+P27+P33)</f>
        <v>1.8320878144805069E-4</v>
      </c>
      <c r="O26" s="1">
        <v>1.8320878144805069E-4</v>
      </c>
      <c r="P26" s="1">
        <f t="shared" si="77"/>
        <v>0.2</v>
      </c>
      <c r="Q26" s="47">
        <f t="shared" si="78"/>
        <v>75900000000</v>
      </c>
      <c r="R26" s="47">
        <f t="shared" si="78"/>
        <v>75900000000</v>
      </c>
      <c r="S26" s="21">
        <f t="shared" si="79"/>
        <v>5.0999999999999997E-2</v>
      </c>
      <c r="T26" s="47">
        <f t="shared" si="80"/>
        <v>3900000000</v>
      </c>
      <c r="U26" s="47">
        <f t="shared" si="81"/>
        <v>1072000000</v>
      </c>
      <c r="V26" s="47">
        <f t="shared" si="82"/>
        <v>717000000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F26" s="2">
        <v>0</v>
      </c>
      <c r="AG26" s="45">
        <v>0</v>
      </c>
      <c r="AH26" s="45">
        <v>0</v>
      </c>
      <c r="AI26" s="2">
        <v>0</v>
      </c>
      <c r="AJ26" s="45">
        <v>0</v>
      </c>
      <c r="AK26" s="45">
        <v>0</v>
      </c>
      <c r="AL26" s="45">
        <v>0</v>
      </c>
      <c r="AP26" s="4">
        <f>12.7/1000</f>
        <v>1.2699999999999999E-2</v>
      </c>
      <c r="AR26" s="4">
        <f xml:space="preserve"> 72/16.018*16.0185</f>
        <v>72.002247471594458</v>
      </c>
      <c r="AS26" s="4">
        <f>3.2/1000</f>
        <v>3.2000000000000002E-3</v>
      </c>
      <c r="AT26" s="21">
        <v>86</v>
      </c>
      <c r="AU26" s="21">
        <v>40</v>
      </c>
      <c r="AV26" s="21">
        <v>1</v>
      </c>
      <c r="AW26" s="46">
        <f t="shared" si="1"/>
        <v>30750.6296</v>
      </c>
      <c r="AX26" s="48">
        <f>183*0.145038*6895000</f>
        <v>183006772.83000001</v>
      </c>
      <c r="AY26" s="48">
        <f>108*0.145038*6895000</f>
        <v>108003997.08</v>
      </c>
      <c r="AZ26" s="48"/>
      <c r="BA26" s="48"/>
      <c r="BB26" s="48">
        <f>5.59*10^6</f>
        <v>5590000</v>
      </c>
      <c r="BC26" s="8">
        <f t="shared" si="41"/>
        <v>0.27500000000000002</v>
      </c>
      <c r="BD26" s="3">
        <f t="shared" si="58"/>
        <v>0.5</v>
      </c>
      <c r="BE26" s="3">
        <f t="shared" si="25"/>
        <v>0.36641756289610139</v>
      </c>
      <c r="BF26" s="3">
        <f t="shared" si="26"/>
        <v>0.36641756289610139</v>
      </c>
      <c r="BG26" s="3" t="s">
        <v>55</v>
      </c>
      <c r="BH26" s="3">
        <v>0</v>
      </c>
      <c r="BI26" s="3" t="s">
        <v>54</v>
      </c>
      <c r="BJ26" s="41" t="s">
        <v>141</v>
      </c>
    </row>
    <row r="27" spans="1:62" x14ac:dyDescent="0.3">
      <c r="A27" s="36" t="s">
        <v>101</v>
      </c>
      <c r="B27" s="29">
        <v>710</v>
      </c>
      <c r="C27" s="43"/>
      <c r="D27" s="25" t="str">
        <f t="shared" si="2"/>
        <v/>
      </c>
      <c r="E27" s="23">
        <v>793.5</v>
      </c>
      <c r="F27" s="5">
        <f t="shared" si="28"/>
        <v>11.76056338028169</v>
      </c>
      <c r="G27" s="5">
        <v>4442</v>
      </c>
      <c r="J27" s="1">
        <v>1</v>
      </c>
      <c r="K27" s="1">
        <v>2</v>
      </c>
      <c r="L27" s="1">
        <v>1</v>
      </c>
      <c r="M27" s="1">
        <v>2</v>
      </c>
      <c r="N27" s="1">
        <f>0.218/1000</f>
        <v>2.1799999999999999E-4</v>
      </c>
      <c r="O27" s="1">
        <f>0.218/1000</f>
        <v>2.1799999999999999E-4</v>
      </c>
      <c r="P27" s="1">
        <f>194/1000</f>
        <v>0.19400000000000001</v>
      </c>
      <c r="Q27" s="47">
        <f>56.28*10^9</f>
        <v>56280000000</v>
      </c>
      <c r="R27" s="47">
        <f>54.87*10^9</f>
        <v>54870000000</v>
      </c>
      <c r="S27" s="1">
        <v>4.2000000000000003E-2</v>
      </c>
      <c r="T27" s="47">
        <f>4.21*10^9</f>
        <v>4210000000</v>
      </c>
      <c r="U27" s="47">
        <f>917.6*10^6</f>
        <v>917600000</v>
      </c>
      <c r="V27" s="47"/>
      <c r="W27" s="47">
        <f>775.4*10^6</f>
        <v>775400000</v>
      </c>
      <c r="Y27" s="47">
        <f>132.6*10^6</f>
        <v>132600000</v>
      </c>
      <c r="Z27" s="2">
        <v>1</v>
      </c>
      <c r="AA27" s="2">
        <v>0</v>
      </c>
      <c r="AB27" s="2">
        <v>1</v>
      </c>
      <c r="AC27" s="2">
        <v>0</v>
      </c>
      <c r="AD27" s="2">
        <f>0.1939/1000</f>
        <v>1.939E-4</v>
      </c>
      <c r="AE27" s="2">
        <f>0.1939/1000</f>
        <v>1.939E-4</v>
      </c>
      <c r="AF27" s="21">
        <f>AD27*(AF15+AF16+AF21)/(AD15+AD16+AD21)</f>
        <v>0.17301609293304862</v>
      </c>
      <c r="AG27" s="45">
        <f>165.5*10^9</f>
        <v>165500000000</v>
      </c>
      <c r="AH27" s="45">
        <f>7.91*10^9</f>
        <v>7910000000</v>
      </c>
      <c r="AI27" s="21">
        <v>0.3</v>
      </c>
      <c r="AJ27" s="60">
        <f>5.5*10^8</f>
        <v>550000000</v>
      </c>
      <c r="AK27" s="45">
        <f>3275*10^6</f>
        <v>3275000000</v>
      </c>
      <c r="AL27" s="45">
        <v>0</v>
      </c>
      <c r="AM27" s="45">
        <f>1570*10^6</f>
        <v>1570000000</v>
      </c>
      <c r="AN27" s="2">
        <v>0</v>
      </c>
      <c r="AO27" s="2">
        <v>0</v>
      </c>
      <c r="AP27" s="4">
        <f>1*25.4/1000</f>
        <v>2.5399999999999999E-2</v>
      </c>
      <c r="AR27" s="4">
        <f>3*16.0185</f>
        <v>48.055499999999995</v>
      </c>
      <c r="AS27" s="4">
        <f>3/16*25.4/1000</f>
        <v>4.7624999999999994E-3</v>
      </c>
      <c r="AT27" s="21">
        <v>86</v>
      </c>
      <c r="AU27" s="21">
        <v>40</v>
      </c>
      <c r="AV27" s="21">
        <v>1</v>
      </c>
      <c r="AW27" s="46">
        <f t="shared" si="1"/>
        <v>30750.6296</v>
      </c>
      <c r="AX27" s="48">
        <f>6*6895000</f>
        <v>41370000</v>
      </c>
      <c r="AY27" s="48">
        <f>3*6895000</f>
        <v>20685000</v>
      </c>
      <c r="AZ27" s="48">
        <v>0</v>
      </c>
      <c r="BA27" s="48">
        <v>0</v>
      </c>
      <c r="BB27" s="48">
        <f>0.603290172230726*10^6</f>
        <v>603290.17223072599</v>
      </c>
      <c r="BC27" s="3">
        <f>200/1000</f>
        <v>0.2</v>
      </c>
      <c r="BD27" s="3">
        <f t="shared" si="58"/>
        <v>0.5</v>
      </c>
      <c r="BE27" s="3">
        <f t="shared" si="25"/>
        <v>0.84789999999999999</v>
      </c>
      <c r="BF27" s="3">
        <f t="shared" si="26"/>
        <v>0.84789999999999999</v>
      </c>
      <c r="BG27" s="3" t="s">
        <v>56</v>
      </c>
      <c r="BH27" s="3" t="s">
        <v>57</v>
      </c>
      <c r="BI27" s="3" t="s">
        <v>70</v>
      </c>
      <c r="BJ27" s="42" t="s">
        <v>142</v>
      </c>
    </row>
    <row r="28" spans="1:62" x14ac:dyDescent="0.3">
      <c r="A28" s="33" t="s">
        <v>102</v>
      </c>
      <c r="B28" s="29">
        <v>740</v>
      </c>
      <c r="C28" s="43"/>
      <c r="D28" s="25" t="str">
        <f t="shared" si="2"/>
        <v/>
      </c>
      <c r="E28" s="23">
        <v>793.5</v>
      </c>
      <c r="F28" s="5">
        <f t="shared" si="28"/>
        <v>7.2297297297297298</v>
      </c>
      <c r="G28" s="5">
        <v>4147</v>
      </c>
      <c r="J28" s="1">
        <v>1</v>
      </c>
      <c r="K28" s="1">
        <v>2</v>
      </c>
      <c r="L28" s="1">
        <v>1</v>
      </c>
      <c r="M28" s="1">
        <v>2</v>
      </c>
      <c r="N28" s="1">
        <f t="shared" ref="N28:O30" si="83">0.218/1000</f>
        <v>2.1799999999999999E-4</v>
      </c>
      <c r="O28" s="1">
        <f t="shared" si="83"/>
        <v>2.1799999999999999E-4</v>
      </c>
      <c r="P28" s="1">
        <f t="shared" ref="P28:P30" si="84">194/1000</f>
        <v>0.19400000000000001</v>
      </c>
      <c r="Q28" s="47">
        <f t="shared" ref="Q28:Q30" si="85">56.28*10^9</f>
        <v>56280000000</v>
      </c>
      <c r="R28" s="47">
        <f t="shared" ref="R28:R30" si="86">54.87*10^9</f>
        <v>54870000000</v>
      </c>
      <c r="S28" s="1">
        <v>4.2000000000000003E-2</v>
      </c>
      <c r="T28" s="47">
        <f t="shared" ref="T28:T30" si="87">4.21*10^9</f>
        <v>4210000000</v>
      </c>
      <c r="U28" s="47">
        <f t="shared" ref="U28:U30" si="88">917.6*10^6</f>
        <v>917600000</v>
      </c>
      <c r="V28" s="47"/>
      <c r="W28" s="47">
        <f t="shared" ref="W28:W30" si="89">775.4*10^6</f>
        <v>775400000</v>
      </c>
      <c r="Y28" s="47">
        <f t="shared" ref="Y28:Y30" si="90">132.6*10^6</f>
        <v>132600000</v>
      </c>
      <c r="Z28" s="2">
        <v>1</v>
      </c>
      <c r="AA28" s="2">
        <v>0</v>
      </c>
      <c r="AB28" s="2">
        <v>1</v>
      </c>
      <c r="AC28" s="2">
        <v>0</v>
      </c>
      <c r="AD28" s="2">
        <f t="shared" ref="AD28:AE36" si="91">0.1939/1000</f>
        <v>1.939E-4</v>
      </c>
      <c r="AE28" s="2">
        <f t="shared" si="91"/>
        <v>1.939E-4</v>
      </c>
      <c r="AF28" s="21">
        <f>$AF$27</f>
        <v>0.17301609293304862</v>
      </c>
      <c r="AG28" s="45">
        <f t="shared" ref="AG28:AG36" si="92">165.5*10^9</f>
        <v>165500000000</v>
      </c>
      <c r="AH28" s="45">
        <f t="shared" ref="AH28:AH36" si="93">7.91*10^9</f>
        <v>7910000000</v>
      </c>
      <c r="AI28" s="21">
        <v>0.3</v>
      </c>
      <c r="AJ28" s="60">
        <f t="shared" ref="AJ28:AJ33" si="94">5.5*10^8</f>
        <v>550000000</v>
      </c>
      <c r="AK28" s="45">
        <f t="shared" ref="AK28:AK36" si="95">3275*10^6</f>
        <v>3275000000</v>
      </c>
      <c r="AL28" s="45">
        <v>0</v>
      </c>
      <c r="AM28" s="45">
        <f t="shared" ref="AM28:AM33" si="96">1570*10^6</f>
        <v>1570000000</v>
      </c>
      <c r="AN28" s="2">
        <v>0</v>
      </c>
      <c r="AO28" s="2">
        <v>0</v>
      </c>
      <c r="AP28" s="4">
        <f t="shared" ref="AP28:AP34" si="97">1*25.4/1000</f>
        <v>2.5399999999999999E-2</v>
      </c>
      <c r="AR28" s="4">
        <f t="shared" ref="AR28:AR33" si="98">3*16.0185</f>
        <v>48.055499999999995</v>
      </c>
      <c r="AS28" s="4">
        <f t="shared" ref="AS28:AS30" si="99">3/16*25.4/1000</f>
        <v>4.7624999999999994E-3</v>
      </c>
      <c r="AT28" s="21">
        <v>86</v>
      </c>
      <c r="AU28" s="21">
        <v>40</v>
      </c>
      <c r="AV28" s="21">
        <v>1</v>
      </c>
      <c r="AW28" s="46">
        <f t="shared" si="1"/>
        <v>30750.6296</v>
      </c>
      <c r="AX28" s="48">
        <f t="shared" ref="AX28:AX33" si="100">6*6895000</f>
        <v>41370000</v>
      </c>
      <c r="AY28" s="48">
        <f t="shared" ref="AY28:AY30" si="101">3*6895000</f>
        <v>20685000</v>
      </c>
      <c r="AZ28" s="48">
        <v>0</v>
      </c>
      <c r="BA28" s="48">
        <v>0</v>
      </c>
      <c r="BB28" s="48">
        <f t="shared" ref="BB28:BB30" si="102">0.603290172230726*10^6</f>
        <v>603290.17223072599</v>
      </c>
      <c r="BC28" s="3">
        <f t="shared" ref="BC28:BC40" si="103">200/1000</f>
        <v>0.2</v>
      </c>
      <c r="BD28" s="3">
        <f t="shared" si="58"/>
        <v>0.5</v>
      </c>
      <c r="BE28" s="3">
        <f t="shared" si="25"/>
        <v>0.84789999999999999</v>
      </c>
      <c r="BF28" s="3">
        <f t="shared" si="26"/>
        <v>0.84789999999999999</v>
      </c>
      <c r="BG28" s="3" t="s">
        <v>56</v>
      </c>
      <c r="BH28" s="3" t="s">
        <v>57</v>
      </c>
      <c r="BI28" s="3" t="s">
        <v>70</v>
      </c>
      <c r="BJ28" s="42" t="s">
        <v>142</v>
      </c>
    </row>
    <row r="29" spans="1:62" x14ac:dyDescent="0.3">
      <c r="A29" s="33" t="s">
        <v>103</v>
      </c>
      <c r="B29" s="29">
        <v>726</v>
      </c>
      <c r="C29" s="43"/>
      <c r="D29" s="25" t="str">
        <f t="shared" si="2"/>
        <v/>
      </c>
      <c r="E29" s="23">
        <v>793.5</v>
      </c>
      <c r="F29" s="5">
        <f t="shared" si="28"/>
        <v>9.2975206611570247</v>
      </c>
      <c r="G29" s="5">
        <v>4457</v>
      </c>
      <c r="J29" s="1">
        <v>1</v>
      </c>
      <c r="K29" s="1">
        <v>2</v>
      </c>
      <c r="L29" s="1">
        <v>1</v>
      </c>
      <c r="M29" s="1">
        <v>2</v>
      </c>
      <c r="N29" s="1">
        <f t="shared" si="83"/>
        <v>2.1799999999999999E-4</v>
      </c>
      <c r="O29" s="1">
        <f t="shared" si="83"/>
        <v>2.1799999999999999E-4</v>
      </c>
      <c r="P29" s="1">
        <f t="shared" si="84"/>
        <v>0.19400000000000001</v>
      </c>
      <c r="Q29" s="47">
        <f t="shared" si="85"/>
        <v>56280000000</v>
      </c>
      <c r="R29" s="47">
        <f t="shared" si="86"/>
        <v>54870000000</v>
      </c>
      <c r="S29" s="1">
        <v>4.2000000000000003E-2</v>
      </c>
      <c r="T29" s="47">
        <f t="shared" si="87"/>
        <v>4210000000</v>
      </c>
      <c r="U29" s="47">
        <f t="shared" si="88"/>
        <v>917600000</v>
      </c>
      <c r="V29" s="47"/>
      <c r="W29" s="47">
        <f t="shared" si="89"/>
        <v>775400000</v>
      </c>
      <c r="Y29" s="47">
        <f t="shared" si="90"/>
        <v>132600000</v>
      </c>
      <c r="Z29" s="2">
        <v>1</v>
      </c>
      <c r="AA29" s="2">
        <v>0</v>
      </c>
      <c r="AB29" s="2">
        <v>1</v>
      </c>
      <c r="AC29" s="2">
        <v>0</v>
      </c>
      <c r="AD29" s="2">
        <f t="shared" si="91"/>
        <v>1.939E-4</v>
      </c>
      <c r="AE29" s="2">
        <f t="shared" si="91"/>
        <v>1.939E-4</v>
      </c>
      <c r="AF29" s="21">
        <f t="shared" ref="AF29:AF36" si="104">$AF$27</f>
        <v>0.17301609293304862</v>
      </c>
      <c r="AG29" s="45">
        <f t="shared" si="92"/>
        <v>165500000000</v>
      </c>
      <c r="AH29" s="45">
        <f t="shared" si="93"/>
        <v>7910000000</v>
      </c>
      <c r="AI29" s="21">
        <v>0.3</v>
      </c>
      <c r="AJ29" s="60">
        <f t="shared" si="94"/>
        <v>550000000</v>
      </c>
      <c r="AK29" s="45">
        <f t="shared" si="95"/>
        <v>3275000000</v>
      </c>
      <c r="AL29" s="45">
        <v>0</v>
      </c>
      <c r="AM29" s="45">
        <f t="shared" si="96"/>
        <v>1570000000</v>
      </c>
      <c r="AN29" s="2">
        <v>0</v>
      </c>
      <c r="AO29" s="2">
        <v>0</v>
      </c>
      <c r="AP29" s="4">
        <f t="shared" si="97"/>
        <v>2.5399999999999999E-2</v>
      </c>
      <c r="AR29" s="4">
        <f t="shared" si="98"/>
        <v>48.055499999999995</v>
      </c>
      <c r="AS29" s="4">
        <f t="shared" si="99"/>
        <v>4.7624999999999994E-3</v>
      </c>
      <c r="AT29" s="21">
        <v>86</v>
      </c>
      <c r="AU29" s="21">
        <v>40</v>
      </c>
      <c r="AV29" s="21">
        <v>1</v>
      </c>
      <c r="AW29" s="46">
        <f t="shared" si="1"/>
        <v>30750.6296</v>
      </c>
      <c r="AX29" s="48">
        <f t="shared" si="100"/>
        <v>41370000</v>
      </c>
      <c r="AY29" s="48">
        <f t="shared" si="101"/>
        <v>20685000</v>
      </c>
      <c r="AZ29" s="48">
        <v>0</v>
      </c>
      <c r="BA29" s="48">
        <v>0</v>
      </c>
      <c r="BB29" s="48">
        <f t="shared" si="102"/>
        <v>603290.17223072599</v>
      </c>
      <c r="BC29" s="3">
        <f t="shared" si="103"/>
        <v>0.2</v>
      </c>
      <c r="BD29" s="3">
        <f t="shared" si="58"/>
        <v>0.5</v>
      </c>
      <c r="BE29" s="3">
        <f t="shared" si="25"/>
        <v>0.84789999999999999</v>
      </c>
      <c r="BF29" s="3">
        <f t="shared" si="26"/>
        <v>0.84789999999999999</v>
      </c>
      <c r="BG29" s="3" t="s">
        <v>56</v>
      </c>
      <c r="BH29" s="3" t="s">
        <v>57</v>
      </c>
      <c r="BI29" s="3" t="s">
        <v>70</v>
      </c>
      <c r="BJ29" s="42" t="s">
        <v>142</v>
      </c>
    </row>
    <row r="30" spans="1:62" x14ac:dyDescent="0.3">
      <c r="A30" s="33" t="s">
        <v>104</v>
      </c>
      <c r="B30" s="29">
        <v>704</v>
      </c>
      <c r="C30" s="43"/>
      <c r="D30" s="25" t="str">
        <f t="shared" si="2"/>
        <v/>
      </c>
      <c r="E30" s="23">
        <v>793.5</v>
      </c>
      <c r="F30" s="5">
        <f t="shared" si="28"/>
        <v>12.713068181818182</v>
      </c>
      <c r="G30" s="5">
        <v>4473</v>
      </c>
      <c r="J30" s="1">
        <v>1</v>
      </c>
      <c r="K30" s="1">
        <v>2</v>
      </c>
      <c r="L30" s="1">
        <v>1</v>
      </c>
      <c r="M30" s="1">
        <v>2</v>
      </c>
      <c r="N30" s="1">
        <f t="shared" si="83"/>
        <v>2.1799999999999999E-4</v>
      </c>
      <c r="O30" s="1">
        <f t="shared" si="83"/>
        <v>2.1799999999999999E-4</v>
      </c>
      <c r="P30" s="1">
        <f t="shared" si="84"/>
        <v>0.19400000000000001</v>
      </c>
      <c r="Q30" s="47">
        <f t="shared" si="85"/>
        <v>56280000000</v>
      </c>
      <c r="R30" s="47">
        <f t="shared" si="86"/>
        <v>54870000000</v>
      </c>
      <c r="S30" s="1">
        <v>4.2000000000000003E-2</v>
      </c>
      <c r="T30" s="47">
        <f t="shared" si="87"/>
        <v>4210000000</v>
      </c>
      <c r="U30" s="47">
        <f t="shared" si="88"/>
        <v>917600000</v>
      </c>
      <c r="V30" s="47"/>
      <c r="W30" s="47">
        <f t="shared" si="89"/>
        <v>775400000</v>
      </c>
      <c r="Y30" s="47">
        <f t="shared" si="90"/>
        <v>132600000</v>
      </c>
      <c r="Z30" s="2">
        <v>1</v>
      </c>
      <c r="AA30" s="2">
        <v>0</v>
      </c>
      <c r="AB30" s="2">
        <v>1</v>
      </c>
      <c r="AC30" s="2">
        <v>0</v>
      </c>
      <c r="AD30" s="2">
        <f t="shared" si="91"/>
        <v>1.939E-4</v>
      </c>
      <c r="AE30" s="2">
        <f t="shared" si="91"/>
        <v>1.939E-4</v>
      </c>
      <c r="AF30" s="21">
        <f t="shared" si="104"/>
        <v>0.17301609293304862</v>
      </c>
      <c r="AG30" s="45">
        <f t="shared" si="92"/>
        <v>165500000000</v>
      </c>
      <c r="AH30" s="45">
        <f t="shared" si="93"/>
        <v>7910000000</v>
      </c>
      <c r="AI30" s="21">
        <v>0.3</v>
      </c>
      <c r="AJ30" s="60">
        <f t="shared" si="94"/>
        <v>550000000</v>
      </c>
      <c r="AK30" s="45">
        <f t="shared" si="95"/>
        <v>3275000000</v>
      </c>
      <c r="AL30" s="45">
        <v>0</v>
      </c>
      <c r="AM30" s="45">
        <f t="shared" si="96"/>
        <v>1570000000</v>
      </c>
      <c r="AN30" s="2">
        <v>0</v>
      </c>
      <c r="AO30" s="2">
        <v>0</v>
      </c>
      <c r="AP30" s="4">
        <f t="shared" si="97"/>
        <v>2.5399999999999999E-2</v>
      </c>
      <c r="AR30" s="4">
        <f t="shared" si="98"/>
        <v>48.055499999999995</v>
      </c>
      <c r="AS30" s="4">
        <f t="shared" si="99"/>
        <v>4.7624999999999994E-3</v>
      </c>
      <c r="AT30" s="21">
        <v>86</v>
      </c>
      <c r="AU30" s="21">
        <v>40</v>
      </c>
      <c r="AV30" s="21">
        <v>1</v>
      </c>
      <c r="AW30" s="46">
        <f t="shared" si="1"/>
        <v>30750.6296</v>
      </c>
      <c r="AX30" s="48">
        <f>6*6895000</f>
        <v>41370000</v>
      </c>
      <c r="AY30" s="48">
        <f t="shared" si="101"/>
        <v>20685000</v>
      </c>
      <c r="AZ30" s="48">
        <v>0</v>
      </c>
      <c r="BA30" s="48">
        <v>0</v>
      </c>
      <c r="BB30" s="48">
        <f t="shared" si="102"/>
        <v>603290.17223072599</v>
      </c>
      <c r="BC30" s="3">
        <f t="shared" si="103"/>
        <v>0.2</v>
      </c>
      <c r="BD30" s="3">
        <f t="shared" si="58"/>
        <v>0.5</v>
      </c>
      <c r="BE30" s="3">
        <f t="shared" si="25"/>
        <v>0.84789999999999999</v>
      </c>
      <c r="BF30" s="3">
        <f t="shared" si="26"/>
        <v>0.84789999999999999</v>
      </c>
      <c r="BG30" s="3" t="s">
        <v>56</v>
      </c>
      <c r="BH30" s="3" t="s">
        <v>57</v>
      </c>
      <c r="BI30" s="3" t="s">
        <v>70</v>
      </c>
      <c r="BJ30" s="42" t="s">
        <v>142</v>
      </c>
    </row>
    <row r="31" spans="1:62" ht="13.8" customHeight="1" x14ac:dyDescent="0.3">
      <c r="A31" s="37" t="s">
        <v>105</v>
      </c>
      <c r="B31" s="29">
        <v>207</v>
      </c>
      <c r="C31" s="43"/>
      <c r="D31" s="25" t="str">
        <f t="shared" si="2"/>
        <v/>
      </c>
      <c r="E31" s="23">
        <v>435.97</v>
      </c>
      <c r="F31" s="5">
        <f t="shared" si="28"/>
        <v>110.61352657004832</v>
      </c>
      <c r="G31" s="5">
        <v>3766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47">
        <v>0</v>
      </c>
      <c r="R31" s="47">
        <v>0</v>
      </c>
      <c r="S31" s="1">
        <v>0</v>
      </c>
      <c r="T31" s="47">
        <v>0</v>
      </c>
      <c r="U31" s="47">
        <v>0</v>
      </c>
      <c r="V31" s="47"/>
      <c r="W31" s="47">
        <v>0</v>
      </c>
      <c r="Z31" s="2">
        <v>3</v>
      </c>
      <c r="AA31" s="2">
        <v>0</v>
      </c>
      <c r="AB31" s="2">
        <v>3</v>
      </c>
      <c r="AC31" s="2">
        <v>0</v>
      </c>
      <c r="AD31" s="2">
        <f t="shared" si="91"/>
        <v>1.939E-4</v>
      </c>
      <c r="AE31" s="2">
        <f t="shared" si="91"/>
        <v>1.939E-4</v>
      </c>
      <c r="AF31" s="21">
        <f t="shared" si="104"/>
        <v>0.17301609293304862</v>
      </c>
      <c r="AG31" s="45">
        <f t="shared" si="92"/>
        <v>165500000000</v>
      </c>
      <c r="AH31" s="45">
        <f t="shared" si="93"/>
        <v>7910000000</v>
      </c>
      <c r="AI31" s="21">
        <v>0.3</v>
      </c>
      <c r="AJ31" s="60">
        <f t="shared" si="94"/>
        <v>550000000</v>
      </c>
      <c r="AK31" s="45">
        <f t="shared" si="95"/>
        <v>3275000000</v>
      </c>
      <c r="AL31" s="45">
        <v>0</v>
      </c>
      <c r="AM31" s="45">
        <f t="shared" si="96"/>
        <v>1570000000</v>
      </c>
      <c r="AN31" s="2">
        <v>0</v>
      </c>
      <c r="AO31" s="2">
        <v>0</v>
      </c>
      <c r="AP31" s="4">
        <f>12.7/1000</f>
        <v>1.2699999999999999E-2</v>
      </c>
      <c r="AR31" s="4">
        <f>4*16.0185</f>
        <v>64.073999999999998</v>
      </c>
      <c r="AS31" s="4">
        <f>1/8*25.4/1000</f>
        <v>3.1749999999999999E-3</v>
      </c>
      <c r="AT31" s="21">
        <v>86</v>
      </c>
      <c r="AU31" s="21">
        <v>40</v>
      </c>
      <c r="AV31" s="21">
        <v>1</v>
      </c>
      <c r="AW31" s="46">
        <f t="shared" si="1"/>
        <v>30750.6296</v>
      </c>
      <c r="AX31" s="48">
        <f>8.6*6895000</f>
        <v>59297000</v>
      </c>
      <c r="AY31" s="48">
        <f>4.7*6895000</f>
        <v>32406500</v>
      </c>
      <c r="AZ31" s="48">
        <v>0</v>
      </c>
      <c r="BA31" s="48">
        <v>0</v>
      </c>
      <c r="BB31" s="48">
        <f>3.96447827465905*10^6</f>
        <v>3964478.2746590497</v>
      </c>
      <c r="BC31" s="3">
        <f t="shared" si="103"/>
        <v>0.2</v>
      </c>
      <c r="BD31" s="3">
        <f t="shared" si="58"/>
        <v>0.5</v>
      </c>
      <c r="BE31" s="3">
        <f t="shared" si="25"/>
        <v>0.58169999999999999</v>
      </c>
      <c r="BF31" s="3">
        <f t="shared" si="26"/>
        <v>0.58169999999999999</v>
      </c>
      <c r="BG31" s="3">
        <v>0</v>
      </c>
      <c r="BH31" s="3" t="s">
        <v>57</v>
      </c>
      <c r="BI31" s="3" t="s">
        <v>61</v>
      </c>
      <c r="BJ31" s="42" t="s">
        <v>142</v>
      </c>
    </row>
    <row r="32" spans="1:62" x14ac:dyDescent="0.3">
      <c r="A32" s="31" t="s">
        <v>106</v>
      </c>
      <c r="B32" s="29">
        <v>833</v>
      </c>
      <c r="C32" s="43"/>
      <c r="D32" s="25" t="str">
        <f t="shared" si="2"/>
        <v/>
      </c>
      <c r="E32" s="23">
        <v>903.24</v>
      </c>
      <c r="F32" s="5">
        <f t="shared" si="28"/>
        <v>8.4321728691476601</v>
      </c>
      <c r="G32" s="5">
        <v>8404</v>
      </c>
      <c r="J32" s="1">
        <v>2</v>
      </c>
      <c r="K32" s="1">
        <v>1</v>
      </c>
      <c r="L32" s="1">
        <v>2</v>
      </c>
      <c r="M32" s="1">
        <v>1</v>
      </c>
      <c r="N32" s="1">
        <f>0.2292/1000</f>
        <v>2.2919999999999999E-4</v>
      </c>
      <c r="O32" s="1">
        <f>0.2292/1000</f>
        <v>2.2919999999999999E-4</v>
      </c>
      <c r="P32" s="21">
        <f>N32*(P27+P21+P17+P3+P37)/(N27+N21+N17+N3+N37)</f>
        <v>0.2822600043803386</v>
      </c>
      <c r="Q32" s="47">
        <f>66.34*10^9</f>
        <v>66340000000</v>
      </c>
      <c r="R32" s="47">
        <f>63.73*10^9</f>
        <v>63730000000</v>
      </c>
      <c r="S32" s="21">
        <f>S33</f>
        <v>4.2000000000000003E-2</v>
      </c>
      <c r="T32" s="46">
        <f>0.6/0.1451*10^9</f>
        <v>4135079255.6857333</v>
      </c>
      <c r="U32" s="47">
        <f>945*10^6</f>
        <v>945000000</v>
      </c>
      <c r="V32" s="47"/>
      <c r="W32" s="47">
        <f>814*10^6</f>
        <v>814000000</v>
      </c>
      <c r="Z32" s="2">
        <v>1</v>
      </c>
      <c r="AA32" s="2">
        <v>0</v>
      </c>
      <c r="AB32" s="2">
        <v>1</v>
      </c>
      <c r="AC32" s="2">
        <v>0</v>
      </c>
      <c r="AD32" s="2">
        <f t="shared" si="91"/>
        <v>1.939E-4</v>
      </c>
      <c r="AE32" s="2">
        <f t="shared" si="91"/>
        <v>1.939E-4</v>
      </c>
      <c r="AF32" s="21">
        <f t="shared" si="104"/>
        <v>0.17301609293304862</v>
      </c>
      <c r="AG32" s="45">
        <f t="shared" si="92"/>
        <v>165500000000</v>
      </c>
      <c r="AH32" s="45">
        <f t="shared" si="93"/>
        <v>7910000000</v>
      </c>
      <c r="AI32" s="21">
        <v>0.3</v>
      </c>
      <c r="AJ32" s="60">
        <f t="shared" si="94"/>
        <v>550000000</v>
      </c>
      <c r="AK32" s="45">
        <f t="shared" si="95"/>
        <v>3275000000</v>
      </c>
      <c r="AL32" s="45">
        <v>0</v>
      </c>
      <c r="AM32" s="45">
        <f t="shared" si="96"/>
        <v>1570000000</v>
      </c>
      <c r="AN32" s="2">
        <v>0</v>
      </c>
      <c r="AO32" s="2">
        <v>0</v>
      </c>
      <c r="AP32" s="4">
        <f t="shared" si="97"/>
        <v>2.5399999999999999E-2</v>
      </c>
      <c r="AR32" s="4">
        <f t="shared" si="98"/>
        <v>48.055499999999995</v>
      </c>
      <c r="AS32" s="4">
        <f t="shared" ref="AS32:AS40" si="105">1/8*25.4/1000</f>
        <v>3.1749999999999999E-3</v>
      </c>
      <c r="AT32" s="21">
        <v>86</v>
      </c>
      <c r="AU32" s="21">
        <v>40</v>
      </c>
      <c r="AV32" s="21">
        <v>1</v>
      </c>
      <c r="AW32" s="46">
        <f t="shared" si="1"/>
        <v>30750.6296</v>
      </c>
      <c r="AX32" s="48">
        <f t="shared" si="100"/>
        <v>41370000</v>
      </c>
      <c r="AY32" s="48">
        <f>3.5*6895000</f>
        <v>24132500</v>
      </c>
      <c r="AZ32" s="48">
        <v>0</v>
      </c>
      <c r="BA32" s="48">
        <v>0</v>
      </c>
      <c r="BB32" s="48">
        <f>0.560198017071388*10^6</f>
        <v>560198.01707138808</v>
      </c>
      <c r="BC32" s="3">
        <f t="shared" si="103"/>
        <v>0.2</v>
      </c>
      <c r="BD32" s="3">
        <f t="shared" si="58"/>
        <v>0.5</v>
      </c>
      <c r="BE32" s="3">
        <f t="shared" si="25"/>
        <v>0.88150000000000006</v>
      </c>
      <c r="BF32" s="3">
        <f t="shared" si="26"/>
        <v>0.88150000000000006</v>
      </c>
      <c r="BG32" s="3" t="s">
        <v>58</v>
      </c>
      <c r="BH32" s="3" t="s">
        <v>57</v>
      </c>
      <c r="BI32" s="3" t="s">
        <v>67</v>
      </c>
      <c r="BJ32" s="42" t="s">
        <v>142</v>
      </c>
    </row>
    <row r="33" spans="1:62" x14ac:dyDescent="0.3">
      <c r="A33" s="33" t="s">
        <v>107</v>
      </c>
      <c r="B33" s="29">
        <v>814</v>
      </c>
      <c r="C33" s="43"/>
      <c r="D33" s="25" t="str">
        <f t="shared" si="2"/>
        <v/>
      </c>
      <c r="E33" s="23">
        <v>795.59</v>
      </c>
      <c r="F33" s="5">
        <f t="shared" si="28"/>
        <v>-2.2616707616707576</v>
      </c>
      <c r="G33" s="5">
        <v>7798</v>
      </c>
      <c r="J33" s="1">
        <v>1</v>
      </c>
      <c r="K33" s="1">
        <v>2</v>
      </c>
      <c r="L33" s="1">
        <v>1</v>
      </c>
      <c r="M33" s="1">
        <v>2</v>
      </c>
      <c r="N33" s="1">
        <f t="shared" ref="N33:O34" si="106">0.218/1000</f>
        <v>2.1799999999999999E-4</v>
      </c>
      <c r="O33" s="1">
        <f t="shared" si="106"/>
        <v>2.1799999999999999E-4</v>
      </c>
      <c r="P33" s="1">
        <f t="shared" ref="P33:P34" si="107">194/1000</f>
        <v>0.19400000000000001</v>
      </c>
      <c r="Q33" s="47">
        <f>56.28*10^9</f>
        <v>56280000000</v>
      </c>
      <c r="R33" s="47">
        <f t="shared" ref="R33:R34" si="108">54.87*10^9</f>
        <v>54870000000</v>
      </c>
      <c r="S33" s="1">
        <v>4.2000000000000003E-2</v>
      </c>
      <c r="T33" s="47">
        <f>4.21*10^9</f>
        <v>4210000000</v>
      </c>
      <c r="U33" s="47">
        <f t="shared" ref="U33:U34" si="109">917.6*10^6</f>
        <v>917600000</v>
      </c>
      <c r="V33" s="47"/>
      <c r="W33" s="47">
        <f t="shared" ref="W33:W34" si="110">775.4*10^6</f>
        <v>775400000</v>
      </c>
      <c r="Y33" s="47">
        <f t="shared" ref="Y33:Y34" si="111">132.6*10^6</f>
        <v>132600000</v>
      </c>
      <c r="Z33" s="2">
        <v>1</v>
      </c>
      <c r="AA33" s="2">
        <v>0</v>
      </c>
      <c r="AB33" s="2">
        <v>1</v>
      </c>
      <c r="AC33" s="2">
        <v>0</v>
      </c>
      <c r="AD33" s="2">
        <f t="shared" si="91"/>
        <v>1.939E-4</v>
      </c>
      <c r="AE33" s="2">
        <f t="shared" si="91"/>
        <v>1.939E-4</v>
      </c>
      <c r="AF33" s="21">
        <f t="shared" si="104"/>
        <v>0.17301609293304862</v>
      </c>
      <c r="AG33" s="45">
        <f t="shared" si="92"/>
        <v>165500000000</v>
      </c>
      <c r="AH33" s="45">
        <f t="shared" si="93"/>
        <v>7910000000</v>
      </c>
      <c r="AI33" s="21">
        <v>0.3</v>
      </c>
      <c r="AJ33" s="60">
        <f t="shared" si="94"/>
        <v>550000000</v>
      </c>
      <c r="AK33" s="45">
        <f t="shared" si="95"/>
        <v>3275000000</v>
      </c>
      <c r="AL33" s="45">
        <v>0</v>
      </c>
      <c r="AM33" s="45">
        <f t="shared" si="96"/>
        <v>1570000000</v>
      </c>
      <c r="AN33" s="2">
        <v>0</v>
      </c>
      <c r="AO33" s="2">
        <v>0</v>
      </c>
      <c r="AP33" s="4">
        <f t="shared" si="97"/>
        <v>2.5399999999999999E-2</v>
      </c>
      <c r="AR33" s="4">
        <f t="shared" si="98"/>
        <v>48.055499999999995</v>
      </c>
      <c r="AS33" s="4">
        <f t="shared" si="105"/>
        <v>3.1749999999999999E-3</v>
      </c>
      <c r="AT33" s="21">
        <v>86</v>
      </c>
      <c r="AU33" s="21">
        <v>40</v>
      </c>
      <c r="AV33" s="21">
        <v>1</v>
      </c>
      <c r="AW33" s="46">
        <f t="shared" si="1"/>
        <v>30750.6296</v>
      </c>
      <c r="AX33" s="48">
        <f t="shared" si="100"/>
        <v>41370000</v>
      </c>
      <c r="AY33" s="48">
        <f>3.5*6895000</f>
        <v>24132500</v>
      </c>
      <c r="AZ33" s="48">
        <v>0</v>
      </c>
      <c r="BA33" s="48">
        <v>0</v>
      </c>
      <c r="BB33" s="48">
        <f>0.560198017071388*10^6</f>
        <v>560198.01707138808</v>
      </c>
      <c r="BC33" s="3">
        <f t="shared" si="103"/>
        <v>0.2</v>
      </c>
      <c r="BD33" s="3">
        <f t="shared" si="58"/>
        <v>0.5</v>
      </c>
      <c r="BE33" s="3">
        <f t="shared" si="25"/>
        <v>0.84789999999999999</v>
      </c>
      <c r="BF33" s="3">
        <f t="shared" si="26"/>
        <v>0.84789999999999999</v>
      </c>
      <c r="BG33" s="3" t="s">
        <v>56</v>
      </c>
      <c r="BH33" s="3" t="s">
        <v>57</v>
      </c>
      <c r="BI33" s="3" t="s">
        <v>67</v>
      </c>
      <c r="BJ33" s="42" t="s">
        <v>142</v>
      </c>
    </row>
    <row r="34" spans="1:62" x14ac:dyDescent="0.3">
      <c r="A34" s="31" t="s">
        <v>108</v>
      </c>
      <c r="B34" s="29">
        <v>1245</v>
      </c>
      <c r="C34" s="43"/>
      <c r="D34" s="25" t="str">
        <f t="shared" si="2"/>
        <v/>
      </c>
      <c r="E34" s="23">
        <v>1191.5</v>
      </c>
      <c r="F34" s="5">
        <f t="shared" si="28"/>
        <v>-4.2971887550200805</v>
      </c>
      <c r="G34" s="5">
        <v>8617</v>
      </c>
      <c r="J34" s="1">
        <v>1</v>
      </c>
      <c r="K34" s="1">
        <v>2</v>
      </c>
      <c r="L34" s="1">
        <v>1</v>
      </c>
      <c r="M34" s="1">
        <v>2</v>
      </c>
      <c r="N34" s="1">
        <f t="shared" si="106"/>
        <v>2.1799999999999999E-4</v>
      </c>
      <c r="O34" s="1">
        <f t="shared" si="106"/>
        <v>2.1799999999999999E-4</v>
      </c>
      <c r="P34" s="1">
        <f t="shared" si="107"/>
        <v>0.19400000000000001</v>
      </c>
      <c r="Q34" s="47">
        <f>56.28*10^9</f>
        <v>56280000000</v>
      </c>
      <c r="R34" s="47">
        <f t="shared" si="108"/>
        <v>54870000000</v>
      </c>
      <c r="S34" s="1">
        <v>4.2000000000000003E-2</v>
      </c>
      <c r="T34" s="47">
        <f>4.21*10^9</f>
        <v>4210000000</v>
      </c>
      <c r="U34" s="47">
        <f t="shared" si="109"/>
        <v>917600000</v>
      </c>
      <c r="V34" s="47"/>
      <c r="W34" s="47">
        <f t="shared" si="110"/>
        <v>775400000</v>
      </c>
      <c r="Y34" s="47">
        <f t="shared" si="111"/>
        <v>132600000</v>
      </c>
      <c r="Z34" s="2">
        <v>2</v>
      </c>
      <c r="AA34" s="2">
        <v>0</v>
      </c>
      <c r="AB34" s="2">
        <v>2</v>
      </c>
      <c r="AC34" s="2">
        <v>0</v>
      </c>
      <c r="AD34" s="2">
        <f>0.1518/1000</f>
        <v>1.518E-4</v>
      </c>
      <c r="AE34" s="2">
        <f>0.1518/1000</f>
        <v>1.518E-4</v>
      </c>
      <c r="AF34" s="21">
        <f>AD34*(AF23+AF16+AF15)/(AD23+AD16+AD15)</f>
        <v>0.13545045336377917</v>
      </c>
      <c r="AG34" s="45">
        <f>230*10^9</f>
        <v>230000000000</v>
      </c>
      <c r="AH34" s="46">
        <f>AG34*(AH3+AH21+AH27)/(AG3+AG21+AG27)</f>
        <v>9494763409.6929111</v>
      </c>
      <c r="AI34" s="21">
        <v>0.3</v>
      </c>
      <c r="AJ34" s="60">
        <f>7*10^8</f>
        <v>700000000</v>
      </c>
      <c r="AK34" s="45">
        <f>2450*10^6</f>
        <v>2450000000</v>
      </c>
      <c r="AL34" s="45">
        <v>0</v>
      </c>
      <c r="AM34" s="45">
        <f>1270*10^6</f>
        <v>1270000000</v>
      </c>
      <c r="AN34" s="2">
        <v>0</v>
      </c>
      <c r="AO34" s="2">
        <v>0</v>
      </c>
      <c r="AP34" s="4">
        <f t="shared" si="97"/>
        <v>2.5399999999999999E-2</v>
      </c>
      <c r="AR34" s="4">
        <f>4*16.0185</f>
        <v>64.073999999999998</v>
      </c>
      <c r="AS34" s="4">
        <f t="shared" si="105"/>
        <v>3.1749999999999999E-3</v>
      </c>
      <c r="AT34" s="21">
        <v>86</v>
      </c>
      <c r="AU34" s="21">
        <v>40</v>
      </c>
      <c r="AV34" s="21">
        <v>1</v>
      </c>
      <c r="AW34" s="46">
        <f t="shared" si="1"/>
        <v>30750.6296</v>
      </c>
      <c r="AX34" s="48">
        <f>7.7*6895000</f>
        <v>53091500</v>
      </c>
      <c r="AY34" s="48">
        <f>4.3*6895000</f>
        <v>29648500</v>
      </c>
      <c r="AZ34" s="48">
        <v>0</v>
      </c>
      <c r="BA34" s="48">
        <v>0</v>
      </c>
      <c r="BB34" s="48">
        <f>9911195686.64764^6</f>
        <v>9.4788642927426491E+59</v>
      </c>
      <c r="BC34" s="3">
        <f t="shared" si="103"/>
        <v>0.2</v>
      </c>
      <c r="BD34" s="3">
        <f t="shared" si="58"/>
        <v>0.5</v>
      </c>
      <c r="BE34" s="3">
        <f t="shared" si="25"/>
        <v>0.95760000000000001</v>
      </c>
      <c r="BF34" s="3">
        <f t="shared" si="26"/>
        <v>0.95760000000000001</v>
      </c>
      <c r="BG34" s="3" t="s">
        <v>56</v>
      </c>
      <c r="BH34" s="3" t="s">
        <v>59</v>
      </c>
      <c r="BI34" s="3" t="s">
        <v>66</v>
      </c>
      <c r="BJ34" s="42" t="s">
        <v>142</v>
      </c>
    </row>
    <row r="35" spans="1:62" x14ac:dyDescent="0.3">
      <c r="A35" s="39" t="s">
        <v>109</v>
      </c>
      <c r="B35" s="29">
        <v>165</v>
      </c>
      <c r="C35" s="43"/>
      <c r="D35" s="25" t="str">
        <f t="shared" si="2"/>
        <v/>
      </c>
      <c r="E35" s="23">
        <v>165.64</v>
      </c>
      <c r="F35" s="5">
        <f t="shared" si="28"/>
        <v>0.38787878787877961</v>
      </c>
      <c r="G35" s="5">
        <v>2744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47">
        <v>0</v>
      </c>
      <c r="R35" s="47">
        <v>0</v>
      </c>
      <c r="S35" s="1">
        <v>0</v>
      </c>
      <c r="T35" s="47">
        <v>0</v>
      </c>
      <c r="U35" s="47">
        <v>0</v>
      </c>
      <c r="V35" s="47">
        <v>0</v>
      </c>
      <c r="Z35" s="2">
        <v>1</v>
      </c>
      <c r="AA35" s="2">
        <v>0</v>
      </c>
      <c r="AB35" s="2">
        <v>1</v>
      </c>
      <c r="AC35" s="2">
        <v>0</v>
      </c>
      <c r="AD35" s="2">
        <f t="shared" si="91"/>
        <v>1.939E-4</v>
      </c>
      <c r="AE35" s="2">
        <f t="shared" si="91"/>
        <v>1.939E-4</v>
      </c>
      <c r="AF35" s="21">
        <f t="shared" si="104"/>
        <v>0.17301609293304862</v>
      </c>
      <c r="AG35" s="45">
        <f t="shared" si="92"/>
        <v>165500000000</v>
      </c>
      <c r="AH35" s="45">
        <f t="shared" si="93"/>
        <v>7910000000</v>
      </c>
      <c r="AI35" s="21">
        <v>0.3</v>
      </c>
      <c r="AJ35" s="46">
        <f t="shared" ref="AJ35:AJ36" si="112">5.5*10^9</f>
        <v>5500000000</v>
      </c>
      <c r="AK35" s="45">
        <f t="shared" si="95"/>
        <v>3275000000</v>
      </c>
      <c r="AL35" s="45">
        <v>0</v>
      </c>
      <c r="AM35" s="45">
        <f>1570*10^6</f>
        <v>1570000000</v>
      </c>
      <c r="AN35" s="2">
        <v>0</v>
      </c>
      <c r="AO35" s="2">
        <v>0</v>
      </c>
      <c r="AP35" s="4">
        <f>12.4/1000</f>
        <v>1.24E-2</v>
      </c>
      <c r="AR35" s="4">
        <f>4*16.0185</f>
        <v>64.073999999999998</v>
      </c>
      <c r="AS35" s="4">
        <f t="shared" si="105"/>
        <v>3.1749999999999999E-3</v>
      </c>
      <c r="AT35" s="21">
        <v>86</v>
      </c>
      <c r="AU35" s="21">
        <v>40</v>
      </c>
      <c r="AV35" s="21">
        <v>1</v>
      </c>
      <c r="AW35" s="46">
        <f t="shared" si="1"/>
        <v>30750.6296</v>
      </c>
      <c r="AX35" s="48">
        <f>7.7*6895000</f>
        <v>53091500</v>
      </c>
      <c r="AY35" s="48">
        <f>4.3*6895000</f>
        <v>29648500</v>
      </c>
      <c r="AZ35" s="48">
        <v>0</v>
      </c>
      <c r="BA35" s="48">
        <v>0</v>
      </c>
      <c r="BB35" s="48">
        <f>4.15862838787564*10^6</f>
        <v>4158628.3878756403</v>
      </c>
      <c r="BC35" s="3">
        <f t="shared" si="103"/>
        <v>0.2</v>
      </c>
      <c r="BD35" s="3">
        <f t="shared" si="58"/>
        <v>0.5</v>
      </c>
      <c r="BE35" s="3">
        <f t="shared" si="25"/>
        <v>0.19389999999999999</v>
      </c>
      <c r="BF35" s="3">
        <f t="shared" si="26"/>
        <v>0.19389999999999999</v>
      </c>
      <c r="BG35" s="3">
        <v>0</v>
      </c>
      <c r="BH35" s="3" t="s">
        <v>57</v>
      </c>
      <c r="BI35" s="3" t="s">
        <v>65</v>
      </c>
      <c r="BJ35" s="42" t="s">
        <v>142</v>
      </c>
    </row>
    <row r="36" spans="1:62" x14ac:dyDescent="0.3">
      <c r="A36" s="33" t="s">
        <v>110</v>
      </c>
      <c r="B36" s="29">
        <v>31</v>
      </c>
      <c r="C36" s="43"/>
      <c r="D36" s="25" t="str">
        <f t="shared" si="2"/>
        <v/>
      </c>
      <c r="E36" s="23">
        <v>32.466000000000001</v>
      </c>
      <c r="F36" s="5">
        <f t="shared" si="28"/>
        <v>4.7290322580645192</v>
      </c>
      <c r="G36" s="5">
        <v>1076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47">
        <v>0</v>
      </c>
      <c r="R36" s="47">
        <v>0</v>
      </c>
      <c r="S36" s="1">
        <v>0</v>
      </c>
      <c r="T36" s="47">
        <v>0</v>
      </c>
      <c r="U36" s="47">
        <v>0</v>
      </c>
      <c r="V36" s="47"/>
      <c r="W36" s="47">
        <v>0</v>
      </c>
      <c r="Z36" s="2">
        <v>1</v>
      </c>
      <c r="AA36" s="2">
        <v>0</v>
      </c>
      <c r="AB36" s="2">
        <v>1</v>
      </c>
      <c r="AC36" s="2">
        <v>0</v>
      </c>
      <c r="AD36" s="2">
        <f t="shared" si="91"/>
        <v>1.939E-4</v>
      </c>
      <c r="AE36" s="2">
        <f t="shared" si="91"/>
        <v>1.939E-4</v>
      </c>
      <c r="AF36" s="21">
        <f t="shared" si="104"/>
        <v>0.17301609293304862</v>
      </c>
      <c r="AG36" s="45">
        <f t="shared" si="92"/>
        <v>165500000000</v>
      </c>
      <c r="AH36" s="45">
        <f t="shared" si="93"/>
        <v>7910000000</v>
      </c>
      <c r="AI36" s="21">
        <v>0.3</v>
      </c>
      <c r="AJ36" s="46">
        <f t="shared" si="112"/>
        <v>5500000000</v>
      </c>
      <c r="AK36" s="45">
        <f t="shared" si="95"/>
        <v>3275000000</v>
      </c>
      <c r="AL36" s="45">
        <v>0</v>
      </c>
      <c r="AM36" s="45">
        <f>1570*10^6</f>
        <v>1570000000</v>
      </c>
      <c r="AN36" s="2">
        <v>0</v>
      </c>
      <c r="AO36" s="2">
        <v>0</v>
      </c>
      <c r="AP36" s="4">
        <f>5.08/1000</f>
        <v>5.0800000000000003E-3</v>
      </c>
      <c r="AR36" s="4">
        <f>5*16.0185</f>
        <v>80.092500000000001</v>
      </c>
      <c r="AS36" s="4">
        <f t="shared" si="105"/>
        <v>3.1749999999999999E-3</v>
      </c>
      <c r="AT36" s="21">
        <v>86</v>
      </c>
      <c r="AU36" s="21">
        <v>40</v>
      </c>
      <c r="AV36" s="21">
        <v>1</v>
      </c>
      <c r="AW36" s="46">
        <f t="shared" si="1"/>
        <v>30750.6296</v>
      </c>
      <c r="AX36" s="48">
        <f>10.2*6895000</f>
        <v>70329000</v>
      </c>
      <c r="AY36" s="48">
        <f>5.4*6895000</f>
        <v>37233000</v>
      </c>
      <c r="AZ36" s="48">
        <v>0</v>
      </c>
      <c r="BA36" s="48">
        <v>0</v>
      </c>
      <c r="BB36" s="48">
        <f>33.1809594726899*10^6</f>
        <v>33180959.472689901</v>
      </c>
      <c r="BC36" s="3">
        <f t="shared" si="103"/>
        <v>0.2</v>
      </c>
      <c r="BD36" s="3">
        <f t="shared" si="58"/>
        <v>0.5</v>
      </c>
      <c r="BE36" s="3">
        <f t="shared" si="25"/>
        <v>0.19389999999999999</v>
      </c>
      <c r="BF36" s="3">
        <f t="shared" si="26"/>
        <v>0.19389999999999999</v>
      </c>
      <c r="BG36" s="3">
        <v>0</v>
      </c>
      <c r="BH36" s="3" t="s">
        <v>57</v>
      </c>
      <c r="BI36" s="3" t="s">
        <v>64</v>
      </c>
      <c r="BJ36" s="42" t="s">
        <v>142</v>
      </c>
    </row>
    <row r="37" spans="1:62" x14ac:dyDescent="0.3">
      <c r="A37" s="31" t="s">
        <v>111</v>
      </c>
      <c r="B37" s="29">
        <v>1041</v>
      </c>
      <c r="C37" s="43"/>
      <c r="D37" s="25" t="str">
        <f t="shared" si="2"/>
        <v/>
      </c>
      <c r="E37" s="23">
        <v>1235.5999999999999</v>
      </c>
      <c r="F37" s="5">
        <f t="shared" si="28"/>
        <v>18.693563880883758</v>
      </c>
      <c r="G37" s="5">
        <v>11232</v>
      </c>
      <c r="J37" s="1">
        <v>1</v>
      </c>
      <c r="K37" s="1">
        <v>2</v>
      </c>
      <c r="L37" s="1">
        <v>1</v>
      </c>
      <c r="M37" s="1">
        <v>2</v>
      </c>
      <c r="N37" s="1">
        <f t="shared" ref="N37:O40" si="113">0.218/1000</f>
        <v>2.1799999999999999E-4</v>
      </c>
      <c r="O37" s="1">
        <f t="shared" si="113"/>
        <v>2.1799999999999999E-4</v>
      </c>
      <c r="P37" s="1">
        <f t="shared" ref="P37:P40" si="114">194/1000</f>
        <v>0.19400000000000001</v>
      </c>
      <c r="Q37" s="47">
        <f>56.28*10^9</f>
        <v>56280000000</v>
      </c>
      <c r="R37" s="47">
        <f t="shared" ref="R37:R40" si="115">54.87*10^9</f>
        <v>54870000000</v>
      </c>
      <c r="S37" s="1">
        <v>4.2000000000000003E-2</v>
      </c>
      <c r="T37" s="47">
        <f>4.21*10^9</f>
        <v>4210000000</v>
      </c>
      <c r="U37" s="47">
        <f t="shared" ref="U37:U40" si="116">917.6*10^6</f>
        <v>917600000</v>
      </c>
      <c r="V37" s="47"/>
      <c r="W37" s="47">
        <f t="shared" ref="W37:W40" si="117">775.4*10^6</f>
        <v>775400000</v>
      </c>
      <c r="Y37" s="47">
        <f t="shared" ref="Y37:Y40" si="118">132.6*10^6</f>
        <v>132600000</v>
      </c>
      <c r="Z37" s="2">
        <v>3</v>
      </c>
      <c r="AA37" s="2">
        <v>0</v>
      </c>
      <c r="AB37" s="2">
        <v>3</v>
      </c>
      <c r="AC37" s="2">
        <v>0</v>
      </c>
      <c r="AD37" s="2">
        <f>0.1502/1000</f>
        <v>1.5019999999999999E-4</v>
      </c>
      <c r="AE37" s="2">
        <f>0.1502/1000</f>
        <v>1.5019999999999999E-4</v>
      </c>
      <c r="AF37" s="21">
        <f>AD37*(AF23+AF16+AF15)/(AD23+AD16+AD15)</f>
        <v>0.13402278060105158</v>
      </c>
      <c r="AG37" s="45">
        <f>265*10^9</f>
        <v>265000000000</v>
      </c>
      <c r="AH37" s="46">
        <f>AG37*(AH3+AH21+AH27)/(AG3+AG21+AG27)</f>
        <v>10939618711.167919</v>
      </c>
      <c r="AI37" s="21">
        <v>0.3</v>
      </c>
      <c r="AJ37" s="46">
        <f>7.5*10^9</f>
        <v>7500000000</v>
      </c>
      <c r="AK37" s="45">
        <f>2210*10^6</f>
        <v>2210000000</v>
      </c>
      <c r="AL37" s="45">
        <v>0</v>
      </c>
      <c r="AM37" s="45">
        <f>1080*10^6</f>
        <v>1080000000</v>
      </c>
      <c r="AN37" s="2">
        <v>0</v>
      </c>
      <c r="AO37" s="2">
        <v>0</v>
      </c>
      <c r="AP37" s="4">
        <f t="shared" ref="AP37" si="119">1*25.4/1000</f>
        <v>2.5399999999999999E-2</v>
      </c>
      <c r="AR37" s="4">
        <f t="shared" ref="AR37" si="120">3*16.0185</f>
        <v>48.055499999999995</v>
      </c>
      <c r="AS37" s="4">
        <f t="shared" si="105"/>
        <v>3.1749999999999999E-3</v>
      </c>
      <c r="AT37" s="21">
        <v>86</v>
      </c>
      <c r="AU37" s="21">
        <v>40</v>
      </c>
      <c r="AV37" s="21">
        <v>1</v>
      </c>
      <c r="AW37" s="46">
        <f t="shared" si="1"/>
        <v>30750.6296</v>
      </c>
      <c r="AX37" s="48">
        <f>6*6895000</f>
        <v>41370000</v>
      </c>
      <c r="AY37" s="48">
        <f>3.5*6895000</f>
        <v>24132500</v>
      </c>
      <c r="AZ37" s="48">
        <v>0</v>
      </c>
      <c r="BA37" s="48">
        <v>0</v>
      </c>
      <c r="BB37" s="48">
        <f>0.560198017071388*10^6</f>
        <v>560198.01707138808</v>
      </c>
      <c r="BC37" s="3">
        <f t="shared" si="103"/>
        <v>0.2</v>
      </c>
      <c r="BD37" s="3">
        <f t="shared" si="58"/>
        <v>0.5</v>
      </c>
      <c r="BE37" s="3">
        <f t="shared" si="25"/>
        <v>1.1045999999999998</v>
      </c>
      <c r="BF37" s="3">
        <f t="shared" si="26"/>
        <v>1.1045999999999998</v>
      </c>
      <c r="BG37" s="3" t="s">
        <v>56</v>
      </c>
      <c r="BH37" s="3" t="s">
        <v>60</v>
      </c>
      <c r="BI37" s="3" t="s">
        <v>63</v>
      </c>
      <c r="BJ37" s="42" t="s">
        <v>142</v>
      </c>
    </row>
    <row r="38" spans="1:62" x14ac:dyDescent="0.3">
      <c r="A38" s="31" t="s">
        <v>112</v>
      </c>
      <c r="B38" s="29">
        <v>1408</v>
      </c>
      <c r="C38" s="43"/>
      <c r="D38" s="25" t="str">
        <f t="shared" si="2"/>
        <v/>
      </c>
      <c r="E38" s="23">
        <v>1558.3</v>
      </c>
      <c r="F38" s="5">
        <f t="shared" si="28"/>
        <v>10.674715909090905</v>
      </c>
      <c r="G38" s="5">
        <v>14815</v>
      </c>
      <c r="J38" s="1">
        <v>1</v>
      </c>
      <c r="K38" s="1">
        <v>2</v>
      </c>
      <c r="L38" s="1">
        <v>1</v>
      </c>
      <c r="M38" s="1">
        <v>2</v>
      </c>
      <c r="N38" s="1">
        <f t="shared" si="113"/>
        <v>2.1799999999999999E-4</v>
      </c>
      <c r="O38" s="1">
        <f t="shared" si="113"/>
        <v>2.1799999999999999E-4</v>
      </c>
      <c r="P38" s="1">
        <f t="shared" si="114"/>
        <v>0.19400000000000001</v>
      </c>
      <c r="Q38" s="47">
        <f>56.28*10^9</f>
        <v>56280000000</v>
      </c>
      <c r="R38" s="47">
        <f t="shared" si="115"/>
        <v>54870000000</v>
      </c>
      <c r="S38" s="1">
        <v>4.2000000000000003E-2</v>
      </c>
      <c r="T38" s="47">
        <f t="shared" ref="T38:T40" si="121">4.21*10^9</f>
        <v>4210000000</v>
      </c>
      <c r="U38" s="47">
        <f t="shared" si="116"/>
        <v>917600000</v>
      </c>
      <c r="V38" s="47"/>
      <c r="W38" s="47">
        <f t="shared" si="117"/>
        <v>775400000</v>
      </c>
      <c r="Y38" s="47">
        <f t="shared" si="118"/>
        <v>132600000</v>
      </c>
      <c r="Z38" s="2">
        <v>10</v>
      </c>
      <c r="AA38" s="2">
        <v>0</v>
      </c>
      <c r="AB38" s="2">
        <v>10</v>
      </c>
      <c r="AC38" s="2">
        <v>0</v>
      </c>
      <c r="AD38" s="2">
        <f t="shared" ref="AD38:AE40" si="122">0.1502/1000</f>
        <v>1.5019999999999999E-4</v>
      </c>
      <c r="AE38" s="2">
        <f t="shared" si="122"/>
        <v>1.5019999999999999E-4</v>
      </c>
      <c r="AF38" s="21">
        <f>AF37</f>
        <v>0.13402278060105158</v>
      </c>
      <c r="AG38" s="45">
        <f t="shared" ref="AG38:AG40" si="123">265*10^9</f>
        <v>265000000000</v>
      </c>
      <c r="AH38" s="46">
        <f t="shared" ref="AH38:AH40" si="124">AG38*AH37/AG37</f>
        <v>10939618711.167919</v>
      </c>
      <c r="AI38" s="21">
        <v>0.3</v>
      </c>
      <c r="AJ38" s="46">
        <f t="shared" ref="AJ38:AJ40" si="125">7.5*10^9</f>
        <v>7500000000</v>
      </c>
      <c r="AK38" s="45">
        <f t="shared" ref="AK38:AK40" si="126">2210*10^6</f>
        <v>2210000000</v>
      </c>
      <c r="AL38" s="45">
        <v>0</v>
      </c>
      <c r="AM38" s="45">
        <f t="shared" ref="AM38:AM40" si="127">1080*10^6</f>
        <v>1080000000</v>
      </c>
      <c r="AN38" s="2">
        <v>0</v>
      </c>
      <c r="AO38" s="2">
        <v>0</v>
      </c>
      <c r="AP38" s="4">
        <f>19.05/1000</f>
        <v>1.9050000000000001E-2</v>
      </c>
      <c r="AR38" s="4">
        <f>4*16.0185</f>
        <v>64.073999999999998</v>
      </c>
      <c r="AS38" s="4">
        <f t="shared" si="105"/>
        <v>3.1749999999999999E-3</v>
      </c>
      <c r="AT38" s="21">
        <v>86</v>
      </c>
      <c r="AU38" s="21">
        <v>40</v>
      </c>
      <c r="AV38" s="21">
        <v>1</v>
      </c>
      <c r="AW38" s="46">
        <f t="shared" si="1"/>
        <v>30750.6296</v>
      </c>
      <c r="AX38" s="48">
        <f>7.7*6895000</f>
        <v>53091500</v>
      </c>
      <c r="AY38" s="48">
        <f>4.3*6895000</f>
        <v>29648500</v>
      </c>
      <c r="AZ38" s="48">
        <v>0</v>
      </c>
      <c r="BA38" s="48">
        <v>0</v>
      </c>
      <c r="BB38" s="48">
        <f>1.76199034429291*10^6</f>
        <v>1761990.3442929098</v>
      </c>
      <c r="BC38" s="3">
        <f t="shared" si="103"/>
        <v>0.2</v>
      </c>
      <c r="BD38" s="3">
        <f t="shared" si="58"/>
        <v>0.5</v>
      </c>
      <c r="BE38" s="3">
        <f t="shared" si="25"/>
        <v>2.1560000000000001</v>
      </c>
      <c r="BF38" s="3">
        <f t="shared" si="26"/>
        <v>2.1560000000000001</v>
      </c>
      <c r="BG38" s="3" t="s">
        <v>56</v>
      </c>
      <c r="BH38" s="3" t="s">
        <v>60</v>
      </c>
      <c r="BI38" s="3" t="s">
        <v>62</v>
      </c>
      <c r="BJ38" s="42" t="s">
        <v>142</v>
      </c>
    </row>
    <row r="39" spans="1:62" x14ac:dyDescent="0.3">
      <c r="A39" s="31" t="s">
        <v>113</v>
      </c>
      <c r="B39" s="29">
        <v>1769</v>
      </c>
      <c r="C39" s="43"/>
      <c r="D39" s="25" t="str">
        <f t="shared" si="2"/>
        <v/>
      </c>
      <c r="E39" s="23">
        <v>1899.4</v>
      </c>
      <c r="F39" s="5">
        <f t="shared" si="28"/>
        <v>7.3713962690785815</v>
      </c>
      <c r="G39" s="5">
        <v>18726</v>
      </c>
      <c r="J39" s="1">
        <v>1</v>
      </c>
      <c r="K39" s="1">
        <v>2</v>
      </c>
      <c r="L39" s="1">
        <v>1</v>
      </c>
      <c r="M39" s="1">
        <v>2</v>
      </c>
      <c r="N39" s="1">
        <f t="shared" si="113"/>
        <v>2.1799999999999999E-4</v>
      </c>
      <c r="O39" s="1">
        <f t="shared" si="113"/>
        <v>2.1799999999999999E-4</v>
      </c>
      <c r="P39" s="1">
        <f t="shared" si="114"/>
        <v>0.19400000000000001</v>
      </c>
      <c r="Q39" s="47">
        <f t="shared" ref="Q39:Q40" si="128">56.28*10^9</f>
        <v>56280000000</v>
      </c>
      <c r="R39" s="47">
        <f t="shared" si="115"/>
        <v>54870000000</v>
      </c>
      <c r="S39" s="1">
        <v>4.2000000000000003E-2</v>
      </c>
      <c r="T39" s="47">
        <f t="shared" si="121"/>
        <v>4210000000</v>
      </c>
      <c r="U39" s="47">
        <f t="shared" si="116"/>
        <v>917600000</v>
      </c>
      <c r="V39" s="47"/>
      <c r="W39" s="47">
        <f t="shared" si="117"/>
        <v>775400000</v>
      </c>
      <c r="Y39" s="47">
        <f t="shared" si="118"/>
        <v>132600000</v>
      </c>
      <c r="Z39" s="2">
        <v>7</v>
      </c>
      <c r="AA39" s="2">
        <v>0</v>
      </c>
      <c r="AB39" s="2">
        <v>7</v>
      </c>
      <c r="AC39" s="2">
        <v>0</v>
      </c>
      <c r="AD39" s="2">
        <f t="shared" si="122"/>
        <v>1.5019999999999999E-4</v>
      </c>
      <c r="AE39" s="2">
        <f t="shared" si="122"/>
        <v>1.5019999999999999E-4</v>
      </c>
      <c r="AF39" s="21">
        <f t="shared" ref="AF39:AF40" si="129">AF38</f>
        <v>0.13402278060105158</v>
      </c>
      <c r="AG39" s="45">
        <f t="shared" si="123"/>
        <v>265000000000</v>
      </c>
      <c r="AH39" s="46">
        <f t="shared" si="124"/>
        <v>10939618711.167919</v>
      </c>
      <c r="AI39" s="21">
        <v>0.3</v>
      </c>
      <c r="AJ39" s="46">
        <f t="shared" si="125"/>
        <v>7500000000</v>
      </c>
      <c r="AK39" s="45">
        <f t="shared" si="126"/>
        <v>2210000000</v>
      </c>
      <c r="AL39" s="45">
        <v>0</v>
      </c>
      <c r="AM39" s="45">
        <f t="shared" si="127"/>
        <v>1080000000</v>
      </c>
      <c r="AN39" s="2">
        <v>0</v>
      </c>
      <c r="AO39" s="2">
        <v>0</v>
      </c>
      <c r="AP39" s="4">
        <f t="shared" ref="AP39" si="130">1*25.4/1000</f>
        <v>2.5399999999999999E-2</v>
      </c>
      <c r="AR39" s="4">
        <f t="shared" ref="AR39:AR40" si="131">4*16.0185</f>
        <v>64.073999999999998</v>
      </c>
      <c r="AS39" s="4">
        <f t="shared" si="105"/>
        <v>3.1749999999999999E-3</v>
      </c>
      <c r="AT39" s="21">
        <v>86</v>
      </c>
      <c r="AU39" s="21">
        <v>40</v>
      </c>
      <c r="AV39" s="21">
        <v>1</v>
      </c>
      <c r="AW39" s="46">
        <f t="shared" si="1"/>
        <v>30750.6296</v>
      </c>
      <c r="AX39" s="48">
        <f t="shared" ref="AX39:AX40" si="132">7.7*6895000</f>
        <v>53091500</v>
      </c>
      <c r="AY39" s="48">
        <f t="shared" ref="AY39:AY40" si="133">4.3*6895000</f>
        <v>29648500</v>
      </c>
      <c r="AZ39" s="48">
        <v>0</v>
      </c>
      <c r="BA39" s="48">
        <v>0</v>
      </c>
      <c r="BB39" s="48">
        <f>0.991119568664764*10^6</f>
        <v>991119.56866476405</v>
      </c>
      <c r="BC39" s="3">
        <f t="shared" si="103"/>
        <v>0.2</v>
      </c>
      <c r="BD39" s="3">
        <f t="shared" si="58"/>
        <v>0.5</v>
      </c>
      <c r="BE39" s="3">
        <f t="shared" si="25"/>
        <v>1.7053999999999998</v>
      </c>
      <c r="BF39" s="3">
        <f t="shared" si="26"/>
        <v>1.7053999999999998</v>
      </c>
      <c r="BG39" s="3" t="s">
        <v>56</v>
      </c>
      <c r="BH39" s="3" t="s">
        <v>60</v>
      </c>
      <c r="BI39" s="3" t="s">
        <v>69</v>
      </c>
      <c r="BJ39" s="42" t="s">
        <v>142</v>
      </c>
    </row>
    <row r="40" spans="1:62" x14ac:dyDescent="0.3">
      <c r="A40" s="31" t="s">
        <v>114</v>
      </c>
      <c r="B40" s="59">
        <v>504</v>
      </c>
      <c r="C40" s="43"/>
      <c r="D40" s="25" t="str">
        <f t="shared" si="2"/>
        <v/>
      </c>
      <c r="E40" s="23">
        <v>616.33000000000004</v>
      </c>
      <c r="F40" s="5">
        <f t="shared" si="28"/>
        <v>22.287698412698418</v>
      </c>
      <c r="G40" s="5">
        <v>9375</v>
      </c>
      <c r="J40" s="1">
        <v>2</v>
      </c>
      <c r="K40" s="1">
        <v>2</v>
      </c>
      <c r="L40" s="1">
        <v>2</v>
      </c>
      <c r="M40" s="1">
        <v>2</v>
      </c>
      <c r="N40" s="1">
        <f t="shared" si="113"/>
        <v>2.1799999999999999E-4</v>
      </c>
      <c r="O40" s="1">
        <f t="shared" si="113"/>
        <v>2.1799999999999999E-4</v>
      </c>
      <c r="P40" s="1">
        <f t="shared" si="114"/>
        <v>0.19400000000000001</v>
      </c>
      <c r="Q40" s="47">
        <f t="shared" si="128"/>
        <v>56280000000</v>
      </c>
      <c r="R40" s="47">
        <f t="shared" si="115"/>
        <v>54870000000</v>
      </c>
      <c r="S40" s="1">
        <v>4.2000000000000003E-2</v>
      </c>
      <c r="T40" s="47">
        <f t="shared" si="121"/>
        <v>4210000000</v>
      </c>
      <c r="U40" s="47">
        <f t="shared" si="116"/>
        <v>917600000</v>
      </c>
      <c r="V40" s="47"/>
      <c r="W40" s="47">
        <f t="shared" si="117"/>
        <v>775400000</v>
      </c>
      <c r="Y40" s="47">
        <f t="shared" si="118"/>
        <v>132600000</v>
      </c>
      <c r="Z40" s="2">
        <v>3</v>
      </c>
      <c r="AA40" s="2">
        <v>0</v>
      </c>
      <c r="AB40" s="2">
        <v>3</v>
      </c>
      <c r="AC40" s="2">
        <v>0</v>
      </c>
      <c r="AD40" s="2">
        <f t="shared" si="122"/>
        <v>1.5019999999999999E-4</v>
      </c>
      <c r="AE40" s="2">
        <f t="shared" si="122"/>
        <v>1.5019999999999999E-4</v>
      </c>
      <c r="AF40" s="21">
        <f t="shared" si="129"/>
        <v>0.13402278060105158</v>
      </c>
      <c r="AG40" s="45">
        <f t="shared" si="123"/>
        <v>265000000000</v>
      </c>
      <c r="AH40" s="46">
        <f t="shared" si="124"/>
        <v>10939618711.167919</v>
      </c>
      <c r="AI40" s="21">
        <v>0.3</v>
      </c>
      <c r="AJ40" s="46">
        <f t="shared" si="125"/>
        <v>7500000000</v>
      </c>
      <c r="AK40" s="45">
        <f t="shared" si="126"/>
        <v>2210000000</v>
      </c>
      <c r="AL40" s="45">
        <v>0</v>
      </c>
      <c r="AM40" s="45">
        <f t="shared" si="127"/>
        <v>1080000000</v>
      </c>
      <c r="AN40" s="2">
        <v>0</v>
      </c>
      <c r="AO40" s="2">
        <v>0</v>
      </c>
      <c r="AP40" s="4">
        <f>0.5*25.4/1000</f>
        <v>1.2699999999999999E-2</v>
      </c>
      <c r="AR40" s="4">
        <f t="shared" si="131"/>
        <v>64.073999999999998</v>
      </c>
      <c r="AS40" s="4">
        <f t="shared" si="105"/>
        <v>3.1749999999999999E-3</v>
      </c>
      <c r="AT40" s="21">
        <v>86</v>
      </c>
      <c r="AU40" s="21">
        <v>40</v>
      </c>
      <c r="AV40" s="21">
        <v>1</v>
      </c>
      <c r="AW40" s="46">
        <f t="shared" si="1"/>
        <v>30750.6296</v>
      </c>
      <c r="AX40" s="48">
        <f t="shared" si="132"/>
        <v>53091500</v>
      </c>
      <c r="AY40" s="48">
        <f t="shared" si="133"/>
        <v>29648500</v>
      </c>
      <c r="AZ40" s="48">
        <v>0</v>
      </c>
      <c r="BA40" s="48">
        <v>0</v>
      </c>
      <c r="BB40" s="48">
        <f>3.96447827465905*10^6</f>
        <v>3964478.2746590497</v>
      </c>
      <c r="BC40" s="3">
        <f t="shared" si="103"/>
        <v>0.2</v>
      </c>
      <c r="BD40" s="3">
        <f t="shared" si="58"/>
        <v>0.5</v>
      </c>
      <c r="BE40" s="3">
        <f t="shared" si="25"/>
        <v>1.3226</v>
      </c>
      <c r="BF40" s="3">
        <f t="shared" si="26"/>
        <v>1.3226</v>
      </c>
      <c r="BG40" s="3" t="s">
        <v>56</v>
      </c>
      <c r="BH40" s="3" t="s">
        <v>60</v>
      </c>
      <c r="BI40" s="3" t="s">
        <v>68</v>
      </c>
      <c r="BJ40" s="42" t="s">
        <v>142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13108</dc:creator>
  <cp:lastModifiedBy>13108</cp:lastModifiedBy>
  <dcterms:created xsi:type="dcterms:W3CDTF">2020-01-20T19:36:51Z</dcterms:created>
  <dcterms:modified xsi:type="dcterms:W3CDTF">2020-03-05T11:57:31Z</dcterms:modified>
</cp:coreProperties>
</file>