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HE)\Projets\XYDALBA\Registre + Modèle\"/>
    </mc:Choice>
  </mc:AlternateContent>
  <xr:revisionPtr revIDLastSave="0" documentId="8_{ED033370-7D61-B94F-ADD7-B922BE2C1D70}" xr6:coauthVersionLast="45" xr6:coauthVersionMax="45" xr10:uidLastSave="{00000000-0000-0000-0000-000000000000}"/>
  <bookViews>
    <workbookView xWindow="3675" yWindow="3675" windowWidth="21600" windowHeight="11385" xr2:uid="{6E0148A1-749A-4A83-B4F3-B067EE48C5DB}"/>
  </bookViews>
  <sheets>
    <sheet name="Acceuil" sheetId="6" r:id="rId1"/>
    <sheet name="Notice" sheetId="5" r:id="rId2"/>
    <sheet name="Resultats" sheetId="7" r:id="rId3"/>
    <sheet name="Modele_OS" sheetId="10" r:id="rId4"/>
    <sheet name="Modele_COEUR" sheetId="11" r:id="rId5"/>
    <sheet name="Modele_IPTM" sheetId="12" r:id="rId6"/>
    <sheet name="Coûts" sheetId="4" r:id="rId7"/>
  </sheets>
  <externalReferences>
    <externalReference r:id="rId8"/>
  </externalReferences>
  <definedNames>
    <definedName name="niveau.ghs">'[1]Paramètres établissements'!$S$25:$V$34</definedName>
    <definedName name="plafonnement.7j">'[1]Paramètres établissements'!$X$25:$X$34</definedName>
    <definedName name="solver_cvg" localSheetId="6" hidden="1">"0,0001"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"0,075"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Coûts!$H$5</definedName>
    <definedName name="solver_pre" localSheetId="6" hidden="1">"0,000001"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4" l="1"/>
  <c r="I4" i="4"/>
  <c r="H3" i="4"/>
  <c r="H5" i="4"/>
  <c r="V7" i="4"/>
  <c r="V6" i="4"/>
  <c r="V5" i="4"/>
  <c r="AO13" i="12"/>
  <c r="AO12" i="12"/>
  <c r="AO11" i="12"/>
  <c r="AO10" i="12"/>
  <c r="AO9" i="12"/>
  <c r="AO8" i="12"/>
  <c r="AO7" i="12"/>
  <c r="AO6" i="12"/>
  <c r="AO5" i="12"/>
  <c r="AO4" i="12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F48" i="12"/>
  <c r="C48" i="12"/>
  <c r="F47" i="12"/>
  <c r="C47" i="12"/>
  <c r="AQ15" i="12"/>
  <c r="AR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AQ14" i="12"/>
  <c r="AR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AP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E13" i="12"/>
  <c r="D13" i="12"/>
  <c r="AR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E12" i="12"/>
  <c r="D12" i="12"/>
  <c r="AP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E11" i="12"/>
  <c r="D11" i="12"/>
  <c r="AQ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E10" i="12"/>
  <c r="D10" i="12"/>
  <c r="AP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E9" i="12"/>
  <c r="D9" i="12"/>
  <c r="AR8" i="12"/>
  <c r="AQ8" i="12"/>
  <c r="AP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E8" i="12"/>
  <c r="D8" i="12"/>
  <c r="AP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E7" i="12"/>
  <c r="D7" i="12"/>
  <c r="AR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E6" i="12"/>
  <c r="D6" i="12"/>
  <c r="AP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E5" i="12"/>
  <c r="D5" i="12"/>
  <c r="AR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E4" i="12"/>
  <c r="D4" i="12"/>
  <c r="AG51" i="11"/>
  <c r="AF51" i="11"/>
  <c r="AE51" i="11"/>
  <c r="F48" i="11"/>
  <c r="C48" i="11"/>
  <c r="F47" i="11"/>
  <c r="C47" i="11"/>
  <c r="AR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AR19" i="11"/>
  <c r="AQ19" i="11"/>
  <c r="AP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E19" i="11"/>
  <c r="D19" i="11"/>
  <c r="AR18" i="11"/>
  <c r="AQ18" i="11"/>
  <c r="AP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E18" i="11"/>
  <c r="D18" i="11"/>
  <c r="AP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E17" i="11"/>
  <c r="D17" i="11"/>
  <c r="AP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E16" i="11"/>
  <c r="D16" i="11"/>
  <c r="AQ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E15" i="11"/>
  <c r="D15" i="11"/>
  <c r="AP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E14" i="11"/>
  <c r="D14" i="11"/>
  <c r="AP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E13" i="11"/>
  <c r="D13" i="11"/>
  <c r="AP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E12" i="11"/>
  <c r="D12" i="11"/>
  <c r="AP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E11" i="11"/>
  <c r="D11" i="11"/>
  <c r="AR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E10" i="11"/>
  <c r="D10" i="11"/>
  <c r="AP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E9" i="11"/>
  <c r="D9" i="11"/>
  <c r="AR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E8" i="11"/>
  <c r="D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E7" i="11"/>
  <c r="D7" i="11"/>
  <c r="AR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E6" i="11"/>
  <c r="D6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E5" i="11"/>
  <c r="D5" i="11"/>
  <c r="AO51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E4" i="11"/>
  <c r="D4" i="11"/>
  <c r="AR16" i="11"/>
  <c r="AR10" i="12"/>
  <c r="AR15" i="11"/>
  <c r="AQ16" i="11"/>
  <c r="AP10" i="11"/>
  <c r="AQ6" i="12"/>
  <c r="AP10" i="12"/>
  <c r="AP8" i="11"/>
  <c r="AQ10" i="11"/>
  <c r="AQ8" i="11"/>
  <c r="AP15" i="11"/>
  <c r="AQ4" i="12"/>
  <c r="AR14" i="11"/>
  <c r="AQ12" i="12"/>
  <c r="AQ9" i="12"/>
  <c r="AQ11" i="12"/>
  <c r="AQ13" i="12"/>
  <c r="AQ5" i="12"/>
  <c r="AQ7" i="12"/>
  <c r="AP4" i="12"/>
  <c r="AR5" i="12"/>
  <c r="AP6" i="12"/>
  <c r="AR7" i="12"/>
  <c r="AR9" i="12"/>
  <c r="AR11" i="12"/>
  <c r="AP12" i="12"/>
  <c r="AR13" i="12"/>
  <c r="AP14" i="12"/>
  <c r="AP15" i="12"/>
  <c r="AQ14" i="11"/>
  <c r="AQ12" i="11"/>
  <c r="AR12" i="11"/>
  <c r="AQ4" i="11"/>
  <c r="AQ6" i="11"/>
  <c r="AQ7" i="11"/>
  <c r="AQ9" i="11"/>
  <c r="AQ11" i="11"/>
  <c r="AQ13" i="11"/>
  <c r="AQ17" i="11"/>
  <c r="AQ5" i="11"/>
  <c r="AP4" i="11"/>
  <c r="AR5" i="11"/>
  <c r="AP6" i="11"/>
  <c r="AR7" i="11"/>
  <c r="AR9" i="11"/>
  <c r="AR11" i="11"/>
  <c r="AR13" i="11"/>
  <c r="AR17" i="11"/>
  <c r="AR4" i="11"/>
  <c r="AP5" i="11"/>
  <c r="AP7" i="11"/>
  <c r="AP20" i="11"/>
  <c r="AQ20" i="11"/>
  <c r="N7" i="4"/>
  <c r="N5" i="4"/>
  <c r="N3" i="4"/>
  <c r="V3" i="4"/>
  <c r="I90" i="7"/>
  <c r="H90" i="7"/>
  <c r="G90" i="7"/>
  <c r="AJ1" i="12"/>
  <c r="AJ1" i="11"/>
  <c r="AJ1" i="10"/>
  <c r="F48" i="10"/>
  <c r="F47" i="10"/>
  <c r="C47" i="10"/>
  <c r="AP8" i="10"/>
  <c r="AQ8" i="10"/>
  <c r="AR8" i="10"/>
  <c r="AP10" i="10"/>
  <c r="AQ10" i="10"/>
  <c r="AR10" i="10"/>
  <c r="AP15" i="10"/>
  <c r="AQ15" i="10"/>
  <c r="AR15" i="10"/>
  <c r="AP16" i="10"/>
  <c r="AQ16" i="10"/>
  <c r="AR16" i="10"/>
  <c r="AP18" i="10"/>
  <c r="AQ18" i="10"/>
  <c r="AR18" i="10"/>
  <c r="AP19" i="10"/>
  <c r="AQ19" i="10"/>
  <c r="AR19" i="10"/>
  <c r="AP20" i="10"/>
  <c r="AQ20" i="10"/>
  <c r="AR20" i="10"/>
  <c r="AP21" i="10"/>
  <c r="AQ21" i="10"/>
  <c r="AR21" i="10"/>
  <c r="AP22" i="10"/>
  <c r="AQ22" i="10"/>
  <c r="AR22" i="10"/>
  <c r="AP25" i="10"/>
  <c r="AQ25" i="10"/>
  <c r="AR25" i="10"/>
  <c r="AP32" i="10"/>
  <c r="AQ32" i="10"/>
  <c r="AR32" i="10"/>
  <c r="AP34" i="10"/>
  <c r="AQ34" i="10"/>
  <c r="AR34" i="10"/>
  <c r="AP36" i="10"/>
  <c r="AQ36" i="10"/>
  <c r="AR36" i="10"/>
  <c r="AP38" i="10"/>
  <c r="AQ38" i="10"/>
  <c r="AR38" i="10"/>
  <c r="AO5" i="10"/>
  <c r="AP5" i="10"/>
  <c r="AO6" i="10"/>
  <c r="AQ6" i="10"/>
  <c r="AO7" i="10"/>
  <c r="AR7" i="10"/>
  <c r="AO8" i="10"/>
  <c r="AO9" i="10"/>
  <c r="AP9" i="10"/>
  <c r="AO10" i="10"/>
  <c r="AO11" i="10"/>
  <c r="AR11" i="10"/>
  <c r="AO12" i="10"/>
  <c r="AP12" i="10"/>
  <c r="AO13" i="10"/>
  <c r="AP13" i="10"/>
  <c r="AO14" i="10"/>
  <c r="AQ14" i="10"/>
  <c r="AO15" i="10"/>
  <c r="AO16" i="10"/>
  <c r="AO17" i="10"/>
  <c r="AP17" i="10"/>
  <c r="AO18" i="10"/>
  <c r="AO19" i="10"/>
  <c r="AO20" i="10"/>
  <c r="AO21" i="10"/>
  <c r="AO22" i="10"/>
  <c r="AO23" i="10"/>
  <c r="AR23" i="10"/>
  <c r="AO24" i="10"/>
  <c r="AP24" i="10"/>
  <c r="AO25" i="10"/>
  <c r="AO26" i="10"/>
  <c r="AQ26" i="10"/>
  <c r="AO27" i="10"/>
  <c r="AR27" i="10"/>
  <c r="AO28" i="10"/>
  <c r="AP28" i="10"/>
  <c r="AO29" i="10"/>
  <c r="AP29" i="10"/>
  <c r="AO30" i="10"/>
  <c r="AQ30" i="10"/>
  <c r="AO31" i="10"/>
  <c r="AR31" i="10"/>
  <c r="AO32" i="10"/>
  <c r="AO33" i="10"/>
  <c r="AP33" i="10"/>
  <c r="AO34" i="10"/>
  <c r="AO35" i="10"/>
  <c r="AR35" i="10"/>
  <c r="AO36" i="10"/>
  <c r="AO37" i="10"/>
  <c r="AP37" i="10"/>
  <c r="AO38" i="10"/>
  <c r="AO39" i="10"/>
  <c r="AR39" i="10"/>
  <c r="AO40" i="10"/>
  <c r="AP40" i="10"/>
  <c r="AO42" i="10"/>
  <c r="AQ42" i="10"/>
  <c r="AO43" i="10"/>
  <c r="AR43" i="10"/>
  <c r="AO44" i="10"/>
  <c r="AP44" i="10"/>
  <c r="AO45" i="10"/>
  <c r="AP45" i="10"/>
  <c r="AO4" i="10"/>
  <c r="AR4" i="10"/>
  <c r="AF53" i="10"/>
  <c r="AG53" i="10"/>
  <c r="AE53" i="10"/>
  <c r="AF52" i="10"/>
  <c r="AG52" i="10"/>
  <c r="AE52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" i="10"/>
  <c r="AG51" i="10"/>
  <c r="AF51" i="10"/>
  <c r="AE51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E4" i="10"/>
  <c r="D4" i="10"/>
  <c r="C48" i="10"/>
  <c r="AI11" i="11"/>
  <c r="AI5" i="11"/>
  <c r="AI10" i="11"/>
  <c r="AI18" i="11"/>
  <c r="AH5" i="11"/>
  <c r="AH15" i="11"/>
  <c r="AI13" i="11"/>
  <c r="AH20" i="11"/>
  <c r="AH10" i="11"/>
  <c r="AH18" i="11"/>
  <c r="AH17" i="11"/>
  <c r="AI20" i="11"/>
  <c r="AH6" i="11"/>
  <c r="AI4" i="11"/>
  <c r="AI14" i="11"/>
  <c r="AH9" i="11"/>
  <c r="AI15" i="11"/>
  <c r="AH12" i="11"/>
  <c r="AI9" i="11"/>
  <c r="AH11" i="11"/>
  <c r="AH19" i="11"/>
  <c r="AH16" i="11"/>
  <c r="AI7" i="11"/>
  <c r="AI8" i="11"/>
  <c r="AI16" i="11"/>
  <c r="AI6" i="11"/>
  <c r="AH13" i="11"/>
  <c r="AI17" i="11"/>
  <c r="AH4" i="11"/>
  <c r="AH14" i="11"/>
  <c r="AI12" i="11"/>
  <c r="AH7" i="11"/>
  <c r="AI19" i="11"/>
  <c r="AH8" i="11"/>
  <c r="AI7" i="12"/>
  <c r="AI12" i="12"/>
  <c r="AH5" i="12"/>
  <c r="AH7" i="12"/>
  <c r="AH4" i="12"/>
  <c r="AH12" i="12"/>
  <c r="AI5" i="12"/>
  <c r="AI8" i="12"/>
  <c r="AH13" i="12"/>
  <c r="AI11" i="12"/>
  <c r="AH6" i="12"/>
  <c r="AH14" i="12"/>
  <c r="AI9" i="12"/>
  <c r="AH10" i="12"/>
  <c r="AI4" i="12"/>
  <c r="AH15" i="12"/>
  <c r="AI10" i="12"/>
  <c r="AI14" i="12"/>
  <c r="AI15" i="12"/>
  <c r="AI6" i="12"/>
  <c r="AH11" i="12"/>
  <c r="AI13" i="12"/>
  <c r="AH8" i="12"/>
  <c r="AH9" i="12"/>
  <c r="AO53" i="10"/>
  <c r="AO51" i="10"/>
  <c r="AO52" i="10"/>
  <c r="AR12" i="10"/>
  <c r="AR28" i="10"/>
  <c r="AQ12" i="10"/>
  <c r="AQ35" i="10"/>
  <c r="AQ27" i="10"/>
  <c r="AR24" i="10"/>
  <c r="AR40" i="10"/>
  <c r="AQ39" i="10"/>
  <c r="AR44" i="10"/>
  <c r="AQ23" i="10"/>
  <c r="AQ11" i="10"/>
  <c r="AQ7" i="10"/>
  <c r="AQ43" i="10"/>
  <c r="AQ31" i="10"/>
  <c r="AP11" i="10"/>
  <c r="AP7" i="10"/>
  <c r="AQ4" i="10"/>
  <c r="AP42" i="10"/>
  <c r="AP30" i="10"/>
  <c r="AP26" i="10"/>
  <c r="AP14" i="10"/>
  <c r="AP6" i="10"/>
  <c r="AR45" i="10"/>
  <c r="AQ44" i="10"/>
  <c r="AP43" i="10"/>
  <c r="AQ40" i="10"/>
  <c r="AP39" i="10"/>
  <c r="AR37" i="10"/>
  <c r="AP35" i="10"/>
  <c r="AR33" i="10"/>
  <c r="AP31" i="10"/>
  <c r="AR29" i="10"/>
  <c r="AQ28" i="10"/>
  <c r="AP27" i="10"/>
  <c r="AQ24" i="10"/>
  <c r="AP23" i="10"/>
  <c r="AR17" i="10"/>
  <c r="AR13" i="10"/>
  <c r="AR9" i="10"/>
  <c r="AR5" i="10"/>
  <c r="AP4" i="10"/>
  <c r="AQ45" i="10"/>
  <c r="AR42" i="10"/>
  <c r="AQ37" i="10"/>
  <c r="AQ33" i="10"/>
  <c r="AR30" i="10"/>
  <c r="AQ29" i="10"/>
  <c r="AR26" i="10"/>
  <c r="AQ17" i="10"/>
  <c r="AR14" i="10"/>
  <c r="AQ13" i="10"/>
  <c r="AQ9" i="10"/>
  <c r="AR6" i="10"/>
  <c r="AQ5" i="10"/>
  <c r="AI7" i="10"/>
  <c r="H95" i="7"/>
  <c r="G95" i="7"/>
  <c r="I98" i="7"/>
  <c r="H98" i="7"/>
  <c r="G120" i="7"/>
  <c r="G109" i="7"/>
  <c r="H120" i="7"/>
  <c r="I109" i="7"/>
  <c r="I95" i="7"/>
  <c r="H109" i="7"/>
  <c r="G98" i="7"/>
  <c r="I120" i="7"/>
  <c r="AJ6" i="12"/>
  <c r="AL6" i="12"/>
  <c r="AK6" i="12"/>
  <c r="AJ9" i="12"/>
  <c r="AK9" i="12"/>
  <c r="AL9" i="12"/>
  <c r="AK11" i="12"/>
  <c r="AJ11" i="12"/>
  <c r="AL11" i="12"/>
  <c r="AK12" i="12"/>
  <c r="AJ12" i="12"/>
  <c r="AL12" i="12"/>
  <c r="AJ17" i="11"/>
  <c r="AL17" i="11"/>
  <c r="AK17" i="11"/>
  <c r="AK8" i="11"/>
  <c r="AJ8" i="11"/>
  <c r="AL8" i="11"/>
  <c r="AJ20" i="11"/>
  <c r="AL20" i="11"/>
  <c r="AK20" i="11"/>
  <c r="AJ18" i="11"/>
  <c r="AL18" i="11"/>
  <c r="AK18" i="11"/>
  <c r="AL15" i="12"/>
  <c r="AK15" i="12"/>
  <c r="AJ15" i="12"/>
  <c r="AL4" i="12"/>
  <c r="AJ4" i="12"/>
  <c r="AK4" i="12"/>
  <c r="AJ5" i="12"/>
  <c r="AK5" i="12"/>
  <c r="AL5" i="12"/>
  <c r="AJ7" i="12"/>
  <c r="AL7" i="12"/>
  <c r="AK7" i="12"/>
  <c r="AL12" i="11"/>
  <c r="AK12" i="11"/>
  <c r="AJ12" i="11"/>
  <c r="AI52" i="11"/>
  <c r="AK7" i="11"/>
  <c r="AK52" i="11"/>
  <c r="AL7" i="11"/>
  <c r="AL52" i="11"/>
  <c r="AJ7" i="11"/>
  <c r="AJ52" i="11"/>
  <c r="AJ9" i="11"/>
  <c r="AL9" i="11"/>
  <c r="AK9" i="11"/>
  <c r="AL14" i="11"/>
  <c r="AK14" i="11"/>
  <c r="AJ14" i="11"/>
  <c r="AL13" i="11"/>
  <c r="AK13" i="11"/>
  <c r="AJ13" i="11"/>
  <c r="AL10" i="11"/>
  <c r="AK10" i="11"/>
  <c r="AJ10" i="11"/>
  <c r="AL13" i="12"/>
  <c r="AK13" i="12"/>
  <c r="AJ13" i="12"/>
  <c r="AK14" i="12"/>
  <c r="AJ14" i="12"/>
  <c r="AL14" i="12"/>
  <c r="AL6" i="11"/>
  <c r="AJ6" i="11"/>
  <c r="AK6" i="11"/>
  <c r="AI51" i="11"/>
  <c r="AJ4" i="11"/>
  <c r="AK4" i="11"/>
  <c r="AL4" i="11"/>
  <c r="AJ5" i="11"/>
  <c r="AL5" i="11"/>
  <c r="AK5" i="11"/>
  <c r="AK10" i="12"/>
  <c r="AL10" i="12"/>
  <c r="AJ10" i="12"/>
  <c r="AJ8" i="12"/>
  <c r="AK8" i="12"/>
  <c r="AL8" i="12"/>
  <c r="AE48" i="12"/>
  <c r="AI47" i="12"/>
  <c r="AF49" i="12"/>
  <c r="AE49" i="12"/>
  <c r="AG49" i="12"/>
  <c r="AH47" i="12"/>
  <c r="AG47" i="12"/>
  <c r="AF47" i="12"/>
  <c r="AE47" i="12"/>
  <c r="AG48" i="12"/>
  <c r="AI48" i="12"/>
  <c r="AF48" i="12"/>
  <c r="AO49" i="12"/>
  <c r="AH49" i="12"/>
  <c r="AI49" i="12"/>
  <c r="AO48" i="12"/>
  <c r="AO47" i="12"/>
  <c r="AH48" i="12"/>
  <c r="AJ19" i="11"/>
  <c r="AL19" i="11"/>
  <c r="AK19" i="11"/>
  <c r="AO47" i="11"/>
  <c r="AE49" i="11"/>
  <c r="AF49" i="11"/>
  <c r="AH47" i="11"/>
  <c r="AG47" i="11"/>
  <c r="AF47" i="11"/>
  <c r="AE47" i="11"/>
  <c r="AO49" i="11"/>
  <c r="AI48" i="11"/>
  <c r="AO48" i="11"/>
  <c r="AH51" i="11"/>
  <c r="AH49" i="11"/>
  <c r="AF48" i="11"/>
  <c r="AG48" i="11"/>
  <c r="AG49" i="11"/>
  <c r="AE48" i="11"/>
  <c r="AH48" i="11"/>
  <c r="AI49" i="11"/>
  <c r="AI47" i="11"/>
  <c r="AL16" i="11"/>
  <c r="AK16" i="11"/>
  <c r="AJ16" i="11"/>
  <c r="AJ15" i="11"/>
  <c r="AL15" i="11"/>
  <c r="AK15" i="11"/>
  <c r="AJ11" i="11"/>
  <c r="AL11" i="11"/>
  <c r="AK11" i="11"/>
  <c r="AL7" i="10"/>
  <c r="AJ7" i="10"/>
  <c r="AP52" i="10"/>
  <c r="AK7" i="10"/>
  <c r="AH35" i="10"/>
  <c r="AI17" i="10"/>
  <c r="AH44" i="10"/>
  <c r="AI40" i="10"/>
  <c r="AH12" i="10"/>
  <c r="AH19" i="10"/>
  <c r="AI8" i="10"/>
  <c r="AH28" i="10"/>
  <c r="AI10" i="10"/>
  <c r="AI35" i="10"/>
  <c r="AH30" i="10"/>
  <c r="AH21" i="10"/>
  <c r="AI45" i="10"/>
  <c r="AI42" i="10"/>
  <c r="AH4" i="10"/>
  <c r="AH20" i="10"/>
  <c r="AH36" i="10"/>
  <c r="AH11" i="10"/>
  <c r="AH27" i="10"/>
  <c r="AH43" i="10"/>
  <c r="AI33" i="10"/>
  <c r="AI4" i="10"/>
  <c r="AI24" i="10"/>
  <c r="AI14" i="10"/>
  <c r="AI19" i="10"/>
  <c r="AH14" i="10"/>
  <c r="AH5" i="10"/>
  <c r="AH53" i="10"/>
  <c r="AH37" i="10"/>
  <c r="AI13" i="10"/>
  <c r="AI36" i="10"/>
  <c r="AI31" i="10"/>
  <c r="AH6" i="10"/>
  <c r="AH22" i="10"/>
  <c r="AH38" i="10"/>
  <c r="AH13" i="10"/>
  <c r="AH29" i="10"/>
  <c r="AH45" i="10"/>
  <c r="AI29" i="10"/>
  <c r="AI30" i="10"/>
  <c r="AI20" i="10"/>
  <c r="AI6" i="10"/>
  <c r="AI15" i="10"/>
  <c r="AH8" i="10"/>
  <c r="AH16" i="10"/>
  <c r="AH24" i="10"/>
  <c r="AH32" i="10"/>
  <c r="AH40" i="10"/>
  <c r="AH7" i="10"/>
  <c r="AH52" i="10"/>
  <c r="AH15" i="10"/>
  <c r="AH23" i="10"/>
  <c r="AH31" i="10"/>
  <c r="AH39" i="10"/>
  <c r="AI38" i="10"/>
  <c r="AI41" i="10"/>
  <c r="AI25" i="10"/>
  <c r="AI9" i="10"/>
  <c r="AI18" i="10"/>
  <c r="AI32" i="10"/>
  <c r="AI16" i="10"/>
  <c r="AI34" i="10"/>
  <c r="AI43" i="10"/>
  <c r="AI27" i="10"/>
  <c r="AI11" i="10"/>
  <c r="AH10" i="10"/>
  <c r="AH18" i="10"/>
  <c r="AH26" i="10"/>
  <c r="AH34" i="10"/>
  <c r="AH42" i="10"/>
  <c r="AH9" i="10"/>
  <c r="AH17" i="10"/>
  <c r="AH25" i="10"/>
  <c r="AH33" i="10"/>
  <c r="AH41" i="10"/>
  <c r="AI22" i="10"/>
  <c r="AI37" i="10"/>
  <c r="AI21" i="10"/>
  <c r="AI5" i="10"/>
  <c r="AI44" i="10"/>
  <c r="AI28" i="10"/>
  <c r="AI12" i="10"/>
  <c r="AI26" i="10"/>
  <c r="AI39" i="10"/>
  <c r="AI23" i="10"/>
  <c r="AI52" i="10"/>
  <c r="H94" i="7"/>
  <c r="H92" i="7"/>
  <c r="H122" i="7"/>
  <c r="I92" i="7"/>
  <c r="AP47" i="11"/>
  <c r="AK51" i="11"/>
  <c r="AQ51" i="11"/>
  <c r="AK49" i="11"/>
  <c r="AK47" i="11"/>
  <c r="AK48" i="11"/>
  <c r="AQ48" i="11"/>
  <c r="AQ49" i="11"/>
  <c r="AQ47" i="11"/>
  <c r="AJ51" i="11"/>
  <c r="AP51" i="11"/>
  <c r="AP49" i="11"/>
  <c r="AJ48" i="11"/>
  <c r="AP48" i="11"/>
  <c r="AJ47" i="11"/>
  <c r="AJ49" i="11"/>
  <c r="AP47" i="12"/>
  <c r="AP49" i="12"/>
  <c r="AJ47" i="12"/>
  <c r="AP48" i="12"/>
  <c r="AJ49" i="12"/>
  <c r="AJ48" i="12"/>
  <c r="AR48" i="12"/>
  <c r="AR47" i="12"/>
  <c r="AL48" i="12"/>
  <c r="AR49" i="12"/>
  <c r="AL47" i="12"/>
  <c r="AL49" i="12"/>
  <c r="AL51" i="11"/>
  <c r="AL48" i="11"/>
  <c r="AR51" i="11"/>
  <c r="AR49" i="11"/>
  <c r="AR47" i="11"/>
  <c r="AR48" i="11"/>
  <c r="AL47" i="11"/>
  <c r="AL49" i="11"/>
  <c r="AK48" i="12"/>
  <c r="AQ49" i="12"/>
  <c r="AK49" i="12"/>
  <c r="AK47" i="12"/>
  <c r="AQ47" i="12"/>
  <c r="AQ48" i="12"/>
  <c r="AH48" i="10"/>
  <c r="AH51" i="10"/>
  <c r="AH47" i="10"/>
  <c r="AH50" i="10"/>
  <c r="AH49" i="10"/>
  <c r="AF50" i="10"/>
  <c r="AO49" i="10"/>
  <c r="AI49" i="10"/>
  <c r="AF48" i="10"/>
  <c r="AE47" i="10"/>
  <c r="AE49" i="10"/>
  <c r="AE50" i="10"/>
  <c r="AG49" i="10"/>
  <c r="AE48" i="10"/>
  <c r="AO47" i="10"/>
  <c r="AI47" i="10"/>
  <c r="AO50" i="10"/>
  <c r="AI50" i="10"/>
  <c r="AF49" i="10"/>
  <c r="AO48" i="10"/>
  <c r="AI48" i="10"/>
  <c r="AG47" i="10"/>
  <c r="AG50" i="10"/>
  <c r="AG48" i="10"/>
  <c r="AF47" i="10"/>
  <c r="AI51" i="10"/>
  <c r="AJ52" i="10"/>
  <c r="AK52" i="10"/>
  <c r="AQ52" i="10"/>
  <c r="AL52" i="10"/>
  <c r="AR52" i="10"/>
  <c r="AJ5" i="10"/>
  <c r="AK5" i="10"/>
  <c r="AL5" i="10"/>
  <c r="AK38" i="10"/>
  <c r="AL38" i="10"/>
  <c r="AJ38" i="10"/>
  <c r="AJ33" i="10"/>
  <c r="AK33" i="10"/>
  <c r="AL33" i="10"/>
  <c r="AK10" i="10"/>
  <c r="AL10" i="10"/>
  <c r="AJ10" i="10"/>
  <c r="AJ12" i="10"/>
  <c r="AK12" i="10"/>
  <c r="AL12" i="10"/>
  <c r="AJ21" i="10"/>
  <c r="AK21" i="10"/>
  <c r="AL21" i="10"/>
  <c r="AK34" i="10"/>
  <c r="AJ34" i="10"/>
  <c r="AL34" i="10"/>
  <c r="AJ9" i="10"/>
  <c r="AK9" i="10"/>
  <c r="AL9" i="10"/>
  <c r="AJ20" i="10"/>
  <c r="AK20" i="10"/>
  <c r="AL20" i="10"/>
  <c r="AK14" i="10"/>
  <c r="AL14" i="10"/>
  <c r="AJ14" i="10"/>
  <c r="AJ40" i="10"/>
  <c r="AK40" i="10"/>
  <c r="AL40" i="10"/>
  <c r="AK26" i="10"/>
  <c r="AL26" i="10"/>
  <c r="AJ26" i="10"/>
  <c r="AL43" i="10"/>
  <c r="AJ43" i="10"/>
  <c r="AK43" i="10"/>
  <c r="AK6" i="10"/>
  <c r="AL6" i="10"/>
  <c r="AJ6" i="10"/>
  <c r="AL19" i="10"/>
  <c r="AJ19" i="10"/>
  <c r="AK19" i="10"/>
  <c r="AJ45" i="10"/>
  <c r="AK45" i="10"/>
  <c r="AL45" i="10"/>
  <c r="AL23" i="10"/>
  <c r="AK23" i="10"/>
  <c r="AJ23" i="10"/>
  <c r="AL28" i="10"/>
  <c r="AJ28" i="10"/>
  <c r="AK28" i="10"/>
  <c r="AJ37" i="10"/>
  <c r="AK37" i="10"/>
  <c r="AL37" i="10"/>
  <c r="AL11" i="10"/>
  <c r="AJ11" i="10"/>
  <c r="AK11" i="10"/>
  <c r="AJ16" i="10"/>
  <c r="AK16" i="10"/>
  <c r="AL16" i="10"/>
  <c r="AJ25" i="10"/>
  <c r="AK25" i="10"/>
  <c r="AL25" i="10"/>
  <c r="AK30" i="10"/>
  <c r="AL30" i="10"/>
  <c r="AJ30" i="10"/>
  <c r="AL31" i="10"/>
  <c r="AK31" i="10"/>
  <c r="AJ31" i="10"/>
  <c r="AJ24" i="10"/>
  <c r="AK24" i="10"/>
  <c r="AL24" i="10"/>
  <c r="AJ8" i="10"/>
  <c r="AK8" i="10"/>
  <c r="AL8" i="10"/>
  <c r="AK18" i="10"/>
  <c r="AL18" i="10"/>
  <c r="AJ18" i="10"/>
  <c r="AJ13" i="10"/>
  <c r="AK13" i="10"/>
  <c r="AL13" i="10"/>
  <c r="AI53" i="10"/>
  <c r="AL39" i="10"/>
  <c r="AK39" i="10"/>
  <c r="AJ39" i="10"/>
  <c r="AL44" i="10"/>
  <c r="AJ44" i="10"/>
  <c r="AK44" i="10"/>
  <c r="AK22" i="10"/>
  <c r="AL22" i="10"/>
  <c r="AJ22" i="10"/>
  <c r="AL27" i="10"/>
  <c r="AJ27" i="10"/>
  <c r="AK27" i="10"/>
  <c r="AJ32" i="10"/>
  <c r="AK32" i="10"/>
  <c r="AL32" i="10"/>
  <c r="AJ41" i="10"/>
  <c r="AK41" i="10"/>
  <c r="AL41" i="10"/>
  <c r="AL15" i="10"/>
  <c r="AJ15" i="10"/>
  <c r="AK15" i="10"/>
  <c r="AJ29" i="10"/>
  <c r="AK29" i="10"/>
  <c r="AL29" i="10"/>
  <c r="AL36" i="10"/>
  <c r="AJ36" i="10"/>
  <c r="AK36" i="10"/>
  <c r="AK42" i="10"/>
  <c r="AJ42" i="10"/>
  <c r="AL42" i="10"/>
  <c r="AL35" i="10"/>
  <c r="AJ35" i="10"/>
  <c r="AK35" i="10"/>
  <c r="AJ17" i="10"/>
  <c r="AK17" i="10"/>
  <c r="AL17" i="10"/>
  <c r="AK4" i="10"/>
  <c r="AL4" i="10"/>
  <c r="AJ4" i="10"/>
  <c r="E95" i="7"/>
  <c r="E94" i="7"/>
  <c r="D18" i="7"/>
  <c r="I94" i="7"/>
  <c r="E92" i="7"/>
  <c r="H100" i="7"/>
  <c r="D120" i="7"/>
  <c r="H110" i="7"/>
  <c r="F109" i="7"/>
  <c r="F17" i="7"/>
  <c r="E120" i="7"/>
  <c r="F120" i="7"/>
  <c r="D95" i="7"/>
  <c r="E109" i="7"/>
  <c r="D98" i="7"/>
  <c r="G92" i="7"/>
  <c r="F94" i="7"/>
  <c r="E22" i="7"/>
  <c r="H121" i="7"/>
  <c r="E17" i="7"/>
  <c r="E98" i="7"/>
  <c r="F18" i="7"/>
  <c r="D109" i="7"/>
  <c r="D19" i="7"/>
  <c r="F95" i="7"/>
  <c r="F98" i="7"/>
  <c r="F19" i="7"/>
  <c r="D22" i="7"/>
  <c r="H111" i="7"/>
  <c r="D17" i="7"/>
  <c r="F92" i="7"/>
  <c r="E18" i="7"/>
  <c r="H99" i="7"/>
  <c r="D92" i="7"/>
  <c r="D94" i="7"/>
  <c r="E19" i="7"/>
  <c r="G94" i="7"/>
  <c r="F22" i="7"/>
  <c r="AK48" i="10"/>
  <c r="AR48" i="10"/>
  <c r="AJ47" i="10"/>
  <c r="AQ47" i="10"/>
  <c r="AR50" i="10"/>
  <c r="AL47" i="10"/>
  <c r="AJ49" i="10"/>
  <c r="AP49" i="10"/>
  <c r="AQ48" i="10"/>
  <c r="AP48" i="10"/>
  <c r="AL48" i="10"/>
  <c r="AJ50" i="10"/>
  <c r="AR49" i="10"/>
  <c r="AK49" i="10"/>
  <c r="AP50" i="10"/>
  <c r="AJ48" i="10"/>
  <c r="AL49" i="10"/>
  <c r="AQ50" i="10"/>
  <c r="AK50" i="10"/>
  <c r="AQ49" i="10"/>
  <c r="AR47" i="10"/>
  <c r="AP47" i="10"/>
  <c r="AK47" i="10"/>
  <c r="AL50" i="10"/>
  <c r="AL51" i="10"/>
  <c r="AR51" i="10"/>
  <c r="AL53" i="10"/>
  <c r="AR53" i="10"/>
  <c r="AJ51" i="10"/>
  <c r="AP51" i="10"/>
  <c r="AK51" i="10"/>
  <c r="AQ51" i="10"/>
  <c r="AK53" i="10"/>
  <c r="AQ53" i="10"/>
  <c r="AJ53" i="10"/>
  <c r="AP53" i="10"/>
  <c r="D99" i="7"/>
  <c r="I99" i="7"/>
  <c r="E99" i="7"/>
  <c r="G122" i="7"/>
  <c r="I110" i="7"/>
  <c r="E20" i="7"/>
  <c r="D23" i="7"/>
  <c r="E100" i="7"/>
  <c r="I122" i="7"/>
  <c r="F20" i="7"/>
  <c r="F122" i="7"/>
  <c r="D110" i="7"/>
  <c r="F121" i="7"/>
  <c r="G110" i="7"/>
  <c r="E110" i="7"/>
  <c r="G111" i="7"/>
  <c r="F23" i="7"/>
  <c r="G100" i="7"/>
  <c r="F111" i="7"/>
  <c r="D111" i="7"/>
  <c r="F100" i="7"/>
  <c r="I100" i="7"/>
  <c r="G99" i="7"/>
  <c r="E121" i="7"/>
  <c r="E122" i="7"/>
  <c r="F110" i="7"/>
  <c r="E111" i="7"/>
  <c r="D100" i="7"/>
  <c r="E23" i="7"/>
  <c r="I121" i="7"/>
  <c r="I111" i="7"/>
  <c r="D122" i="7"/>
  <c r="F99" i="7"/>
  <c r="D20" i="7"/>
  <c r="D121" i="7"/>
  <c r="G121" i="7"/>
  <c r="I5" i="4"/>
  <c r="I3" i="4"/>
  <c r="AX13" i="12"/>
  <c r="AZ12" i="12"/>
  <c r="AU12" i="12"/>
  <c r="AX11" i="12"/>
  <c r="AZ10" i="12"/>
  <c r="AU10" i="12"/>
  <c r="AX9" i="12"/>
  <c r="AZ8" i="12"/>
  <c r="AU8" i="12"/>
  <c r="AZ7" i="12"/>
  <c r="AU7" i="12"/>
  <c r="AX6" i="12"/>
  <c r="AZ5" i="12"/>
  <c r="AU5" i="12"/>
  <c r="AX4" i="12"/>
  <c r="AY20" i="11"/>
  <c r="AT20" i="11"/>
  <c r="AY19" i="11"/>
  <c r="AT19" i="11"/>
  <c r="AY18" i="11"/>
  <c r="AT18" i="11"/>
  <c r="AY17" i="11"/>
  <c r="AT17" i="11"/>
  <c r="AV16" i="11"/>
  <c r="AY15" i="11"/>
  <c r="AT15" i="11"/>
  <c r="AV14" i="11"/>
  <c r="AY13" i="11"/>
  <c r="AT13" i="11"/>
  <c r="AV12" i="11"/>
  <c r="AY11" i="11"/>
  <c r="AT11" i="11"/>
  <c r="AV10" i="11"/>
  <c r="AY9" i="11"/>
  <c r="AT9" i="11"/>
  <c r="AV8" i="11"/>
  <c r="AY7" i="11"/>
  <c r="AT7" i="11"/>
  <c r="AZ6" i="11"/>
  <c r="AU6" i="11"/>
  <c r="AX5" i="11"/>
  <c r="AY4" i="11"/>
  <c r="AT4" i="11"/>
  <c r="AT13" i="12"/>
  <c r="AT11" i="12"/>
  <c r="AV10" i="12"/>
  <c r="AY9" i="12"/>
  <c r="AY6" i="12"/>
  <c r="AT4" i="12"/>
  <c r="AZ19" i="11"/>
  <c r="AU17" i="11"/>
  <c r="AU15" i="11"/>
  <c r="AU13" i="11"/>
  <c r="AU9" i="11"/>
  <c r="AU7" i="11"/>
  <c r="AV6" i="11"/>
  <c r="AZ4" i="11"/>
  <c r="AV13" i="12"/>
  <c r="AY12" i="12"/>
  <c r="AT12" i="12"/>
  <c r="AV11" i="12"/>
  <c r="AY10" i="12"/>
  <c r="AT10" i="12"/>
  <c r="AV9" i="12"/>
  <c r="AY8" i="12"/>
  <c r="AT8" i="12"/>
  <c r="AY7" i="12"/>
  <c r="AT7" i="12"/>
  <c r="AV6" i="12"/>
  <c r="AY5" i="12"/>
  <c r="AT5" i="12"/>
  <c r="AV4" i="12"/>
  <c r="AX20" i="11"/>
  <c r="AX19" i="11"/>
  <c r="AX18" i="11"/>
  <c r="AX17" i="11"/>
  <c r="AZ16" i="11"/>
  <c r="AU16" i="11"/>
  <c r="AX15" i="11"/>
  <c r="AZ14" i="11"/>
  <c r="AU14" i="11"/>
  <c r="AX13" i="11"/>
  <c r="AZ12" i="11"/>
  <c r="AU12" i="11"/>
  <c r="AX11" i="11"/>
  <c r="AZ10" i="11"/>
  <c r="AU10" i="11"/>
  <c r="AX9" i="11"/>
  <c r="AZ8" i="11"/>
  <c r="AU8" i="11"/>
  <c r="AX7" i="11"/>
  <c r="AY6" i="11"/>
  <c r="AT6" i="11"/>
  <c r="AV5" i="11"/>
  <c r="AX4" i="11"/>
  <c r="AV7" i="12"/>
  <c r="AZ20" i="11"/>
  <c r="AU19" i="11"/>
  <c r="AZ18" i="11"/>
  <c r="AX16" i="11"/>
  <c r="AZ13" i="11"/>
  <c r="AU11" i="11"/>
  <c r="AZ9" i="11"/>
  <c r="AY5" i="11"/>
  <c r="AZ13" i="12"/>
  <c r="AU13" i="12"/>
  <c r="AX12" i="12"/>
  <c r="AZ11" i="12"/>
  <c r="AU11" i="12"/>
  <c r="AX10" i="12"/>
  <c r="AZ9" i="12"/>
  <c r="AU9" i="12"/>
  <c r="AX8" i="12"/>
  <c r="AX7" i="12"/>
  <c r="AZ6" i="12"/>
  <c r="AU6" i="12"/>
  <c r="AX5" i="12"/>
  <c r="AZ4" i="12"/>
  <c r="AU4" i="12"/>
  <c r="AV20" i="11"/>
  <c r="AV19" i="11"/>
  <c r="AV18" i="11"/>
  <c r="AV17" i="11"/>
  <c r="AY16" i="11"/>
  <c r="AT16" i="11"/>
  <c r="AV15" i="11"/>
  <c r="AY14" i="11"/>
  <c r="AT14" i="11"/>
  <c r="AV13" i="11"/>
  <c r="AY12" i="11"/>
  <c r="AT12" i="11"/>
  <c r="AV11" i="11"/>
  <c r="AY10" i="11"/>
  <c r="AT10" i="11"/>
  <c r="AV9" i="11"/>
  <c r="AY8" i="11"/>
  <c r="AT8" i="11"/>
  <c r="AV7" i="11"/>
  <c r="AX6" i="11"/>
  <c r="AZ5" i="11"/>
  <c r="AU5" i="11"/>
  <c r="AV4" i="11"/>
  <c r="AY13" i="12"/>
  <c r="AV12" i="12"/>
  <c r="AY11" i="12"/>
  <c r="AT9" i="12"/>
  <c r="AV8" i="12"/>
  <c r="AT6" i="12"/>
  <c r="AV5" i="12"/>
  <c r="AY4" i="12"/>
  <c r="AU20" i="11"/>
  <c r="AU18" i="11"/>
  <c r="AZ17" i="11"/>
  <c r="AZ15" i="11"/>
  <c r="AX14" i="11"/>
  <c r="AX12" i="11"/>
  <c r="AZ11" i="11"/>
  <c r="AX10" i="11"/>
  <c r="AX8" i="11"/>
  <c r="AZ7" i="11"/>
  <c r="AT5" i="11"/>
  <c r="AU4" i="11"/>
  <c r="AT5" i="10"/>
  <c r="AT53" i="10"/>
  <c r="AU6" i="10"/>
  <c r="AV7" i="10"/>
  <c r="AV52" i="10"/>
  <c r="AT9" i="10"/>
  <c r="AU10" i="10"/>
  <c r="AV11" i="10"/>
  <c r="AT13" i="10"/>
  <c r="AU14" i="10"/>
  <c r="AV15" i="10"/>
  <c r="AT17" i="10"/>
  <c r="AU18" i="10"/>
  <c r="AV19" i="10"/>
  <c r="AT21" i="10"/>
  <c r="AU22" i="10"/>
  <c r="AV23" i="10"/>
  <c r="AT25" i="10"/>
  <c r="AU26" i="10"/>
  <c r="AV27" i="10"/>
  <c r="AT29" i="10"/>
  <c r="AU30" i="10"/>
  <c r="AV31" i="10"/>
  <c r="AT33" i="10"/>
  <c r="AU34" i="10"/>
  <c r="AV35" i="10"/>
  <c r="AT37" i="10"/>
  <c r="AU38" i="10"/>
  <c r="AV39" i="10"/>
  <c r="AT41" i="10"/>
  <c r="AU42" i="10"/>
  <c r="AV43" i="10"/>
  <c r="AT45" i="10"/>
  <c r="AV4" i="10"/>
  <c r="AV5" i="10"/>
  <c r="AV53" i="10"/>
  <c r="AV9" i="10"/>
  <c r="AU12" i="10"/>
  <c r="AV13" i="10"/>
  <c r="AU16" i="10"/>
  <c r="AT19" i="10"/>
  <c r="AU20" i="10"/>
  <c r="AT23" i="10"/>
  <c r="AV25" i="10"/>
  <c r="AU28" i="10"/>
  <c r="AU32" i="10"/>
  <c r="AT35" i="10"/>
  <c r="AV37" i="10"/>
  <c r="AT39" i="10"/>
  <c r="AV41" i="10"/>
  <c r="AU44" i="10"/>
  <c r="AU7" i="10"/>
  <c r="AU52" i="10"/>
  <c r="AU11" i="10"/>
  <c r="AT14" i="10"/>
  <c r="AV16" i="10"/>
  <c r="AU19" i="10"/>
  <c r="AU23" i="10"/>
  <c r="AT26" i="10"/>
  <c r="AV28" i="10"/>
  <c r="AU31" i="10"/>
  <c r="AT34" i="10"/>
  <c r="AV36" i="10"/>
  <c r="AU39" i="10"/>
  <c r="AT42" i="10"/>
  <c r="AV44" i="10"/>
  <c r="AU5" i="10"/>
  <c r="AU53" i="10"/>
  <c r="AV6" i="10"/>
  <c r="AT8" i="10"/>
  <c r="AU9" i="10"/>
  <c r="AV10" i="10"/>
  <c r="AT12" i="10"/>
  <c r="AU13" i="10"/>
  <c r="AV14" i="10"/>
  <c r="AT16" i="10"/>
  <c r="AU17" i="10"/>
  <c r="AV18" i="10"/>
  <c r="AT20" i="10"/>
  <c r="AU21" i="10"/>
  <c r="AV22" i="10"/>
  <c r="AT24" i="10"/>
  <c r="AU25" i="10"/>
  <c r="AV26" i="10"/>
  <c r="AT28" i="10"/>
  <c r="AU29" i="10"/>
  <c r="AV30" i="10"/>
  <c r="AT32" i="10"/>
  <c r="AU33" i="10"/>
  <c r="AV34" i="10"/>
  <c r="AT36" i="10"/>
  <c r="AU37" i="10"/>
  <c r="AV38" i="10"/>
  <c r="AT40" i="10"/>
  <c r="AU41" i="10"/>
  <c r="AV42" i="10"/>
  <c r="AT44" i="10"/>
  <c r="AU45" i="10"/>
  <c r="AT4" i="10"/>
  <c r="AT7" i="10"/>
  <c r="AT52" i="10"/>
  <c r="AU8" i="10"/>
  <c r="AT11" i="10"/>
  <c r="AT15" i="10"/>
  <c r="AV17" i="10"/>
  <c r="AV21" i="10"/>
  <c r="AU24" i="10"/>
  <c r="AT27" i="10"/>
  <c r="AV29" i="10"/>
  <c r="AT31" i="10"/>
  <c r="AV33" i="10"/>
  <c r="AU36" i="10"/>
  <c r="AU40" i="10"/>
  <c r="AT43" i="10"/>
  <c r="AV45" i="10"/>
  <c r="AT6" i="10"/>
  <c r="AV8" i="10"/>
  <c r="AT10" i="10"/>
  <c r="AV12" i="10"/>
  <c r="AU15" i="10"/>
  <c r="AT18" i="10"/>
  <c r="AV20" i="10"/>
  <c r="AT22" i="10"/>
  <c r="AV24" i="10"/>
  <c r="AU27" i="10"/>
  <c r="AT30" i="10"/>
  <c r="AV32" i="10"/>
  <c r="AU35" i="10"/>
  <c r="AT38" i="10"/>
  <c r="AV40" i="10"/>
  <c r="AU43" i="10"/>
  <c r="AU4" i="10"/>
  <c r="AY5" i="10"/>
  <c r="AY53" i="10"/>
  <c r="AZ6" i="10"/>
  <c r="AX8" i="10"/>
  <c r="AY9" i="10"/>
  <c r="AZ10" i="10"/>
  <c r="AX12" i="10"/>
  <c r="AY13" i="10"/>
  <c r="AZ14" i="10"/>
  <c r="AX16" i="10"/>
  <c r="AY17" i="10"/>
  <c r="AZ18" i="10"/>
  <c r="AX20" i="10"/>
  <c r="AY21" i="10"/>
  <c r="AZ22" i="10"/>
  <c r="AX24" i="10"/>
  <c r="AY25" i="10"/>
  <c r="AZ26" i="10"/>
  <c r="AX28" i="10"/>
  <c r="AY29" i="10"/>
  <c r="AZ30" i="10"/>
  <c r="AX32" i="10"/>
  <c r="AY33" i="10"/>
  <c r="AZ34" i="10"/>
  <c r="AX36" i="10"/>
  <c r="AY37" i="10"/>
  <c r="AZ38" i="10"/>
  <c r="AX40" i="10"/>
  <c r="AY41" i="10"/>
  <c r="AZ42" i="10"/>
  <c r="AX44" i="10"/>
  <c r="AY45" i="10"/>
  <c r="AX4" i="10"/>
  <c r="AZ5" i="10"/>
  <c r="AZ53" i="10"/>
  <c r="AX7" i="10"/>
  <c r="AX52" i="10"/>
  <c r="AY8" i="10"/>
  <c r="AZ9" i="10"/>
  <c r="AX11" i="10"/>
  <c r="AY12" i="10"/>
  <c r="AZ13" i="10"/>
  <c r="AX15" i="10"/>
  <c r="AY16" i="10"/>
  <c r="AZ17" i="10"/>
  <c r="AX19" i="10"/>
  <c r="AY20" i="10"/>
  <c r="AZ21" i="10"/>
  <c r="AX23" i="10"/>
  <c r="AY24" i="10"/>
  <c r="AZ25" i="10"/>
  <c r="AX27" i="10"/>
  <c r="AY28" i="10"/>
  <c r="AZ29" i="10"/>
  <c r="AX31" i="10"/>
  <c r="AY32" i="10"/>
  <c r="AZ33" i="10"/>
  <c r="AX35" i="10"/>
  <c r="AY36" i="10"/>
  <c r="AZ37" i="10"/>
  <c r="AX39" i="10"/>
  <c r="AY40" i="10"/>
  <c r="AZ41" i="10"/>
  <c r="AX43" i="10"/>
  <c r="AY44" i="10"/>
  <c r="AZ45" i="10"/>
  <c r="AX6" i="10"/>
  <c r="AY7" i="10"/>
  <c r="AY52" i="10"/>
  <c r="AZ8" i="10"/>
  <c r="AX10" i="10"/>
  <c r="AY11" i="10"/>
  <c r="AZ12" i="10"/>
  <c r="AX14" i="10"/>
  <c r="AY15" i="10"/>
  <c r="AZ16" i="10"/>
  <c r="AX18" i="10"/>
  <c r="AY19" i="10"/>
  <c r="AZ20" i="10"/>
  <c r="AX22" i="10"/>
  <c r="AY23" i="10"/>
  <c r="AZ24" i="10"/>
  <c r="AX26" i="10"/>
  <c r="AY27" i="10"/>
  <c r="AZ28" i="10"/>
  <c r="AX30" i="10"/>
  <c r="AY31" i="10"/>
  <c r="AZ32" i="10"/>
  <c r="AX34" i="10"/>
  <c r="AY35" i="10"/>
  <c r="AZ36" i="10"/>
  <c r="AX38" i="10"/>
  <c r="AY39" i="10"/>
  <c r="AZ40" i="10"/>
  <c r="AX42" i="10"/>
  <c r="AY43" i="10"/>
  <c r="AZ44" i="10"/>
  <c r="AY4" i="10"/>
  <c r="AX5" i="10"/>
  <c r="AX53" i="10"/>
  <c r="AY6" i="10"/>
  <c r="AZ7" i="10"/>
  <c r="AZ52" i="10"/>
  <c r="AX9" i="10"/>
  <c r="AY10" i="10"/>
  <c r="AZ11" i="10"/>
  <c r="AX13" i="10"/>
  <c r="AY14" i="10"/>
  <c r="AZ15" i="10"/>
  <c r="AX17" i="10"/>
  <c r="AY18" i="10"/>
  <c r="AZ19" i="10"/>
  <c r="AX21" i="10"/>
  <c r="AY22" i="10"/>
  <c r="AZ23" i="10"/>
  <c r="AX25" i="10"/>
  <c r="AY26" i="10"/>
  <c r="AZ27" i="10"/>
  <c r="AX29" i="10"/>
  <c r="AY30" i="10"/>
  <c r="AZ31" i="10"/>
  <c r="AX33" i="10"/>
  <c r="AY34" i="10"/>
  <c r="AZ35" i="10"/>
  <c r="AX37" i="10"/>
  <c r="AY38" i="10"/>
  <c r="AZ39" i="10"/>
  <c r="AX41" i="10"/>
  <c r="AY42" i="10"/>
  <c r="AZ43" i="10"/>
  <c r="AX45" i="10"/>
  <c r="AZ4" i="10"/>
  <c r="H116" i="7"/>
  <c r="I105" i="7"/>
  <c r="H127" i="7"/>
  <c r="I102" i="7"/>
  <c r="I113" i="7"/>
  <c r="H102" i="7"/>
  <c r="H113" i="7"/>
  <c r="H124" i="7"/>
  <c r="I127" i="7"/>
  <c r="I116" i="7"/>
  <c r="H105" i="7"/>
  <c r="I124" i="7"/>
  <c r="AV48" i="12"/>
  <c r="AV49" i="12"/>
  <c r="AV47" i="12"/>
  <c r="I125" i="7"/>
  <c r="H106" i="7"/>
  <c r="I117" i="7"/>
  <c r="I128" i="7"/>
  <c r="AU49" i="12"/>
  <c r="AU47" i="12"/>
  <c r="AU48" i="12"/>
  <c r="AX51" i="11"/>
  <c r="AX49" i="11"/>
  <c r="AX47" i="11"/>
  <c r="AX48" i="11"/>
  <c r="AT51" i="11"/>
  <c r="AT47" i="11"/>
  <c r="AT49" i="11"/>
  <c r="AT48" i="11"/>
  <c r="AX47" i="12"/>
  <c r="AX49" i="12"/>
  <c r="AX48" i="12"/>
  <c r="AU51" i="11"/>
  <c r="AU47" i="11"/>
  <c r="AU48" i="11"/>
  <c r="AU49" i="11"/>
  <c r="AY48" i="12"/>
  <c r="AY49" i="12"/>
  <c r="AY47" i="12"/>
  <c r="AV51" i="11"/>
  <c r="AV47" i="11"/>
  <c r="AV49" i="11"/>
  <c r="AV48" i="11"/>
  <c r="AZ49" i="12"/>
  <c r="AZ48" i="12"/>
  <c r="AZ47" i="12"/>
  <c r="AY51" i="11"/>
  <c r="AY48" i="11"/>
  <c r="AY49" i="11"/>
  <c r="AY47" i="11"/>
  <c r="H125" i="7"/>
  <c r="H114" i="7"/>
  <c r="H103" i="7"/>
  <c r="I114" i="7"/>
  <c r="I103" i="7"/>
  <c r="H128" i="7"/>
  <c r="I106" i="7"/>
  <c r="H117" i="7"/>
  <c r="AZ51" i="11"/>
  <c r="AZ49" i="11"/>
  <c r="AZ47" i="11"/>
  <c r="AZ48" i="11"/>
  <c r="AT47" i="12"/>
  <c r="AT49" i="12"/>
  <c r="AT48" i="12"/>
  <c r="AU51" i="10"/>
  <c r="AU50" i="10"/>
  <c r="AU48" i="10"/>
  <c r="AU47" i="10"/>
  <c r="AU49" i="10"/>
  <c r="AT51" i="10"/>
  <c r="AT50" i="10"/>
  <c r="AT48" i="10"/>
  <c r="AT49" i="10"/>
  <c r="AT47" i="10"/>
  <c r="AV51" i="10"/>
  <c r="AV50" i="10"/>
  <c r="AV49" i="10"/>
  <c r="AV47" i="10"/>
  <c r="AV48" i="10"/>
  <c r="AX51" i="10"/>
  <c r="AX48" i="10"/>
  <c r="AX49" i="10"/>
  <c r="AX47" i="10"/>
  <c r="AX50" i="10"/>
  <c r="AY51" i="10"/>
  <c r="AY48" i="10"/>
  <c r="AY49" i="10"/>
  <c r="AY50" i="10"/>
  <c r="AY47" i="10"/>
  <c r="AZ51" i="10"/>
  <c r="AZ48" i="10"/>
  <c r="AZ47" i="10"/>
  <c r="AZ49" i="10"/>
  <c r="AZ50" i="10"/>
  <c r="G116" i="7"/>
  <c r="G127" i="7"/>
  <c r="G113" i="7"/>
  <c r="G124" i="7"/>
  <c r="G105" i="7"/>
  <c r="G102" i="7"/>
  <c r="D102" i="7"/>
  <c r="E124" i="7"/>
  <c r="E25" i="7"/>
  <c r="F113" i="7"/>
  <c r="F124" i="7"/>
  <c r="E116" i="7"/>
  <c r="D105" i="7"/>
  <c r="E102" i="7"/>
  <c r="D28" i="7"/>
  <c r="E113" i="7"/>
  <c r="E28" i="7"/>
  <c r="D113" i="7"/>
  <c r="F25" i="7"/>
  <c r="D124" i="7"/>
  <c r="D116" i="7"/>
  <c r="F116" i="7"/>
  <c r="F105" i="7"/>
  <c r="F102" i="7"/>
  <c r="E105" i="7"/>
  <c r="F127" i="7"/>
  <c r="D127" i="7"/>
  <c r="F28" i="7"/>
  <c r="D25" i="7"/>
  <c r="E127" i="7"/>
  <c r="G103" i="7"/>
  <c r="G106" i="7"/>
  <c r="G125" i="7"/>
  <c r="G114" i="7"/>
  <c r="G128" i="7"/>
  <c r="G117" i="7"/>
  <c r="E114" i="7"/>
  <c r="E117" i="7"/>
  <c r="E128" i="7"/>
  <c r="F26" i="7"/>
  <c r="F29" i="7"/>
  <c r="F103" i="7"/>
  <c r="F125" i="7"/>
  <c r="F117" i="7"/>
  <c r="D128" i="7"/>
  <c r="F114" i="7"/>
  <c r="D26" i="7"/>
  <c r="D29" i="7"/>
  <c r="D114" i="7"/>
  <c r="E103" i="7"/>
  <c r="E26" i="7"/>
  <c r="E29" i="7"/>
  <c r="D117" i="7"/>
  <c r="F128" i="7"/>
  <c r="D106" i="7"/>
  <c r="E125" i="7"/>
  <c r="F106" i="7"/>
  <c r="D103" i="7"/>
  <c r="D125" i="7"/>
  <c r="E106" i="7"/>
</calcChain>
</file>

<file path=xl/sharedStrings.xml><?xml version="1.0" encoding="utf-8"?>
<sst xmlns="http://schemas.openxmlformats.org/spreadsheetml/2006/main" count="1402" uniqueCount="216">
  <si>
    <t>N</t>
  </si>
  <si>
    <t>Mean</t>
  </si>
  <si>
    <t>Std Dev</t>
  </si>
  <si>
    <t>Minimum</t>
  </si>
  <si>
    <t>Median</t>
  </si>
  <si>
    <t>Maximum</t>
  </si>
  <si>
    <t>Toutes lignes</t>
  </si>
  <si>
    <t>08C613</t>
  </si>
  <si>
    <t>CODEGHM</t>
  </si>
  <si>
    <t>Frequency</t>
  </si>
  <si>
    <t>Percent</t>
  </si>
  <si>
    <t>Cumulative</t>
  </si>
  <si>
    <t>08M314</t>
  </si>
  <si>
    <t>08C614</t>
  </si>
  <si>
    <t>08C612</t>
  </si>
  <si>
    <t>05C124</t>
  </si>
  <si>
    <t>05M12T</t>
  </si>
  <si>
    <t>08C563</t>
  </si>
  <si>
    <t>28Z17Z</t>
  </si>
  <si>
    <t>05C134</t>
  </si>
  <si>
    <t>08C064</t>
  </si>
  <si>
    <t>08C562</t>
  </si>
  <si>
    <t>08C611</t>
  </si>
  <si>
    <t>08C623</t>
  </si>
  <si>
    <t>08M313</t>
  </si>
  <si>
    <t>08M31T</t>
  </si>
  <si>
    <t>11M171</t>
  </si>
  <si>
    <t>18M104</t>
  </si>
  <si>
    <t>03M111</t>
  </si>
  <si>
    <t>04M054</t>
  </si>
  <si>
    <t>05K14Z</t>
  </si>
  <si>
    <t>05M094</t>
  </si>
  <si>
    <t>05U183</t>
  </si>
  <si>
    <t>08C133</t>
  </si>
  <si>
    <t>08C221</t>
  </si>
  <si>
    <t>08C323</t>
  </si>
  <si>
    <t>08C463</t>
  </si>
  <si>
    <t>08C484</t>
  </si>
  <si>
    <t>08C62</t>
  </si>
  <si>
    <t>08M154</t>
  </si>
  <si>
    <t>08M18T</t>
  </si>
  <si>
    <t>08M311</t>
  </si>
  <si>
    <t>08M312</t>
  </si>
  <si>
    <t>08M323</t>
  </si>
  <si>
    <t>08M324</t>
  </si>
  <si>
    <t>08M35Z</t>
  </si>
  <si>
    <t>09C103</t>
  </si>
  <si>
    <t>09M06T</t>
  </si>
  <si>
    <t>09M071</t>
  </si>
  <si>
    <t>09M073</t>
  </si>
  <si>
    <t>11M064</t>
  </si>
  <si>
    <t>16M111</t>
  </si>
  <si>
    <t>18M073</t>
  </si>
  <si>
    <t>21C053</t>
  </si>
  <si>
    <t>21C054</t>
  </si>
  <si>
    <t>23M091</t>
  </si>
  <si>
    <t>B957</t>
  </si>
  <si>
    <t>M8615</t>
  </si>
  <si>
    <t>N Obs</t>
  </si>
  <si>
    <t>Ligne 1 et 2</t>
  </si>
  <si>
    <t>Endocardites</t>
  </si>
  <si>
    <t>C</t>
  </si>
  <si>
    <t>A</t>
  </si>
  <si>
    <t>B</t>
  </si>
  <si>
    <t>D</t>
  </si>
  <si>
    <t>E</t>
  </si>
  <si>
    <t>Sévérité 3</t>
  </si>
  <si>
    <t>Sévérité 4</t>
  </si>
  <si>
    <t>Xydalba (3 flacon de 500mg) 2 injections</t>
  </si>
  <si>
    <t>Prix TTC unitaire</t>
  </si>
  <si>
    <t>Coût schéma</t>
  </si>
  <si>
    <t>Notice</t>
  </si>
  <si>
    <t>GUIDE METHODOLOGIQUE</t>
  </si>
  <si>
    <t>Population</t>
  </si>
  <si>
    <t>Perspective étudiée</t>
  </si>
  <si>
    <t>Horizon temporel</t>
  </si>
  <si>
    <t>L’horizon temporel correspond à l'année en cours.</t>
  </si>
  <si>
    <t>Outil développé par :</t>
  </si>
  <si>
    <t>Entrer</t>
  </si>
  <si>
    <t>Contexte</t>
  </si>
  <si>
    <t>Objectif du modèle</t>
  </si>
  <si>
    <t>Il s’agit d’une perspective hospitalière</t>
  </si>
  <si>
    <t>Type d'analyse</t>
  </si>
  <si>
    <t>Définition des scénarios</t>
  </si>
  <si>
    <t>F</t>
  </si>
  <si>
    <t>Total</t>
  </si>
  <si>
    <t>IPTM</t>
  </si>
  <si>
    <t>.</t>
  </si>
  <si>
    <t>Ligne 1 et 2 et &lt;7j</t>
  </si>
  <si>
    <t>Ligne 1 et 2 et &lt;11j</t>
  </si>
  <si>
    <t>Ligne 1 et 2 et &lt;25j</t>
  </si>
  <si>
    <t>PMSI 2019</t>
  </si>
  <si>
    <t>DMS Pop TOT</t>
  </si>
  <si>
    <t>DMS EPLF002</t>
  </si>
  <si>
    <t>DMS EBLA003</t>
  </si>
  <si>
    <t>Inclus</t>
  </si>
  <si>
    <t>GHM n'existe pas</t>
  </si>
  <si>
    <t>Niveau 1</t>
  </si>
  <si>
    <t>Ambulatoire</t>
  </si>
  <si>
    <t>05C183</t>
  </si>
  <si>
    <t>Pulmonaire</t>
  </si>
  <si>
    <t>Sepsis</t>
  </si>
  <si>
    <t>Insuf.Card</t>
  </si>
  <si>
    <t>Insuf Renale</t>
  </si>
  <si>
    <t>Toute ligne, &lt;7j</t>
  </si>
  <si>
    <t>Toute ligne, &lt;11j</t>
  </si>
  <si>
    <t>Toute ligne, &lt;25j</t>
  </si>
  <si>
    <t>Toutes lignes, &lt;7j</t>
  </si>
  <si>
    <t>Toutes lignes, &lt;11j</t>
  </si>
  <si>
    <t>Toutes lignes, &lt;25j</t>
  </si>
  <si>
    <t>Ligne de traitement</t>
  </si>
  <si>
    <t>1ère ou 2ème ligne</t>
  </si>
  <si>
    <t>Site d'infection</t>
  </si>
  <si>
    <t>Osteo-Articulaire</t>
  </si>
  <si>
    <t>Délai avant injection</t>
  </si>
  <si>
    <t>≤ 7 jours</t>
  </si>
  <si>
    <t>≤ 11 jours</t>
  </si>
  <si>
    <t>≤ 25 jours</t>
  </si>
  <si>
    <t>Sans délai</t>
  </si>
  <si>
    <t>G</t>
  </si>
  <si>
    <t>Top 5 GHM</t>
  </si>
  <si>
    <t>Difference</t>
  </si>
  <si>
    <t>Sev 3</t>
  </si>
  <si>
    <t>Sev 4</t>
  </si>
  <si>
    <t>DMS registre</t>
  </si>
  <si>
    <t>DMS nationale</t>
  </si>
  <si>
    <t>Différence</t>
  </si>
  <si>
    <t>Population avec cathéter veine profonde (EBLA003)</t>
  </si>
  <si>
    <t>Tariff GHS 2019</t>
  </si>
  <si>
    <t>Recette GHS</t>
  </si>
  <si>
    <t>Différence recette</t>
  </si>
  <si>
    <t>Différence DMS</t>
  </si>
  <si>
    <t>Différence recette GHS</t>
  </si>
  <si>
    <t>Différence coût Dalba vs Dapto</t>
  </si>
  <si>
    <t>Difference coût Dalba vs Vanco</t>
  </si>
  <si>
    <t>Différence totale</t>
  </si>
  <si>
    <t>Traitement</t>
  </si>
  <si>
    <t>Dalba vs vanco</t>
  </si>
  <si>
    <t>Dalba vs dapto</t>
  </si>
  <si>
    <t>Scénario de référence</t>
  </si>
  <si>
    <t>Patients avec cathéter transcuténée (EPLF002)</t>
  </si>
  <si>
    <t>Scénario pessimiste</t>
  </si>
  <si>
    <t>Scénario optimiste</t>
  </si>
  <si>
    <t>Scénarios exploratoires</t>
  </si>
  <si>
    <t>Tarif GHS moyen</t>
  </si>
  <si>
    <t>Recette totale</t>
  </si>
  <si>
    <t>Résultats</t>
  </si>
  <si>
    <t>Paramètre de l'analyse</t>
  </si>
  <si>
    <t>Patient avec ou sans cathéter</t>
  </si>
  <si>
    <t>Coût Dalba vs Dapto</t>
  </si>
  <si>
    <t>Coût Dalba vs Vanco</t>
  </si>
  <si>
    <t>Type de GHM</t>
  </si>
  <si>
    <t>Daptomycine (patient 80kg-800 mg/j)</t>
  </si>
  <si>
    <t>Comparaison des données du registre à différents scénarios fondés sur les données nationales du PMSI 2019</t>
  </si>
  <si>
    <t>Population générale, avec ou sans pose de cathéter</t>
  </si>
  <si>
    <t>Méthode de calcul</t>
  </si>
  <si>
    <t>Impact de la DMS</t>
  </si>
  <si>
    <t>Coût des produits pharmaceutiques</t>
  </si>
  <si>
    <t>Comparateurs</t>
  </si>
  <si>
    <t>Comparateur utilisés en vie réelle</t>
  </si>
  <si>
    <t>Daptomycine, Vancomycine</t>
  </si>
  <si>
    <t>Daptomycine (~200€/j, patient 80kg-800 mg/j)
Vancomycine (~5€/j)</t>
  </si>
  <si>
    <t>Choix des lignes de traitement</t>
  </si>
  <si>
    <t>Choix du délai avant injection de dalbavancine</t>
  </si>
  <si>
    <t>L'analyse rend possible la comparaison d'une utilisation de la Dalbavancine pour différentes lignes de traitement :
- 1ère ou 2ème ligne de traitement
- Toutes lignes de traitement</t>
  </si>
  <si>
    <r>
      <t xml:space="preserve">L'analyse rend possible la comparaison d'une utilisation de la Dalbavancine suivant le délai avant la 1ère injection  :
- </t>
    </r>
    <r>
      <rPr>
        <sz val="11"/>
        <color theme="1"/>
        <rFont val="Calibri"/>
        <family val="2"/>
      </rPr>
      <t>≤ 7 jours</t>
    </r>
    <r>
      <rPr>
        <sz val="11"/>
        <color theme="1"/>
        <rFont val="Calibri"/>
        <family val="2"/>
        <scheme val="minor"/>
      </rPr>
      <t xml:space="preserve">
- ≤ 11 jours
- ≤ 25 jours
- Sans délai</t>
    </r>
  </si>
  <si>
    <t>Tarif</t>
  </si>
  <si>
    <t>Scénario</t>
  </si>
  <si>
    <t>Données du registre</t>
  </si>
  <si>
    <t>Listes paramètres</t>
  </si>
  <si>
    <t>Effectifs</t>
  </si>
  <si>
    <t>Analyses de sous-groupe</t>
  </si>
  <si>
    <r>
      <t xml:space="preserve">Mauvais codage (Niveau 2 </t>
    </r>
    <r>
      <rPr>
        <sz val="10"/>
        <color theme="1"/>
        <rFont val="Calibri"/>
        <family val="2"/>
      </rPr>
      <t>≠</t>
    </r>
    <r>
      <rPr>
        <i/>
        <sz val="10"/>
        <color theme="1"/>
        <rFont val="Calibri"/>
        <family val="2"/>
      </rPr>
      <t xml:space="preserve"> 49j)</t>
    </r>
  </si>
  <si>
    <t>Entrer manuellement: 
1 = inclus / 0 = exclu</t>
  </si>
  <si>
    <t>Inclusion</t>
  </si>
  <si>
    <t>05M184</t>
  </si>
  <si>
    <t>01M304</t>
  </si>
  <si>
    <t>05C214</t>
  </si>
  <si>
    <t>05M123</t>
  </si>
  <si>
    <t>05M182</t>
  </si>
  <si>
    <t>07M044</t>
  </si>
  <si>
    <t>08C494</t>
  </si>
  <si>
    <t>09M064</t>
  </si>
  <si>
    <t>18C023</t>
  </si>
  <si>
    <t>18C024</t>
  </si>
  <si>
    <t>23M19Z</t>
  </si>
  <si>
    <t>23Z02Z</t>
  </si>
  <si>
    <t>04C024</t>
  </si>
  <si>
    <t>05M093</t>
  </si>
  <si>
    <t>08M101</t>
  </si>
  <si>
    <t>08M322</t>
  </si>
  <si>
    <t>09M052</t>
  </si>
  <si>
    <t>09M053</t>
  </si>
  <si>
    <t>09M054</t>
  </si>
  <si>
    <t>19M024</t>
  </si>
  <si>
    <t>21M161</t>
  </si>
  <si>
    <t>Pneumo</t>
  </si>
  <si>
    <t>Foie</t>
  </si>
  <si>
    <t>OS</t>
  </si>
  <si>
    <t>Ulcères</t>
  </si>
  <si>
    <t>Niveau 2</t>
  </si>
  <si>
    <t>Trouble mental</t>
  </si>
  <si>
    <t>Tarif 2019</t>
  </si>
  <si>
    <t>Effectifs (% du total)</t>
  </si>
  <si>
    <t>Patients avec cathéter transcutané (CCAM: EPLF002)</t>
  </si>
  <si>
    <t>Population avec cathéter instauré en veine profonde (CCAM : EBLA003)</t>
  </si>
  <si>
    <t>Plusieurs analyses de sous-groupe sont présentées :
- Uniquement pour les GHM de sévérité 3
- Uniquement pour les GHM de sévérité 4
- Pour le Top 5 des GHM les plus représentafis
- Pour les 3 GHM les plus représentatifs (analysés séparement)</t>
  </si>
  <si>
    <t>La DMS de chaque groupe de GHM issus du registre est comparée à sa DMS nationale (PMSI 2019), pour chaque scénario, pondérée par les effectifs du registre</t>
  </si>
  <si>
    <t>Les recettes de GHS sont calculées à partir des tarifs GHS 2019, rapportés à un tarif journalier (tarif/DMS), et du gain en DMS</t>
  </si>
  <si>
    <t>Le recette totale est calculée en soustrayant le coût de produit pharmaceutique à la recette GHS</t>
  </si>
  <si>
    <t>La population du modèle est la population qui a été incluse dans l'étude UNIHA :
- Patient hospitalisé en France et traités par dalbavancine pour une infection à bactéries Gram positifs
- Patient âgé de 18 ans et plus.
Trois populations d'analyse sont modélisées séparément :
- Les infections ostéarticulaires
- Les Endocardites
- Les infections des peaux et tissus mous (IPTM)</t>
  </si>
  <si>
    <r>
      <rPr>
        <b/>
        <sz val="22"/>
        <color theme="0"/>
        <rFont val="Calibri"/>
        <family val="2"/>
        <scheme val="minor"/>
      </rPr>
      <t xml:space="preserve">Impact médico-économique de l'utilisation de la Dalbavancine </t>
    </r>
    <r>
      <rPr>
        <b/>
        <sz val="20"/>
        <color theme="0"/>
        <rFont val="Calibri"/>
        <family val="2"/>
        <scheme val="minor"/>
      </rPr>
      <t xml:space="preserve">
</t>
    </r>
    <r>
      <rPr>
        <sz val="20"/>
        <color theme="0"/>
        <rFont val="Calibri"/>
        <family val="2"/>
        <scheme val="minor"/>
      </rPr>
      <t>Application des données de vie réelle (registre UNIHA) dans une perspective des établissements de santé</t>
    </r>
  </si>
  <si>
    <t>L'objectif est d'évaluer l'impact budgétaire de l'utilisation de la Dalbavancine dans une perspective hospitalière.</t>
  </si>
  <si>
    <t>Une etude observationnelle multicentrique et soutenue par le réseau UNIHA a été mise en place afin d’estimer la durée de séjour (DMS) des patients traités par dalbavancine pour une infection à bactéries Gram positifs.
A partir des données receuillies, une évaluation de l'impact budgétaire hospitalier est rendue possible.</t>
  </si>
  <si>
    <t>Peau et Tissus mous</t>
  </si>
  <si>
    <t>VANCOMYCINE 1 G INJ FL (2g/jour)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</si>
</sst>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"/>
    <numFmt numFmtId="165" formatCode="_-* #,##0.0\ &quot;€&quot;_-;\-* #,##0.0\ &quot;€&quot;_-;_-* &quot;-&quot;??\ &quot;€&quot;_-;_-@_-"/>
    <numFmt numFmtId="166" formatCode="_-* #,##0\ &quot;€&quot;_-;\-* #,##0\ &quot;€&quot;_-;_-* &quot;-&quot;??\ &quot;€&quot;_-;_-@_-"/>
    <numFmt numFmtId="167" formatCode="_-* #,##0.0\ &quot;€&quot;_-;\-* #,##0.0\ &quot;€&quot;_-;_-* &quot;-&quot;?\ &quot;€&quot;_-;_-@_-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4"/>
      <color rgb="FFFF4B4B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24"/>
      <color rgb="FF96000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4B4B"/>
      </left>
      <right/>
      <top style="medium">
        <color rgb="FFFF4B4B"/>
      </top>
      <bottom/>
      <diagonal/>
    </border>
    <border>
      <left/>
      <right/>
      <top style="medium">
        <color rgb="FFFF4B4B"/>
      </top>
      <bottom/>
      <diagonal/>
    </border>
    <border>
      <left/>
      <right style="medium">
        <color rgb="FFFF4B4B"/>
      </right>
      <top style="medium">
        <color rgb="FFFF4B4B"/>
      </top>
      <bottom/>
      <diagonal/>
    </border>
    <border>
      <left style="medium">
        <color rgb="FFFF4B4B"/>
      </left>
      <right/>
      <top/>
      <bottom/>
      <diagonal/>
    </border>
    <border>
      <left/>
      <right style="medium">
        <color rgb="FFFF4B4B"/>
      </right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FF4B4B"/>
      </top>
      <bottom style="thin">
        <color rgb="FFFF4B4B"/>
      </bottom>
      <diagonal/>
    </border>
    <border>
      <left/>
      <right style="medium">
        <color rgb="FFFF4B4B"/>
      </right>
      <top style="thin">
        <color rgb="FFFF4B4B"/>
      </top>
      <bottom style="thin">
        <color rgb="FFFF4B4B"/>
      </bottom>
      <diagonal/>
    </border>
    <border>
      <left/>
      <right style="thin">
        <color rgb="FFFF4B4B"/>
      </right>
      <top style="thin">
        <color rgb="FFFF4B4B"/>
      </top>
      <bottom style="thin">
        <color rgb="FFFF4B4B"/>
      </bottom>
      <diagonal/>
    </border>
    <border>
      <left style="thin">
        <color rgb="FFFF4B4B"/>
      </left>
      <right style="thin">
        <color rgb="FFFF4B4B"/>
      </right>
      <top style="thin">
        <color rgb="FFFF4B4B"/>
      </top>
      <bottom style="thin">
        <color rgb="FFFF4B4B"/>
      </bottom>
      <diagonal/>
    </border>
    <border>
      <left style="thin">
        <color rgb="FFFF4B4B"/>
      </left>
      <right style="medium">
        <color rgb="FFFF4B4B"/>
      </right>
      <top style="thin">
        <color rgb="FFFF4B4B"/>
      </top>
      <bottom style="thin">
        <color rgb="FFFF4B4B"/>
      </bottom>
      <diagonal/>
    </border>
    <border>
      <left style="medium">
        <color rgb="FFFF4B4B"/>
      </left>
      <right/>
      <top/>
      <bottom style="medium">
        <color rgb="FFFF4B4B"/>
      </bottom>
      <diagonal/>
    </border>
    <border>
      <left/>
      <right/>
      <top/>
      <bottom style="medium">
        <color rgb="FFFF4B4B"/>
      </bottom>
      <diagonal/>
    </border>
    <border>
      <left/>
      <right style="medium">
        <color rgb="FFFF4B4B"/>
      </right>
      <top/>
      <bottom style="medium">
        <color rgb="FFFF4B4B"/>
      </bottom>
      <diagonal/>
    </border>
    <border>
      <left style="thin">
        <color rgb="FF960000"/>
      </left>
      <right/>
      <top style="thin">
        <color rgb="FF960000"/>
      </top>
      <bottom/>
      <diagonal/>
    </border>
    <border>
      <left/>
      <right/>
      <top style="thin">
        <color rgb="FF960000"/>
      </top>
      <bottom/>
      <diagonal/>
    </border>
    <border>
      <left/>
      <right style="thin">
        <color rgb="FF960000"/>
      </right>
      <top style="thin">
        <color rgb="FF960000"/>
      </top>
      <bottom/>
      <diagonal/>
    </border>
    <border>
      <left style="thin">
        <color rgb="FF960000"/>
      </left>
      <right/>
      <top/>
      <bottom/>
      <diagonal/>
    </border>
    <border>
      <left/>
      <right style="thin">
        <color rgb="FF960000"/>
      </right>
      <top/>
      <bottom/>
      <diagonal/>
    </border>
    <border>
      <left style="thin">
        <color rgb="FF960000"/>
      </left>
      <right/>
      <top/>
      <bottom style="thin">
        <color rgb="FF960000"/>
      </bottom>
      <diagonal/>
    </border>
    <border>
      <left/>
      <right/>
      <top/>
      <bottom style="thin">
        <color rgb="FF960000"/>
      </bottom>
      <diagonal/>
    </border>
    <border>
      <left/>
      <right style="thin">
        <color rgb="FF960000"/>
      </right>
      <top/>
      <bottom style="thin">
        <color rgb="FF96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9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Border="1"/>
    <xf numFmtId="166" fontId="0" fillId="0" borderId="0" xfId="1" applyNumberFormat="1" applyFont="1"/>
    <xf numFmtId="166" fontId="1" fillId="0" borderId="0" xfId="1" applyNumberFormat="1" applyFont="1"/>
    <xf numFmtId="0" fontId="0" fillId="0" borderId="0" xfId="0" applyAlignment="1">
      <alignment horizontal="right"/>
    </xf>
    <xf numFmtId="0" fontId="8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9" fillId="5" borderId="0" xfId="0" applyFont="1" applyFill="1" applyAlignment="1">
      <alignment horizontal="right" vertical="center"/>
    </xf>
    <xf numFmtId="0" fontId="11" fillId="5" borderId="0" xfId="3" applyFont="1" applyFill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5" fillId="6" borderId="4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5" fillId="6" borderId="0" xfId="0" applyFont="1" applyFill="1" applyAlignment="1">
      <alignment horizontal="justify" vertical="center"/>
    </xf>
    <xf numFmtId="0" fontId="13" fillId="6" borderId="0" xfId="0" applyFont="1" applyFill="1" applyAlignment="1">
      <alignment vertical="center"/>
    </xf>
    <xf numFmtId="0" fontId="13" fillId="6" borderId="7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16" fillId="0" borderId="0" xfId="0" applyFont="1"/>
    <xf numFmtId="0" fontId="0" fillId="0" borderId="0" xfId="0" applyFill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3" fillId="0" borderId="2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6" xfId="0" applyBorder="1"/>
    <xf numFmtId="0" fontId="0" fillId="0" borderId="27" xfId="0" applyBorder="1" applyAlignment="1">
      <alignment vertical="center" wrapText="1"/>
    </xf>
    <xf numFmtId="0" fontId="0" fillId="0" borderId="27" xfId="0" applyBorder="1"/>
    <xf numFmtId="0" fontId="3" fillId="0" borderId="0" xfId="0" applyFont="1" applyAlignment="1">
      <alignment horizontal="right"/>
    </xf>
    <xf numFmtId="0" fontId="0" fillId="0" borderId="27" xfId="0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20" fillId="0" borderId="0" xfId="0" applyFont="1" applyAlignment="1">
      <alignment horizontal="left"/>
    </xf>
    <xf numFmtId="0" fontId="21" fillId="0" borderId="0" xfId="0" applyFont="1"/>
    <xf numFmtId="0" fontId="0" fillId="0" borderId="0" xfId="0" applyBorder="1" applyAlignment="1">
      <alignment horizontal="right"/>
    </xf>
    <xf numFmtId="0" fontId="3" fillId="9" borderId="26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27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1" fontId="3" fillId="8" borderId="26" xfId="0" applyNumberFormat="1" applyFont="1" applyFill="1" applyBorder="1" applyAlignment="1">
      <alignment horizontal="left"/>
    </xf>
    <xf numFmtId="1" fontId="3" fillId="8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29" xfId="0" applyBorder="1" applyAlignment="1">
      <alignment horizontal="right"/>
    </xf>
    <xf numFmtId="0" fontId="0" fillId="0" borderId="30" xfId="0" applyBorder="1"/>
    <xf numFmtId="164" fontId="0" fillId="0" borderId="31" xfId="0" applyNumberFormat="1" applyBorder="1"/>
    <xf numFmtId="164" fontId="0" fillId="0" borderId="0" xfId="0" applyNumberFormat="1" applyBorder="1"/>
    <xf numFmtId="164" fontId="0" fillId="0" borderId="28" xfId="0" applyNumberFormat="1" applyBorder="1"/>
    <xf numFmtId="164" fontId="0" fillId="0" borderId="30" xfId="0" applyNumberFormat="1" applyBorder="1"/>
    <xf numFmtId="164" fontId="0" fillId="0" borderId="30" xfId="0" applyNumberFormat="1" applyBorder="1" applyAlignment="1">
      <alignment horizontal="right"/>
    </xf>
    <xf numFmtId="167" fontId="0" fillId="0" borderId="0" xfId="0" applyNumberFormat="1"/>
    <xf numFmtId="0" fontId="24" fillId="4" borderId="0" xfId="0" applyFont="1" applyFill="1" applyProtection="1">
      <protection locked="0"/>
    </xf>
    <xf numFmtId="0" fontId="24" fillId="0" borderId="0" xfId="0" applyFont="1" applyProtection="1">
      <protection locked="0"/>
    </xf>
    <xf numFmtId="0" fontId="24" fillId="4" borderId="0" xfId="0" applyFont="1" applyFill="1" applyProtection="1"/>
    <xf numFmtId="0" fontId="24" fillId="0" borderId="0" xfId="0" applyFont="1" applyAlignment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24" fillId="5" borderId="0" xfId="0" applyFont="1" applyFill="1" applyProtection="1">
      <protection locked="0"/>
    </xf>
    <xf numFmtId="0" fontId="22" fillId="5" borderId="0" xfId="0" applyFont="1" applyFill="1" applyAlignment="1" applyProtection="1">
      <protection locked="0"/>
    </xf>
    <xf numFmtId="0" fontId="23" fillId="5" borderId="0" xfId="0" applyFont="1" applyFill="1" applyProtection="1">
      <protection locked="0"/>
    </xf>
    <xf numFmtId="166" fontId="23" fillId="5" borderId="0" xfId="0" applyNumberFormat="1" applyFont="1" applyFill="1" applyAlignment="1" applyProtection="1">
      <alignment horizontal="center"/>
      <protection locked="0"/>
    </xf>
    <xf numFmtId="0" fontId="24" fillId="5" borderId="0" xfId="0" applyFont="1" applyFill="1" applyAlignment="1" applyProtection="1">
      <alignment horizontal="center"/>
      <protection locked="0"/>
    </xf>
    <xf numFmtId="0" fontId="25" fillId="4" borderId="0" xfId="0" applyFont="1" applyFill="1" applyAlignment="1" applyProtection="1">
      <protection locked="0"/>
    </xf>
    <xf numFmtId="0" fontId="23" fillId="4" borderId="0" xfId="0" applyFont="1" applyFill="1" applyProtection="1">
      <protection locked="0"/>
    </xf>
    <xf numFmtId="166" fontId="23" fillId="4" borderId="0" xfId="0" applyNumberFormat="1" applyFont="1" applyFill="1" applyAlignment="1" applyProtection="1">
      <alignment horizontal="center"/>
      <protection locked="0"/>
    </xf>
    <xf numFmtId="0" fontId="24" fillId="4" borderId="0" xfId="0" applyFont="1" applyFill="1" applyAlignment="1" applyProtection="1">
      <alignment horizontal="center"/>
      <protection locked="0"/>
    </xf>
    <xf numFmtId="0" fontId="24" fillId="7" borderId="28" xfId="0" applyFont="1" applyFill="1" applyBorder="1" applyProtection="1">
      <protection locked="0"/>
    </xf>
    <xf numFmtId="0" fontId="24" fillId="10" borderId="0" xfId="0" applyFont="1" applyFill="1" applyProtection="1">
      <protection locked="0"/>
    </xf>
    <xf numFmtId="0" fontId="22" fillId="10" borderId="0" xfId="0" applyFont="1" applyFill="1" applyAlignment="1" applyProtection="1">
      <protection locked="0"/>
    </xf>
    <xf numFmtId="0" fontId="23" fillId="10" borderId="0" xfId="0" applyFont="1" applyFill="1" applyProtection="1">
      <protection locked="0"/>
    </xf>
    <xf numFmtId="166" fontId="23" fillId="10" borderId="0" xfId="0" applyNumberFormat="1" applyFont="1" applyFill="1" applyAlignment="1" applyProtection="1">
      <alignment horizontal="center"/>
      <protection locked="0"/>
    </xf>
    <xf numFmtId="0" fontId="24" fillId="10" borderId="0" xfId="0" applyFont="1" applyFill="1" applyAlignment="1" applyProtection="1">
      <alignment horizontal="center"/>
      <protection locked="0"/>
    </xf>
    <xf numFmtId="0" fontId="23" fillId="0" borderId="0" xfId="0" applyFont="1" applyAlignment="1" applyProtection="1"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 applyProtection="1">
      <protection locked="0"/>
    </xf>
    <xf numFmtId="0" fontId="24" fillId="3" borderId="0" xfId="0" applyFont="1" applyFill="1" applyAlignment="1" applyProtection="1">
      <protection locked="0"/>
    </xf>
    <xf numFmtId="0" fontId="23" fillId="3" borderId="0" xfId="0" applyFont="1" applyFill="1" applyAlignment="1" applyProtection="1">
      <protection locked="0"/>
    </xf>
    <xf numFmtId="164" fontId="24" fillId="0" borderId="0" xfId="0" applyNumberFormat="1" applyFont="1" applyAlignment="1" applyProtection="1">
      <alignment horizontal="center"/>
      <protection locked="0"/>
    </xf>
    <xf numFmtId="0" fontId="24" fillId="4" borderId="0" xfId="0" applyFont="1" applyFill="1" applyBorder="1" applyAlignment="1" applyProtection="1">
      <protection locked="0"/>
    </xf>
    <xf numFmtId="0" fontId="24" fillId="3" borderId="0" xfId="0" applyFont="1" applyFill="1" applyBorder="1" applyAlignment="1" applyProtection="1">
      <protection locked="0"/>
    </xf>
    <xf numFmtId="0" fontId="24" fillId="4" borderId="0" xfId="0" applyFont="1" applyFill="1" applyAlignment="1" applyProtection="1">
      <protection locked="0"/>
    </xf>
    <xf numFmtId="0" fontId="23" fillId="4" borderId="2" xfId="0" applyFont="1" applyFill="1" applyBorder="1" applyAlignment="1" applyProtection="1">
      <protection locked="0"/>
    </xf>
    <xf numFmtId="164" fontId="24" fillId="4" borderId="2" xfId="0" applyNumberFormat="1" applyFont="1" applyFill="1" applyBorder="1" applyAlignment="1" applyProtection="1">
      <alignment horizontal="right"/>
      <protection locked="0"/>
    </xf>
    <xf numFmtId="0" fontId="23" fillId="0" borderId="0" xfId="0" applyFont="1" applyProtection="1">
      <protection locked="0"/>
    </xf>
    <xf numFmtId="166" fontId="23" fillId="0" borderId="0" xfId="0" applyNumberFormat="1" applyFont="1" applyAlignment="1" applyProtection="1">
      <alignment horizontal="center"/>
      <protection locked="0"/>
    </xf>
    <xf numFmtId="0" fontId="23" fillId="4" borderId="0" xfId="0" applyFont="1" applyFill="1" applyAlignment="1" applyProtection="1">
      <protection locked="0"/>
    </xf>
    <xf numFmtId="0" fontId="23" fillId="0" borderId="0" xfId="0" applyFont="1" applyAlignment="1" applyProtection="1">
      <alignment horizontal="right"/>
      <protection locked="0"/>
    </xf>
    <xf numFmtId="0" fontId="23" fillId="0" borderId="0" xfId="0" applyFont="1" applyBorder="1" applyAlignment="1" applyProtection="1">
      <protection locked="0"/>
    </xf>
    <xf numFmtId="0" fontId="24" fillId="0" borderId="32" xfId="0" applyFont="1" applyBorder="1" applyProtection="1">
      <protection locked="0"/>
    </xf>
    <xf numFmtId="0" fontId="24" fillId="0" borderId="33" xfId="0" applyFont="1" applyBorder="1" applyProtection="1">
      <protection locked="0"/>
    </xf>
    <xf numFmtId="0" fontId="24" fillId="0" borderId="34" xfId="0" applyFont="1" applyBorder="1" applyProtection="1">
      <protection locked="0"/>
    </xf>
    <xf numFmtId="0" fontId="27" fillId="4" borderId="0" xfId="0" applyFont="1" applyFill="1" applyProtection="1"/>
    <xf numFmtId="0" fontId="27" fillId="2" borderId="28" xfId="0" applyFont="1" applyFill="1" applyBorder="1" applyAlignment="1" applyProtection="1">
      <alignment horizontal="center"/>
    </xf>
    <xf numFmtId="0" fontId="1" fillId="0" borderId="3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6" xfId="0" applyFont="1" applyBorder="1"/>
    <xf numFmtId="166" fontId="1" fillId="0" borderId="0" xfId="1" applyNumberFormat="1" applyFont="1" applyBorder="1"/>
    <xf numFmtId="0" fontId="1" fillId="0" borderId="2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/>
    <xf numFmtId="0" fontId="1" fillId="0" borderId="0" xfId="0" applyFont="1" applyBorder="1"/>
    <xf numFmtId="0" fontId="1" fillId="0" borderId="37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166" fontId="1" fillId="0" borderId="2" xfId="1" applyNumberFormat="1" applyFont="1" applyBorder="1"/>
    <xf numFmtId="0" fontId="0" fillId="0" borderId="2" xfId="0" applyBorder="1"/>
    <xf numFmtId="0" fontId="0" fillId="0" borderId="38" xfId="0" applyBorder="1"/>
    <xf numFmtId="0" fontId="2" fillId="2" borderId="0" xfId="0" applyFont="1" applyFill="1" applyAlignment="1">
      <alignment horizontal="left"/>
    </xf>
    <xf numFmtId="164" fontId="24" fillId="3" borderId="1" xfId="0" applyNumberFormat="1" applyFont="1" applyFill="1" applyBorder="1" applyAlignment="1" applyProtection="1">
      <alignment horizontal="right"/>
    </xf>
    <xf numFmtId="164" fontId="24" fillId="3" borderId="0" xfId="0" applyNumberFormat="1" applyFont="1" applyFill="1" applyBorder="1" applyAlignment="1" applyProtection="1">
      <alignment horizontal="right"/>
    </xf>
    <xf numFmtId="164" fontId="23" fillId="3" borderId="0" xfId="0" applyNumberFormat="1" applyFont="1" applyFill="1" applyBorder="1" applyAlignment="1" applyProtection="1">
      <alignment horizontal="right"/>
    </xf>
    <xf numFmtId="164" fontId="24" fillId="4" borderId="0" xfId="0" applyNumberFormat="1" applyFont="1" applyFill="1" applyBorder="1" applyAlignment="1" applyProtection="1">
      <alignment horizontal="right"/>
    </xf>
    <xf numFmtId="166" fontId="24" fillId="3" borderId="0" xfId="1" applyNumberFormat="1" applyFont="1" applyFill="1" applyBorder="1" applyAlignment="1" applyProtection="1">
      <alignment horizontal="right"/>
    </xf>
    <xf numFmtId="166" fontId="23" fillId="3" borderId="0" xfId="1" applyNumberFormat="1" applyFont="1" applyFill="1" applyBorder="1" applyAlignment="1" applyProtection="1">
      <alignment horizontal="right"/>
    </xf>
    <xf numFmtId="166" fontId="24" fillId="4" borderId="0" xfId="1" applyNumberFormat="1" applyFont="1" applyFill="1" applyBorder="1" applyAlignment="1" applyProtection="1">
      <alignment horizontal="right"/>
    </xf>
    <xf numFmtId="0" fontId="24" fillId="0" borderId="0" xfId="0" applyFont="1" applyAlignment="1" applyProtection="1">
      <alignment horizontal="right"/>
    </xf>
    <xf numFmtId="0" fontId="3" fillId="0" borderId="3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36" xfId="0" applyFont="1" applyBorder="1" applyAlignment="1">
      <alignment horizontal="right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0" fillId="0" borderId="32" xfId="0" applyBorder="1"/>
    <xf numFmtId="0" fontId="0" fillId="0" borderId="34" xfId="0" applyBorder="1"/>
    <xf numFmtId="0" fontId="3" fillId="0" borderId="35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5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right" vertical="center"/>
    </xf>
    <xf numFmtId="164" fontId="0" fillId="0" borderId="27" xfId="0" applyNumberFormat="1" applyBorder="1"/>
    <xf numFmtId="164" fontId="0" fillId="0" borderId="2" xfId="0" applyNumberFormat="1" applyBorder="1"/>
    <xf numFmtId="164" fontId="0" fillId="0" borderId="38" xfId="0" applyNumberFormat="1" applyBorder="1"/>
    <xf numFmtId="1" fontId="28" fillId="2" borderId="28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3" fillId="0" borderId="32" xfId="0" applyFont="1" applyBorder="1" applyAlignment="1">
      <alignment horizontal="right" vertical="center" wrapText="1"/>
    </xf>
    <xf numFmtId="0" fontId="3" fillId="0" borderId="35" xfId="0" applyFont="1" applyBorder="1" applyAlignment="1">
      <alignment horizontal="right" vertical="center" wrapText="1"/>
    </xf>
    <xf numFmtId="0" fontId="3" fillId="0" borderId="36" xfId="0" applyFont="1" applyFill="1" applyBorder="1" applyAlignment="1">
      <alignment horizontal="right" vertical="center"/>
    </xf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center"/>
    </xf>
    <xf numFmtId="166" fontId="0" fillId="0" borderId="26" xfId="1" applyNumberFormat="1" applyFont="1" applyBorder="1"/>
    <xf numFmtId="166" fontId="0" fillId="0" borderId="0" xfId="1" applyNumberFormat="1" applyFont="1" applyBorder="1"/>
    <xf numFmtId="166" fontId="0" fillId="0" borderId="27" xfId="1" applyNumberFormat="1" applyFont="1" applyBorder="1"/>
    <xf numFmtId="166" fontId="0" fillId="0" borderId="37" xfId="1" applyNumberFormat="1" applyFont="1" applyBorder="1"/>
    <xf numFmtId="166" fontId="0" fillId="0" borderId="2" xfId="1" applyNumberFormat="1" applyFont="1" applyBorder="1"/>
    <xf numFmtId="166" fontId="0" fillId="0" borderId="38" xfId="1" applyNumberFormat="1" applyFont="1" applyBorder="1"/>
    <xf numFmtId="0" fontId="3" fillId="0" borderId="35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0" xfId="0" applyFill="1" applyBorder="1"/>
    <xf numFmtId="0" fontId="0" fillId="12" borderId="37" xfId="0" applyFill="1" applyBorder="1" applyAlignment="1">
      <alignment horizontal="center"/>
    </xf>
    <xf numFmtId="0" fontId="0" fillId="12" borderId="2" xfId="0" applyFill="1" applyBorder="1"/>
    <xf numFmtId="0" fontId="29" fillId="12" borderId="35" xfId="0" applyFont="1" applyFill="1" applyBorder="1" applyAlignment="1">
      <alignment horizontal="center"/>
    </xf>
    <xf numFmtId="0" fontId="29" fillId="12" borderId="1" xfId="0" applyFont="1" applyFill="1" applyBorder="1" applyAlignment="1">
      <alignment horizontal="right"/>
    </xf>
    <xf numFmtId="166" fontId="0" fillId="0" borderId="35" xfId="1" applyNumberFormat="1" applyFont="1" applyBorder="1"/>
    <xf numFmtId="166" fontId="0" fillId="0" borderId="1" xfId="1" applyNumberFormat="1" applyFont="1" applyBorder="1"/>
    <xf numFmtId="166" fontId="0" fillId="0" borderId="36" xfId="1" applyNumberFormat="1" applyFont="1" applyBorder="1"/>
    <xf numFmtId="166" fontId="0" fillId="0" borderId="35" xfId="1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36" xfId="1" applyNumberFormat="1" applyFont="1" applyBorder="1" applyAlignment="1">
      <alignment horizontal="right"/>
    </xf>
    <xf numFmtId="166" fontId="0" fillId="0" borderId="26" xfId="1" applyNumberFormat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6" fontId="0" fillId="0" borderId="27" xfId="1" applyNumberFormat="1" applyFont="1" applyBorder="1" applyAlignment="1">
      <alignment horizontal="right"/>
    </xf>
    <xf numFmtId="166" fontId="0" fillId="0" borderId="37" xfId="1" applyNumberFormat="1" applyFont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166" fontId="0" fillId="0" borderId="38" xfId="1" applyNumberFormat="1" applyFont="1" applyBorder="1" applyAlignment="1">
      <alignment horizontal="right"/>
    </xf>
    <xf numFmtId="0" fontId="29" fillId="0" borderId="0" xfId="0" applyFont="1" applyAlignment="1">
      <alignment horizontal="left"/>
    </xf>
    <xf numFmtId="0" fontId="3" fillId="0" borderId="29" xfId="0" applyFont="1" applyBorder="1" applyAlignment="1"/>
    <xf numFmtId="165" fontId="0" fillId="0" borderId="30" xfId="1" applyNumberFormat="1" applyFont="1" applyBorder="1"/>
    <xf numFmtId="165" fontId="0" fillId="0" borderId="31" xfId="1" applyNumberFormat="1" applyFont="1" applyBorder="1"/>
    <xf numFmtId="0" fontId="3" fillId="0" borderId="29" xfId="0" applyFont="1" applyBorder="1"/>
    <xf numFmtId="0" fontId="0" fillId="13" borderId="0" xfId="0" applyFill="1"/>
    <xf numFmtId="0" fontId="24" fillId="0" borderId="1" xfId="0" applyFont="1" applyBorder="1" applyAlignment="1" applyProtection="1">
      <alignment horizontal="center" vertical="center" wrapText="1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164" fontId="24" fillId="4" borderId="2" xfId="0" applyNumberFormat="1" applyFont="1" applyFill="1" applyBorder="1" applyAlignment="1" applyProtection="1">
      <alignment horizontal="right"/>
    </xf>
    <xf numFmtId="164" fontId="24" fillId="0" borderId="0" xfId="0" applyNumberFormat="1" applyFont="1" applyAlignment="1" applyProtection="1">
      <alignment horizontal="right"/>
    </xf>
    <xf numFmtId="9" fontId="23" fillId="0" borderId="0" xfId="2" applyFont="1" applyBorder="1" applyAlignment="1" applyProtection="1">
      <alignment horizontal="right"/>
    </xf>
    <xf numFmtId="164" fontId="24" fillId="4" borderId="1" xfId="0" applyNumberFormat="1" applyFont="1" applyFill="1" applyBorder="1" applyAlignment="1" applyProtection="1">
      <alignment horizontal="right"/>
    </xf>
    <xf numFmtId="0" fontId="24" fillId="0" borderId="1" xfId="0" applyFont="1" applyBorder="1" applyAlignment="1" applyProtection="1"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3" fillId="12" borderId="0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3" fillId="9" borderId="27" xfId="0" applyFont="1" applyFill="1" applyBorder="1" applyAlignment="1">
      <alignment horizontal="right"/>
    </xf>
    <xf numFmtId="0" fontId="3" fillId="0" borderId="27" xfId="0" applyFont="1" applyBorder="1" applyAlignment="1">
      <alignment horizontal="right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11" borderId="0" xfId="0" applyFont="1" applyFill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37" xfId="0" applyFont="1" applyBorder="1" applyAlignment="1">
      <alignment horizontal="right"/>
    </xf>
    <xf numFmtId="0" fontId="7" fillId="0" borderId="2" xfId="0" applyFont="1" applyBorder="1"/>
    <xf numFmtId="0" fontId="7" fillId="0" borderId="38" xfId="0" applyFont="1" applyBorder="1"/>
    <xf numFmtId="0" fontId="3" fillId="11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0" fillId="0" borderId="35" xfId="0" applyBorder="1"/>
    <xf numFmtId="0" fontId="0" fillId="0" borderId="1" xfId="0" applyBorder="1"/>
    <xf numFmtId="166" fontId="1" fillId="0" borderId="1" xfId="1" applyNumberFormat="1" applyFont="1" applyBorder="1"/>
    <xf numFmtId="0" fontId="0" fillId="0" borderId="36" xfId="0" applyBorder="1"/>
    <xf numFmtId="0" fontId="0" fillId="0" borderId="37" xfId="0" applyBorder="1"/>
    <xf numFmtId="0" fontId="0" fillId="2" borderId="28" xfId="0" applyFill="1" applyBorder="1"/>
    <xf numFmtId="0" fontId="0" fillId="0" borderId="33" xfId="0" applyBorder="1"/>
    <xf numFmtId="0" fontId="7" fillId="0" borderId="0" xfId="0" applyFont="1" applyBorder="1" applyAlignment="1">
      <alignment horizontal="right"/>
    </xf>
    <xf numFmtId="0" fontId="7" fillId="4" borderId="0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3" fillId="4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3" fillId="0" borderId="0" xfId="0" applyFont="1" applyAlignment="1" applyProtection="1">
      <alignment horizontal="right"/>
    </xf>
    <xf numFmtId="0" fontId="13" fillId="0" borderId="26" xfId="0" applyFont="1" applyBorder="1" applyAlignment="1">
      <alignment horizontal="right"/>
    </xf>
    <xf numFmtId="0" fontId="13" fillId="0" borderId="0" xfId="0" applyFont="1" applyBorder="1"/>
    <xf numFmtId="0" fontId="13" fillId="0" borderId="27" xfId="0" applyFont="1" applyBorder="1"/>
    <xf numFmtId="0" fontId="17" fillId="3" borderId="18" xfId="3" applyFont="1" applyFill="1" applyBorder="1" applyAlignment="1" applyProtection="1">
      <alignment horizontal="center" vertical="center"/>
      <protection locked="0"/>
    </xf>
    <xf numFmtId="0" fontId="17" fillId="3" borderId="19" xfId="3" applyFont="1" applyFill="1" applyBorder="1" applyAlignment="1" applyProtection="1">
      <alignment horizontal="center" vertical="center"/>
      <protection locked="0"/>
    </xf>
    <xf numFmtId="0" fontId="17" fillId="3" borderId="20" xfId="3" applyFont="1" applyFill="1" applyBorder="1" applyAlignment="1" applyProtection="1">
      <alignment horizontal="center" vertical="center"/>
      <protection locked="0"/>
    </xf>
    <xf numFmtId="0" fontId="17" fillId="3" borderId="21" xfId="3" applyFont="1" applyFill="1" applyBorder="1" applyAlignment="1" applyProtection="1">
      <alignment horizontal="center" vertical="center"/>
      <protection locked="0"/>
    </xf>
    <xf numFmtId="0" fontId="17" fillId="3" borderId="0" xfId="3" applyFont="1" applyFill="1" applyBorder="1" applyAlignment="1" applyProtection="1">
      <alignment horizontal="center" vertical="center"/>
      <protection locked="0"/>
    </xf>
    <xf numFmtId="0" fontId="17" fillId="3" borderId="22" xfId="3" applyFont="1" applyFill="1" applyBorder="1" applyAlignment="1" applyProtection="1">
      <alignment horizontal="center" vertical="center"/>
      <protection locked="0"/>
    </xf>
    <xf numFmtId="0" fontId="17" fillId="3" borderId="23" xfId="3" applyFont="1" applyFill="1" applyBorder="1" applyAlignment="1" applyProtection="1">
      <alignment horizontal="center" vertical="center"/>
      <protection locked="0"/>
    </xf>
    <xf numFmtId="0" fontId="17" fillId="3" borderId="24" xfId="3" applyFont="1" applyFill="1" applyBorder="1" applyAlignment="1" applyProtection="1">
      <alignment horizontal="center" vertical="center"/>
      <protection locked="0"/>
    </xf>
    <xf numFmtId="0" fontId="17" fillId="3" borderId="25" xfId="3" applyFont="1" applyFill="1" applyBorder="1" applyAlignment="1" applyProtection="1">
      <alignment horizontal="center" vertical="center"/>
      <protection locked="0"/>
    </xf>
    <xf numFmtId="0" fontId="15" fillId="5" borderId="0" xfId="0" applyFont="1" applyFill="1" applyAlignment="1">
      <alignment horizontal="center" vertical="center" wrapText="1"/>
    </xf>
    <xf numFmtId="0" fontId="12" fillId="0" borderId="3" xfId="0" applyFont="1" applyBorder="1" applyAlignment="1">
      <alignment horizontal="center" vertical="top" textRotation="90"/>
    </xf>
    <xf numFmtId="0" fontId="12" fillId="0" borderId="6" xfId="0" applyFont="1" applyBorder="1" applyAlignment="1">
      <alignment horizontal="center" vertical="top" textRotation="90"/>
    </xf>
    <xf numFmtId="0" fontId="12" fillId="0" borderId="15" xfId="0" applyFont="1" applyBorder="1" applyAlignment="1">
      <alignment horizontal="center" vertical="top" textRotation="90"/>
    </xf>
    <xf numFmtId="0" fontId="13" fillId="3" borderId="0" xfId="0" applyFont="1" applyFill="1" applyAlignment="1">
      <alignment horizontal="left" vertical="top" wrapText="1"/>
    </xf>
    <xf numFmtId="0" fontId="13" fillId="3" borderId="7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0" fillId="3" borderId="13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/>
    </xf>
    <xf numFmtId="0" fontId="0" fillId="3" borderId="14" xfId="0" applyFont="1" applyFill="1" applyBorder="1" applyAlignment="1">
      <alignment horizontal="left" vertical="top"/>
    </xf>
    <xf numFmtId="0" fontId="32" fillId="2" borderId="0" xfId="0" applyFont="1" applyFill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2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</dxfs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Dalbavancine versus Daptomycine</a:t>
            </a:r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645626228050186E-2"/>
          <c:y val="0.16418332184885495"/>
          <c:w val="0.71336569215985557"/>
          <c:h val="0.7378150135104262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Resultats!$C$26</c:f>
              <c:strCache>
                <c:ptCount val="1"/>
                <c:pt idx="0">
                  <c:v>Recette totale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Resultats!$D$15:$F$15</c:f>
              <c:strCache>
                <c:ptCount val="3"/>
                <c:pt idx="0">
                  <c:v>Scénario de référence</c:v>
                </c:pt>
                <c:pt idx="1">
                  <c:v>Scénario pessimiste</c:v>
                </c:pt>
                <c:pt idx="2">
                  <c:v>Scénario optimiste</c:v>
                </c:pt>
              </c:strCache>
            </c:strRef>
          </c:cat>
          <c:val>
            <c:numRef>
              <c:f>Resultats!$D$26:$F$26</c:f>
              <c:numCache>
                <c:formatCode>_-* #\ ##0\ "€"_-;\-* #\ 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0-4EEC-AB3C-7DDA538949CA}"/>
            </c:ext>
          </c:extLst>
        </c:ser>
        <c:ser>
          <c:idx val="0"/>
          <c:order val="1"/>
          <c:tx>
            <c:strRef>
              <c:f>Resultats!$C$23</c:f>
              <c:strCache>
                <c:ptCount val="1"/>
                <c:pt idx="0">
                  <c:v>Recette GHS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Resultats!$D$15:$F$15</c:f>
              <c:strCache>
                <c:ptCount val="3"/>
                <c:pt idx="0">
                  <c:v>Scénario de référence</c:v>
                </c:pt>
                <c:pt idx="1">
                  <c:v>Scénario pessimiste</c:v>
                </c:pt>
                <c:pt idx="2">
                  <c:v>Scénario optimiste</c:v>
                </c:pt>
              </c:strCache>
            </c:strRef>
          </c:cat>
          <c:val>
            <c:numRef>
              <c:f>Resultats!$D$23:$F$23</c:f>
              <c:numCache>
                <c:formatCode>_-* #\ ##0\ "€"_-;\-* #\ 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0-4EEC-AB3C-7DDA538949CA}"/>
            </c:ext>
          </c:extLst>
        </c:ser>
        <c:ser>
          <c:idx val="1"/>
          <c:order val="2"/>
          <c:tx>
            <c:strRef>
              <c:f>Resultats!$C$25</c:f>
              <c:strCache>
                <c:ptCount val="1"/>
                <c:pt idx="0">
                  <c:v>Coût Dalba vs Dapto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Resultats!$D$15:$F$15</c:f>
              <c:strCache>
                <c:ptCount val="3"/>
                <c:pt idx="0">
                  <c:v>Scénario de référence</c:v>
                </c:pt>
                <c:pt idx="1">
                  <c:v>Scénario pessimiste</c:v>
                </c:pt>
                <c:pt idx="2">
                  <c:v>Scénario optimiste</c:v>
                </c:pt>
              </c:strCache>
            </c:strRef>
          </c:cat>
          <c:val>
            <c:numRef>
              <c:f>Resultats!$D$25:$F$25</c:f>
              <c:numCache>
                <c:formatCode>_-* #\ ##0\ "€"_-;\-* #\ 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0-4EEC-AB3C-7DDA5389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18760"/>
        <c:axId val="629819088"/>
      </c:barChart>
      <c:catAx>
        <c:axId val="6298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9088"/>
        <c:crosses val="autoZero"/>
        <c:auto val="1"/>
        <c:lblAlgn val="ctr"/>
        <c:lblOffset val="100"/>
        <c:noMultiLvlLbl val="0"/>
      </c:catAx>
      <c:valAx>
        <c:axId val="6298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2215791826261"/>
          <c:y val="0.24774136005535721"/>
          <c:w val="0.18270983099413543"/>
          <c:h val="0.33935601194059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Dalbavancine versus Vancomycine</a:t>
            </a:r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645626228050186E-2"/>
          <c:y val="0.16418332184885495"/>
          <c:w val="0.71336569215985557"/>
          <c:h val="0.7185749854886918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Resultats!$C$26</c:f>
              <c:strCache>
                <c:ptCount val="1"/>
                <c:pt idx="0">
                  <c:v>Recette totale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Resultats!$D$15:$F$15</c:f>
              <c:strCache>
                <c:ptCount val="3"/>
                <c:pt idx="0">
                  <c:v>Scénario de référence</c:v>
                </c:pt>
                <c:pt idx="1">
                  <c:v>Scénario pessimiste</c:v>
                </c:pt>
                <c:pt idx="2">
                  <c:v>Scénario optimiste</c:v>
                </c:pt>
              </c:strCache>
            </c:strRef>
          </c:cat>
          <c:val>
            <c:numRef>
              <c:f>Resultats!$D$29:$F$29</c:f>
              <c:numCache>
                <c:formatCode>_-* #\ ##0\ "€"_-;\-* #\ 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412-A987-30AE7E9B5362}"/>
            </c:ext>
          </c:extLst>
        </c:ser>
        <c:ser>
          <c:idx val="0"/>
          <c:order val="1"/>
          <c:tx>
            <c:strRef>
              <c:f>Resultats!$C$23</c:f>
              <c:strCache>
                <c:ptCount val="1"/>
                <c:pt idx="0">
                  <c:v>Recette GHS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Resultats!$D$15:$F$15</c:f>
              <c:strCache>
                <c:ptCount val="3"/>
                <c:pt idx="0">
                  <c:v>Scénario de référence</c:v>
                </c:pt>
                <c:pt idx="1">
                  <c:v>Scénario pessimiste</c:v>
                </c:pt>
                <c:pt idx="2">
                  <c:v>Scénario optimiste</c:v>
                </c:pt>
              </c:strCache>
            </c:strRef>
          </c:cat>
          <c:val>
            <c:numRef>
              <c:f>Resultats!$D$23:$F$23</c:f>
              <c:numCache>
                <c:formatCode>_-* #\ ##0\ "€"_-;\-* #\ 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9-4412-A987-30AE7E9B5362}"/>
            </c:ext>
          </c:extLst>
        </c:ser>
        <c:ser>
          <c:idx val="1"/>
          <c:order val="2"/>
          <c:tx>
            <c:strRef>
              <c:f>Resultats!$C$28</c:f>
              <c:strCache>
                <c:ptCount val="1"/>
                <c:pt idx="0">
                  <c:v>Coût Dalba vs Vanco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Resultats!$D$15:$F$15</c:f>
              <c:strCache>
                <c:ptCount val="3"/>
                <c:pt idx="0">
                  <c:v>Scénario de référence</c:v>
                </c:pt>
                <c:pt idx="1">
                  <c:v>Scénario pessimiste</c:v>
                </c:pt>
                <c:pt idx="2">
                  <c:v>Scénario optimiste</c:v>
                </c:pt>
              </c:strCache>
            </c:strRef>
          </c:cat>
          <c:val>
            <c:numRef>
              <c:f>Resultats!$D$28:$F$28</c:f>
              <c:numCache>
                <c:formatCode>_-* #\ ##0\ "€"_-;\-* #\ ##0\ "€"_-;_-* "-"??\ "€"_-;_-@_-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9-4412-A987-30AE7E9B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18760"/>
        <c:axId val="629819088"/>
      </c:barChart>
      <c:catAx>
        <c:axId val="6298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9088"/>
        <c:crosses val="autoZero"/>
        <c:auto val="1"/>
        <c:lblAlgn val="ctr"/>
        <c:lblOffset val="100"/>
        <c:noMultiLvlLbl val="0"/>
      </c:catAx>
      <c:valAx>
        <c:axId val="6298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2215791826261"/>
          <c:y val="0.24774136005535721"/>
          <c:w val="0.18270983099413543"/>
          <c:h val="0.33935601194059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Dalbavancine versus Daptomycine</a:t>
            </a:r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645626228050186E-2"/>
          <c:y val="0.16418332184885495"/>
          <c:w val="0.71336569215985557"/>
          <c:h val="0.737815013510426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Resultats!$C$103</c:f>
              <c:strCache>
                <c:ptCount val="1"/>
                <c:pt idx="0">
                  <c:v>Recette totale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Resultats!$D$90:$I$90</c:f>
              <c:strCache>
                <c:ptCount val="6"/>
                <c:pt idx="0">
                  <c:v>Sévérité 3</c:v>
                </c:pt>
                <c:pt idx="1">
                  <c:v>Sévérité 4</c:v>
                </c:pt>
                <c:pt idx="2">
                  <c:v>Top 5 GHM</c:v>
                </c:pt>
                <c:pt idx="3">
                  <c:v>08C613</c:v>
                </c:pt>
                <c:pt idx="4">
                  <c:v>08C614</c:v>
                </c:pt>
                <c:pt idx="5">
                  <c:v>08M314</c:v>
                </c:pt>
              </c:strCache>
            </c:strRef>
          </c:cat>
          <c:val>
            <c:numRef>
              <c:f>Resultats!$D$103:$I$103</c:f>
              <c:numCache>
                <c:formatCode>_-* #\ ##0\ "€"_-;\-* #\ ##0\ "€"_-;_-* "-"??\ "€"_-;_-@_-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C-407C-B831-C640082E9F7C}"/>
            </c:ext>
          </c:extLst>
        </c:ser>
        <c:ser>
          <c:idx val="2"/>
          <c:order val="1"/>
          <c:tx>
            <c:strRef>
              <c:f>Resultats!$C$100</c:f>
              <c:strCache>
                <c:ptCount val="1"/>
                <c:pt idx="0">
                  <c:v>Recette GHS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Resultats!$D$90:$I$90</c:f>
              <c:strCache>
                <c:ptCount val="6"/>
                <c:pt idx="0">
                  <c:v>Sévérité 3</c:v>
                </c:pt>
                <c:pt idx="1">
                  <c:v>Sévérité 4</c:v>
                </c:pt>
                <c:pt idx="2">
                  <c:v>Top 5 GHM</c:v>
                </c:pt>
                <c:pt idx="3">
                  <c:v>08C613</c:v>
                </c:pt>
                <c:pt idx="4">
                  <c:v>08C614</c:v>
                </c:pt>
                <c:pt idx="5">
                  <c:v>08M314</c:v>
                </c:pt>
              </c:strCache>
            </c:strRef>
          </c:cat>
          <c:val>
            <c:numRef>
              <c:f>Resultats!$D$100:$I$100</c:f>
              <c:numCache>
                <c:formatCode>_-* #\ ##0\ "€"_-;\-* #\ ##0\ "€"_-;_-* "-"??\ "€"_-;_-@_-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C-407C-B831-C640082E9F7C}"/>
            </c:ext>
          </c:extLst>
        </c:ser>
        <c:ser>
          <c:idx val="0"/>
          <c:order val="2"/>
          <c:tx>
            <c:strRef>
              <c:f>Resultats!$C$102</c:f>
              <c:strCache>
                <c:ptCount val="1"/>
                <c:pt idx="0">
                  <c:v>Coût Dalba vs Dapto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Resultats!$D$90:$I$90</c:f>
              <c:strCache>
                <c:ptCount val="6"/>
                <c:pt idx="0">
                  <c:v>Sévérité 3</c:v>
                </c:pt>
                <c:pt idx="1">
                  <c:v>Sévérité 4</c:v>
                </c:pt>
                <c:pt idx="2">
                  <c:v>Top 5 GHM</c:v>
                </c:pt>
                <c:pt idx="3">
                  <c:v>08C613</c:v>
                </c:pt>
                <c:pt idx="4">
                  <c:v>08C614</c:v>
                </c:pt>
                <c:pt idx="5">
                  <c:v>08M314</c:v>
                </c:pt>
              </c:strCache>
            </c:strRef>
          </c:cat>
          <c:val>
            <c:numRef>
              <c:f>Resultats!$D$102:$I$102</c:f>
              <c:numCache>
                <c:formatCode>_-* #\ ##0\ "€"_-;\-* #\ ##0\ "€"_-;_-* "-"??\ "€"_-;_-@_-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C-407C-B831-C640082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18760"/>
        <c:axId val="629819088"/>
      </c:barChart>
      <c:catAx>
        <c:axId val="6298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9088"/>
        <c:crosses val="autoZero"/>
        <c:auto val="1"/>
        <c:lblAlgn val="ctr"/>
        <c:lblOffset val="100"/>
        <c:noMultiLvlLbl val="0"/>
      </c:catAx>
      <c:valAx>
        <c:axId val="6298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2215791826261"/>
          <c:y val="0.24774136005535721"/>
          <c:w val="0.18270983099413543"/>
          <c:h val="0.33935601194059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Dalbavancine versus Vancomycine</a:t>
            </a:r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645626228050186E-2"/>
          <c:y val="0.16418332184885495"/>
          <c:w val="0.71336569215985557"/>
          <c:h val="0.737815013510426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Resultats!$C$103</c:f>
              <c:strCache>
                <c:ptCount val="1"/>
                <c:pt idx="0">
                  <c:v>Recette totale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Resultats!$D$90:$I$90</c:f>
              <c:strCache>
                <c:ptCount val="6"/>
                <c:pt idx="0">
                  <c:v>Sévérité 3</c:v>
                </c:pt>
                <c:pt idx="1">
                  <c:v>Sévérité 4</c:v>
                </c:pt>
                <c:pt idx="2">
                  <c:v>Top 5 GHM</c:v>
                </c:pt>
                <c:pt idx="3">
                  <c:v>08C613</c:v>
                </c:pt>
                <c:pt idx="4">
                  <c:v>08C614</c:v>
                </c:pt>
                <c:pt idx="5">
                  <c:v>08M314</c:v>
                </c:pt>
              </c:strCache>
            </c:strRef>
          </c:cat>
          <c:val>
            <c:numRef>
              <c:f>Resultats!$D$106:$I$106</c:f>
              <c:numCache>
                <c:formatCode>_-* #\ ##0\ "€"_-;\-* #\ ##0\ "€"_-;_-* "-"??\ "€"_-;_-@_-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2EA-9192-46E048ADDFC1}"/>
            </c:ext>
          </c:extLst>
        </c:ser>
        <c:ser>
          <c:idx val="2"/>
          <c:order val="1"/>
          <c:tx>
            <c:strRef>
              <c:f>Resultats!$C$100</c:f>
              <c:strCache>
                <c:ptCount val="1"/>
                <c:pt idx="0">
                  <c:v>Recette GHS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Resultats!$D$90:$I$90</c:f>
              <c:strCache>
                <c:ptCount val="6"/>
                <c:pt idx="0">
                  <c:v>Sévérité 3</c:v>
                </c:pt>
                <c:pt idx="1">
                  <c:v>Sévérité 4</c:v>
                </c:pt>
                <c:pt idx="2">
                  <c:v>Top 5 GHM</c:v>
                </c:pt>
                <c:pt idx="3">
                  <c:v>08C613</c:v>
                </c:pt>
                <c:pt idx="4">
                  <c:v>08C614</c:v>
                </c:pt>
                <c:pt idx="5">
                  <c:v>08M314</c:v>
                </c:pt>
              </c:strCache>
            </c:strRef>
          </c:cat>
          <c:val>
            <c:numRef>
              <c:f>Resultats!$D$100:$I$100</c:f>
              <c:numCache>
                <c:formatCode>_-* #\ ##0\ "€"_-;\-* #\ ##0\ "€"_-;_-* "-"??\ "€"_-;_-@_-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2EA-9192-46E048ADDFC1}"/>
            </c:ext>
          </c:extLst>
        </c:ser>
        <c:ser>
          <c:idx val="0"/>
          <c:order val="2"/>
          <c:tx>
            <c:strRef>
              <c:f>Resultats!$C$105</c:f>
              <c:strCache>
                <c:ptCount val="1"/>
                <c:pt idx="0">
                  <c:v>Coût Dalba vs Vanco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Resultats!$D$90:$I$90</c:f>
              <c:strCache>
                <c:ptCount val="6"/>
                <c:pt idx="0">
                  <c:v>Sévérité 3</c:v>
                </c:pt>
                <c:pt idx="1">
                  <c:v>Sévérité 4</c:v>
                </c:pt>
                <c:pt idx="2">
                  <c:v>Top 5 GHM</c:v>
                </c:pt>
                <c:pt idx="3">
                  <c:v>08C613</c:v>
                </c:pt>
                <c:pt idx="4">
                  <c:v>08C614</c:v>
                </c:pt>
                <c:pt idx="5">
                  <c:v>08M314</c:v>
                </c:pt>
              </c:strCache>
            </c:strRef>
          </c:cat>
          <c:val>
            <c:numRef>
              <c:f>Resultats!$D$105:$I$105</c:f>
              <c:numCache>
                <c:formatCode>_-* #\ ##0\ "€"_-;\-* #\ ##0\ "€"_-;_-* "-"??\ "€"_-;_-@_-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6-42EA-9192-46E048AD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18760"/>
        <c:axId val="629819088"/>
      </c:barChart>
      <c:catAx>
        <c:axId val="6298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9088"/>
        <c:crosses val="autoZero"/>
        <c:auto val="1"/>
        <c:lblAlgn val="ctr"/>
        <c:lblOffset val="100"/>
        <c:noMultiLvlLbl val="0"/>
      </c:catAx>
      <c:valAx>
        <c:axId val="6298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98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2215791826261"/>
          <c:y val="0.24774136005535721"/>
          <c:w val="0.18270983099413543"/>
          <c:h val="0.33935601194059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5</xdr:col>
      <xdr:colOff>628650</xdr:colOff>
      <xdr:row>25</xdr:row>
      <xdr:rowOff>36980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B45864-8DEC-4108-8A73-A6DC1DFC1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000500"/>
          <a:ext cx="2152650" cy="417980"/>
        </a:xfrm>
        <a:prstGeom prst="rect">
          <a:avLst/>
        </a:prstGeom>
      </xdr:spPr>
    </xdr:pic>
    <xdr:clientData/>
  </xdr:twoCellAnchor>
  <xdr:twoCellAnchor editAs="oneCell">
    <xdr:from>
      <xdr:col>9</xdr:col>
      <xdr:colOff>33616</xdr:colOff>
      <xdr:row>22</xdr:row>
      <xdr:rowOff>190499</xdr:rowOff>
    </xdr:from>
    <xdr:to>
      <xdr:col>12</xdr:col>
      <xdr:colOff>616323</xdr:colOff>
      <xdr:row>27</xdr:row>
      <xdr:rowOff>112058</xdr:rowOff>
    </xdr:to>
    <xdr:pic>
      <xdr:nvPicPr>
        <xdr:cNvPr id="3" name="Graphique 3">
          <a:extLst>
            <a:ext uri="{FF2B5EF4-FFF2-40B4-BE49-F238E27FC236}">
              <a16:creationId xmlns:a16="http://schemas.microsoft.com/office/drawing/2014/main" id="{1FF5EB2D-69E3-4E8A-9C0A-2423DB99559B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 l="7578" t="15625" r="9474" b="17708"/>
        <a:stretch/>
      </xdr:blipFill>
      <xdr:spPr bwMode="auto">
        <a:xfrm>
          <a:off x="6891616" y="4000499"/>
          <a:ext cx="2868707" cy="87405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32</xdr:row>
      <xdr:rowOff>33337</xdr:rowOff>
    </xdr:from>
    <xdr:to>
      <xdr:col>4</xdr:col>
      <xdr:colOff>1219201</xdr:colOff>
      <xdr:row>52</xdr:row>
      <xdr:rowOff>95251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017750-ADE5-4F28-97D4-5FE9CCCD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1457325</xdr:colOff>
      <xdr:row>32</xdr:row>
      <xdr:rowOff>9525</xdr:rowOff>
    </xdr:from>
    <xdr:to>
      <xdr:col>9</xdr:col>
      <xdr:colOff>828675</xdr:colOff>
      <xdr:row>52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3DDA01-F9BB-4AB5-BBBB-FF40BDC6F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62</xdr:row>
      <xdr:rowOff>76200</xdr:rowOff>
    </xdr:from>
    <xdr:to>
      <xdr:col>4</xdr:col>
      <xdr:colOff>1314450</xdr:colOff>
      <xdr:row>82</xdr:row>
      <xdr:rowOff>138114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662AB5F-5864-4FCE-BEBA-30CD7783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62</xdr:row>
      <xdr:rowOff>114300</xdr:rowOff>
    </xdr:from>
    <xdr:to>
      <xdr:col>9</xdr:col>
      <xdr:colOff>857250</xdr:colOff>
      <xdr:row>83</xdr:row>
      <xdr:rowOff>14289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976B486-4B32-41B4-B668-89A2B3F8A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PHE)/Projets/XYDALBA/Outil%20pharmaeco_environnemental%20Verrouill&#233;.xlsm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eil"/>
      <sheetName val="Notice"/>
      <sheetName val="Paramètres établissements"/>
      <sheetName val="GHS"/>
      <sheetName val="Synthèse résultats"/>
      <sheetName val="IBAPTM"/>
      <sheetName val="Ostéopathie"/>
      <sheetName val="Endocardite"/>
      <sheetName val="Bactériémie"/>
      <sheetName val="Pied diabétique"/>
      <sheetName val="Pneumonie"/>
      <sheetName val="Méningite"/>
      <sheetName val="Arthrite"/>
      <sheetName val="Prothèse"/>
      <sheetName val="Pyélonéphrite"/>
      <sheetName val="Résultats"/>
      <sheetName val="Paramètres "/>
      <sheetName val="File Active"/>
      <sheetName val="Produits"/>
      <sheetName val="Données"/>
      <sheetName val="Données Alt"/>
      <sheetName val="Indications"/>
      <sheetName val="Durées"/>
    </sheetNames>
    <sheetDataSet>
      <sheetData sheetId="0"/>
      <sheetData sheetId="1"/>
      <sheetData sheetId="2">
        <row r="25">
          <cell r="S25" t="b">
            <v>0</v>
          </cell>
          <cell r="T25" t="b">
            <v>1</v>
          </cell>
          <cell r="U25" t="b">
            <v>1</v>
          </cell>
          <cell r="V25" t="b">
            <v>1</v>
          </cell>
          <cell r="X25" t="b">
            <v>1</v>
          </cell>
        </row>
        <row r="26">
          <cell r="S26" t="b">
            <v>0</v>
          </cell>
          <cell r="T26" t="b">
            <v>1</v>
          </cell>
          <cell r="U26" t="b">
            <v>1</v>
          </cell>
          <cell r="V26" t="b">
            <v>1</v>
          </cell>
          <cell r="X26" t="b">
            <v>0</v>
          </cell>
        </row>
        <row r="27">
          <cell r="S27" t="b">
            <v>0</v>
          </cell>
          <cell r="T27" t="b">
            <v>1</v>
          </cell>
          <cell r="U27" t="b">
            <v>1</v>
          </cell>
          <cell r="V27" t="b">
            <v>1</v>
          </cell>
          <cell r="X27" t="b">
            <v>0</v>
          </cell>
        </row>
        <row r="28">
          <cell r="S28" t="b">
            <v>0</v>
          </cell>
          <cell r="T28" t="b">
            <v>1</v>
          </cell>
          <cell r="U28" t="b">
            <v>1</v>
          </cell>
          <cell r="V28" t="b">
            <v>1</v>
          </cell>
          <cell r="X28" t="b">
            <v>0</v>
          </cell>
        </row>
        <row r="29">
          <cell r="S29" t="b">
            <v>0</v>
          </cell>
          <cell r="T29" t="b">
            <v>0</v>
          </cell>
          <cell r="U29" t="b">
            <v>1</v>
          </cell>
          <cell r="V29" t="b">
            <v>1</v>
          </cell>
          <cell r="X29" t="b">
            <v>0</v>
          </cell>
        </row>
        <row r="30">
          <cell r="S30" t="b">
            <v>0</v>
          </cell>
          <cell r="T30" t="b">
            <v>1</v>
          </cell>
          <cell r="U30" t="b">
            <v>1</v>
          </cell>
          <cell r="V30" t="b">
            <v>1</v>
          </cell>
          <cell r="X30" t="b">
            <v>0</v>
          </cell>
        </row>
        <row r="31">
          <cell r="S31" t="b">
            <v>0</v>
          </cell>
          <cell r="T31" t="b">
            <v>1</v>
          </cell>
          <cell r="U31" t="b">
            <v>1</v>
          </cell>
          <cell r="V31" t="b">
            <v>1</v>
          </cell>
          <cell r="X31" t="b">
            <v>0</v>
          </cell>
        </row>
        <row r="32">
          <cell r="S32" t="b">
            <v>0</v>
          </cell>
          <cell r="T32" t="b">
            <v>1</v>
          </cell>
          <cell r="U32" t="b">
            <v>1</v>
          </cell>
          <cell r="V32" t="b">
            <v>1</v>
          </cell>
          <cell r="X32" t="b">
            <v>0</v>
          </cell>
        </row>
        <row r="33">
          <cell r="S33" t="b">
            <v>0</v>
          </cell>
          <cell r="T33" t="b">
            <v>1</v>
          </cell>
          <cell r="U33" t="b">
            <v>1</v>
          </cell>
          <cell r="V33" t="b">
            <v>1</v>
          </cell>
          <cell r="X33" t="b">
            <v>0</v>
          </cell>
        </row>
        <row r="34">
          <cell r="S34" t="b">
            <v>0</v>
          </cell>
          <cell r="T34" t="b">
            <v>1</v>
          </cell>
          <cell r="U34" t="b">
            <v>1</v>
          </cell>
          <cell r="V34" t="b">
            <v>1</v>
          </cell>
          <cell r="X34" t="b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4F37-C6F3-473E-BBB6-FA54998BC556}">
  <sheetPr>
    <tabColor rgb="FFFF0000"/>
  </sheetPr>
  <dimension ref="D6:M22"/>
  <sheetViews>
    <sheetView showGridLines="0" tabSelected="1" workbookViewId="0">
      <selection activeCell="D6" sqref="D6:M11"/>
    </sheetView>
  </sheetViews>
  <sheetFormatPr defaultColWidth="10.76171875" defaultRowHeight="15" x14ac:dyDescent="0.2"/>
  <sheetData>
    <row r="6" spans="4:13" x14ac:dyDescent="0.2">
      <c r="D6" s="263" t="s">
        <v>211</v>
      </c>
      <c r="E6" s="263"/>
      <c r="F6" s="263"/>
      <c r="G6" s="263"/>
      <c r="H6" s="263"/>
      <c r="I6" s="263"/>
      <c r="J6" s="263"/>
      <c r="K6" s="263"/>
      <c r="L6" s="263"/>
      <c r="M6" s="263"/>
    </row>
    <row r="7" spans="4:13" x14ac:dyDescent="0.2">
      <c r="D7" s="263"/>
      <c r="E7" s="263"/>
      <c r="F7" s="263"/>
      <c r="G7" s="263"/>
      <c r="H7" s="263"/>
      <c r="I7" s="263"/>
      <c r="J7" s="263"/>
      <c r="K7" s="263"/>
      <c r="L7" s="263"/>
      <c r="M7" s="263"/>
    </row>
    <row r="8" spans="4:13" ht="15" customHeight="1" x14ac:dyDescent="0.2">
      <c r="D8" s="263"/>
      <c r="E8" s="263"/>
      <c r="F8" s="263"/>
      <c r="G8" s="263"/>
      <c r="H8" s="263"/>
      <c r="I8" s="263"/>
      <c r="J8" s="263"/>
      <c r="K8" s="263"/>
      <c r="L8" s="263"/>
      <c r="M8" s="263"/>
    </row>
    <row r="9" spans="4:13" ht="15" customHeight="1" x14ac:dyDescent="0.2">
      <c r="D9" s="263"/>
      <c r="E9" s="263"/>
      <c r="F9" s="263"/>
      <c r="G9" s="263"/>
      <c r="H9" s="263"/>
      <c r="I9" s="263"/>
      <c r="J9" s="263"/>
      <c r="K9" s="263"/>
      <c r="L9" s="263"/>
      <c r="M9" s="263"/>
    </row>
    <row r="10" spans="4:13" ht="15" customHeight="1" x14ac:dyDescent="0.2">
      <c r="D10" s="263"/>
      <c r="E10" s="263"/>
      <c r="F10" s="263"/>
      <c r="G10" s="263"/>
      <c r="H10" s="263"/>
      <c r="I10" s="263"/>
      <c r="J10" s="263"/>
      <c r="K10" s="263"/>
      <c r="L10" s="263"/>
      <c r="M10" s="263"/>
    </row>
    <row r="11" spans="4:13" ht="15" customHeight="1" x14ac:dyDescent="0.2">
      <c r="D11" s="263"/>
      <c r="E11" s="263"/>
      <c r="F11" s="263"/>
      <c r="G11" s="263"/>
      <c r="H11" s="263"/>
      <c r="I11" s="263"/>
      <c r="J11" s="263"/>
      <c r="K11" s="263"/>
      <c r="L11" s="263"/>
      <c r="M11" s="263"/>
    </row>
    <row r="16" spans="4:13" x14ac:dyDescent="0.2">
      <c r="H16" s="254" t="s">
        <v>78</v>
      </c>
      <c r="I16" s="255"/>
      <c r="J16" s="256"/>
    </row>
    <row r="17" spans="8:10" x14ac:dyDescent="0.2">
      <c r="H17" s="257"/>
      <c r="I17" s="258"/>
      <c r="J17" s="259"/>
    </row>
    <row r="18" spans="8:10" x14ac:dyDescent="0.2">
      <c r="H18" s="260"/>
      <c r="I18" s="261"/>
      <c r="J18" s="262"/>
    </row>
    <row r="22" spans="8:10" x14ac:dyDescent="0.2">
      <c r="J22" s="34" t="s">
        <v>77</v>
      </c>
    </row>
  </sheetData>
  <mergeCells count="2">
    <mergeCell ref="H16:J18"/>
    <mergeCell ref="D6:M11"/>
  </mergeCells>
  <hyperlinks>
    <hyperlink ref="H16:J18" location="Notice!A1" display="Entrer" xr:uid="{3EB6D4CC-7587-4EAE-B6BE-22D96F43F09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1B86-F4B4-45D5-833E-FFD18BA18BC4}">
  <sheetPr>
    <tabColor rgb="FFC00000"/>
  </sheetPr>
  <dimension ref="B1:J44"/>
  <sheetViews>
    <sheetView showGridLines="0" zoomScale="85" zoomScaleNormal="85" workbookViewId="0">
      <selection activeCell="K4" sqref="K4"/>
    </sheetView>
  </sheetViews>
  <sheetFormatPr defaultColWidth="10.76171875" defaultRowHeight="15" x14ac:dyDescent="0.2"/>
  <cols>
    <col min="1" max="1" width="9.55078125" customWidth="1"/>
    <col min="2" max="2" width="17.484375" customWidth="1"/>
    <col min="3" max="3" width="12.375" customWidth="1"/>
    <col min="4" max="4" width="20.3125" customWidth="1"/>
    <col min="5" max="10" width="12.375" customWidth="1"/>
  </cols>
  <sheetData>
    <row r="1" spans="2:10" ht="21" x14ac:dyDescent="0.2">
      <c r="B1" s="9" t="s">
        <v>71</v>
      </c>
      <c r="C1" s="10"/>
      <c r="D1" s="11"/>
      <c r="E1" s="10"/>
      <c r="F1" s="10"/>
      <c r="G1" s="10"/>
      <c r="H1" s="12"/>
      <c r="I1" s="10"/>
      <c r="J1" s="10"/>
    </row>
    <row r="2" spans="2:10" ht="15.75" thickBot="1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2:10" x14ac:dyDescent="0.2">
      <c r="B3" s="264" t="s">
        <v>72</v>
      </c>
      <c r="C3" s="14" t="s">
        <v>79</v>
      </c>
      <c r="D3" s="14"/>
      <c r="E3" s="15"/>
      <c r="F3" s="15"/>
      <c r="G3" s="15"/>
      <c r="H3" s="15"/>
      <c r="I3" s="15"/>
      <c r="J3" s="16"/>
    </row>
    <row r="4" spans="2:10" ht="51.75" customHeight="1" x14ac:dyDescent="0.2">
      <c r="B4" s="265"/>
      <c r="C4" s="267" t="s">
        <v>213</v>
      </c>
      <c r="D4" s="267"/>
      <c r="E4" s="267"/>
      <c r="F4" s="267"/>
      <c r="G4" s="267"/>
      <c r="H4" s="267"/>
      <c r="I4" s="267"/>
      <c r="J4" s="268"/>
    </row>
    <row r="5" spans="2:10" ht="15.75" thickBot="1" x14ac:dyDescent="0.25">
      <c r="B5" s="265"/>
      <c r="C5" s="13"/>
      <c r="D5" s="13"/>
      <c r="E5" s="13"/>
      <c r="F5" s="13"/>
      <c r="G5" s="13"/>
      <c r="H5" s="13"/>
      <c r="I5" s="13"/>
      <c r="J5" s="17"/>
    </row>
    <row r="6" spans="2:10" x14ac:dyDescent="0.2">
      <c r="B6" s="265"/>
      <c r="C6" s="14" t="s">
        <v>80</v>
      </c>
      <c r="D6" s="14"/>
      <c r="E6" s="15"/>
      <c r="F6" s="15"/>
      <c r="G6" s="15"/>
      <c r="H6" s="15"/>
      <c r="I6" s="15"/>
      <c r="J6" s="16"/>
    </row>
    <row r="7" spans="2:10" ht="21.75" customHeight="1" x14ac:dyDescent="0.2">
      <c r="B7" s="265"/>
      <c r="C7" s="267" t="s">
        <v>212</v>
      </c>
      <c r="D7" s="267"/>
      <c r="E7" s="267"/>
      <c r="F7" s="267"/>
      <c r="G7" s="267"/>
      <c r="H7" s="267"/>
      <c r="I7" s="267"/>
      <c r="J7" s="268"/>
    </row>
    <row r="8" spans="2:10" x14ac:dyDescent="0.2">
      <c r="B8" s="265"/>
      <c r="C8" s="13"/>
      <c r="D8" s="13"/>
      <c r="E8" s="13"/>
      <c r="F8" s="13"/>
      <c r="G8" s="13"/>
      <c r="H8" s="13"/>
      <c r="I8" s="13"/>
      <c r="J8" s="17"/>
    </row>
    <row r="9" spans="2:10" x14ac:dyDescent="0.2">
      <c r="B9" s="265"/>
      <c r="C9" s="18" t="s">
        <v>73</v>
      </c>
      <c r="D9" s="18"/>
      <c r="E9" s="19"/>
      <c r="F9" s="19"/>
      <c r="G9" s="19"/>
      <c r="H9" s="19"/>
      <c r="I9" s="19"/>
      <c r="J9" s="20"/>
    </row>
    <row r="10" spans="2:10" ht="126.75" customHeight="1" x14ac:dyDescent="0.2">
      <c r="B10" s="265"/>
      <c r="C10" s="269" t="s">
        <v>210</v>
      </c>
      <c r="D10" s="269"/>
      <c r="E10" s="269"/>
      <c r="F10" s="269"/>
      <c r="G10" s="269"/>
      <c r="H10" s="269"/>
      <c r="I10" s="269"/>
      <c r="J10" s="270"/>
    </row>
    <row r="11" spans="2:10" x14ac:dyDescent="0.2">
      <c r="B11" s="265"/>
      <c r="C11" s="13"/>
      <c r="D11" s="13"/>
      <c r="E11" s="21"/>
      <c r="F11" s="21"/>
      <c r="G11" s="21"/>
      <c r="H11" s="21"/>
      <c r="I11" s="21"/>
      <c r="J11" s="22"/>
    </row>
    <row r="12" spans="2:10" s="4" customFormat="1" x14ac:dyDescent="0.2">
      <c r="B12" s="265"/>
      <c r="C12" s="290" t="s">
        <v>82</v>
      </c>
      <c r="D12" s="290"/>
      <c r="E12" s="290"/>
      <c r="F12" s="290"/>
      <c r="G12" s="290"/>
      <c r="H12" s="290"/>
      <c r="I12" s="290"/>
      <c r="J12" s="20"/>
    </row>
    <row r="13" spans="2:10" ht="22.5" customHeight="1" x14ac:dyDescent="0.2">
      <c r="B13" s="265"/>
      <c r="C13" s="269" t="s">
        <v>153</v>
      </c>
      <c r="D13" s="269"/>
      <c r="E13" s="269"/>
      <c r="F13" s="269"/>
      <c r="G13" s="269"/>
      <c r="H13" s="269"/>
      <c r="I13" s="269"/>
      <c r="J13" s="270"/>
    </row>
    <row r="14" spans="2:10" ht="17.25" customHeight="1" x14ac:dyDescent="0.2">
      <c r="B14" s="265"/>
      <c r="C14" s="35"/>
      <c r="D14" s="35"/>
      <c r="E14" s="35"/>
      <c r="F14" s="35"/>
      <c r="G14" s="35"/>
      <c r="H14" s="35"/>
      <c r="I14" s="35"/>
      <c r="J14" s="36"/>
    </row>
    <row r="15" spans="2:10" x14ac:dyDescent="0.2">
      <c r="B15" s="265"/>
      <c r="C15" s="23" t="s">
        <v>83</v>
      </c>
      <c r="D15" s="23"/>
      <c r="E15" s="24"/>
      <c r="F15" s="24"/>
      <c r="G15" s="24"/>
      <c r="H15" s="24"/>
      <c r="I15" s="24"/>
      <c r="J15" s="25"/>
    </row>
    <row r="16" spans="2:10" x14ac:dyDescent="0.2">
      <c r="B16" s="265"/>
      <c r="C16" s="13"/>
      <c r="D16" s="13"/>
      <c r="E16" s="21"/>
      <c r="F16" s="21"/>
      <c r="G16" s="21"/>
      <c r="H16" s="21"/>
      <c r="I16" s="21"/>
      <c r="J16" s="22"/>
    </row>
    <row r="17" spans="2:10" ht="64.5" customHeight="1" x14ac:dyDescent="0.2">
      <c r="B17" s="265"/>
      <c r="C17" s="271" t="s">
        <v>162</v>
      </c>
      <c r="D17" s="272"/>
      <c r="E17" s="280" t="s">
        <v>164</v>
      </c>
      <c r="F17" s="281"/>
      <c r="G17" s="281"/>
      <c r="H17" s="281"/>
      <c r="I17" s="281"/>
      <c r="J17" s="282"/>
    </row>
    <row r="18" spans="2:10" ht="95.25" customHeight="1" x14ac:dyDescent="0.2">
      <c r="B18" s="265"/>
      <c r="C18" s="271" t="s">
        <v>163</v>
      </c>
      <c r="D18" s="272"/>
      <c r="E18" s="291" t="s">
        <v>165</v>
      </c>
      <c r="F18" s="292"/>
      <c r="G18" s="292"/>
      <c r="H18" s="292"/>
      <c r="I18" s="292"/>
      <c r="J18" s="293"/>
    </row>
    <row r="19" spans="2:10" x14ac:dyDescent="0.2">
      <c r="B19" s="265"/>
      <c r="C19" s="3"/>
      <c r="D19" s="3"/>
      <c r="E19" s="13"/>
      <c r="F19" s="13"/>
      <c r="G19" s="13"/>
      <c r="H19" s="13"/>
      <c r="I19" s="13"/>
      <c r="J19" s="17"/>
    </row>
    <row r="20" spans="2:10" ht="19.5" customHeight="1" x14ac:dyDescent="0.2">
      <c r="B20" s="265"/>
      <c r="C20" s="271" t="s">
        <v>139</v>
      </c>
      <c r="D20" s="272"/>
      <c r="E20" s="273" t="s">
        <v>204</v>
      </c>
      <c r="F20" s="273"/>
      <c r="G20" s="273"/>
      <c r="H20" s="273"/>
      <c r="I20" s="273"/>
      <c r="J20" s="274"/>
    </row>
    <row r="21" spans="2:10" ht="19.5" customHeight="1" x14ac:dyDescent="0.2">
      <c r="B21" s="265"/>
      <c r="C21" s="275" t="s">
        <v>142</v>
      </c>
      <c r="D21" s="276"/>
      <c r="E21" s="277" t="s">
        <v>205</v>
      </c>
      <c r="F21" s="278"/>
      <c r="G21" s="278"/>
      <c r="H21" s="278"/>
      <c r="I21" s="278"/>
      <c r="J21" s="279"/>
    </row>
    <row r="22" spans="2:10" ht="19.5" customHeight="1" x14ac:dyDescent="0.2">
      <c r="B22" s="265"/>
      <c r="C22" s="275" t="s">
        <v>141</v>
      </c>
      <c r="D22" s="276"/>
      <c r="E22" s="280" t="s">
        <v>154</v>
      </c>
      <c r="F22" s="281"/>
      <c r="G22" s="281"/>
      <c r="H22" s="281"/>
      <c r="I22" s="281"/>
      <c r="J22" s="282"/>
    </row>
    <row r="23" spans="2:10" x14ac:dyDescent="0.2">
      <c r="B23" s="265"/>
      <c r="C23" s="13"/>
      <c r="D23" s="13"/>
      <c r="E23" s="21"/>
      <c r="F23" s="21"/>
      <c r="G23" s="21"/>
      <c r="H23" s="21"/>
      <c r="I23" s="21"/>
      <c r="J23" s="22"/>
    </row>
    <row r="24" spans="2:10" x14ac:dyDescent="0.2">
      <c r="B24" s="265"/>
      <c r="C24" s="23" t="s">
        <v>158</v>
      </c>
      <c r="D24" s="23"/>
      <c r="E24" s="24"/>
      <c r="F24" s="24"/>
      <c r="G24" s="24"/>
      <c r="H24" s="24"/>
      <c r="I24" s="24"/>
      <c r="J24" s="25"/>
    </row>
    <row r="25" spans="2:10" x14ac:dyDescent="0.2">
      <c r="B25" s="265"/>
      <c r="C25" s="3"/>
      <c r="D25" s="3"/>
      <c r="E25" s="13"/>
      <c r="F25" s="13"/>
      <c r="G25" s="13"/>
      <c r="H25" s="13"/>
      <c r="I25" s="13"/>
      <c r="J25" s="17"/>
    </row>
    <row r="26" spans="2:10" x14ac:dyDescent="0.2">
      <c r="B26" s="265"/>
      <c r="C26" s="271" t="s">
        <v>159</v>
      </c>
      <c r="D26" s="272"/>
      <c r="E26" s="273" t="s">
        <v>160</v>
      </c>
      <c r="F26" s="273"/>
      <c r="G26" s="273"/>
      <c r="H26" s="273"/>
      <c r="I26" s="273"/>
      <c r="J26" s="274"/>
    </row>
    <row r="27" spans="2:10" x14ac:dyDescent="0.2">
      <c r="B27" s="265"/>
      <c r="C27" s="13"/>
      <c r="D27" s="13"/>
      <c r="E27" s="21"/>
      <c r="F27" s="21"/>
      <c r="G27" s="21"/>
      <c r="H27" s="21"/>
      <c r="I27" s="21"/>
      <c r="J27" s="22"/>
    </row>
    <row r="28" spans="2:10" x14ac:dyDescent="0.2">
      <c r="B28" s="265"/>
      <c r="C28" s="23" t="s">
        <v>155</v>
      </c>
      <c r="D28" s="23"/>
      <c r="E28" s="24"/>
      <c r="F28" s="24"/>
      <c r="G28" s="24"/>
      <c r="H28" s="24"/>
      <c r="I28" s="24"/>
      <c r="J28" s="25"/>
    </row>
    <row r="29" spans="2:10" x14ac:dyDescent="0.2">
      <c r="B29" s="265"/>
      <c r="C29" s="3"/>
      <c r="D29" s="3"/>
      <c r="E29" s="13"/>
      <c r="F29" s="13"/>
      <c r="G29" s="13"/>
      <c r="H29" s="13"/>
      <c r="I29" s="13"/>
      <c r="J29" s="17"/>
    </row>
    <row r="30" spans="2:10" ht="39.75" customHeight="1" x14ac:dyDescent="0.2">
      <c r="B30" s="265"/>
      <c r="C30" s="283" t="s">
        <v>156</v>
      </c>
      <c r="D30" s="284"/>
      <c r="E30" s="280" t="s">
        <v>207</v>
      </c>
      <c r="F30" s="285"/>
      <c r="G30" s="285"/>
      <c r="H30" s="285"/>
      <c r="I30" s="285"/>
      <c r="J30" s="286"/>
    </row>
    <row r="31" spans="2:10" ht="38.25" customHeight="1" x14ac:dyDescent="0.2">
      <c r="B31" s="265"/>
      <c r="C31" s="283" t="s">
        <v>157</v>
      </c>
      <c r="D31" s="284"/>
      <c r="E31" s="280" t="s">
        <v>161</v>
      </c>
      <c r="F31" s="285"/>
      <c r="G31" s="285"/>
      <c r="H31" s="285"/>
      <c r="I31" s="285"/>
      <c r="J31" s="286"/>
    </row>
    <row r="32" spans="2:10" ht="38.25" customHeight="1" x14ac:dyDescent="0.2">
      <c r="B32" s="265"/>
      <c r="C32" s="283" t="s">
        <v>129</v>
      </c>
      <c r="D32" s="284"/>
      <c r="E32" s="280" t="s">
        <v>208</v>
      </c>
      <c r="F32" s="285"/>
      <c r="G32" s="285"/>
      <c r="H32" s="285"/>
      <c r="I32" s="285"/>
      <c r="J32" s="286"/>
    </row>
    <row r="33" spans="2:10" ht="39.75" customHeight="1" x14ac:dyDescent="0.2">
      <c r="B33" s="265"/>
      <c r="C33" s="283" t="s">
        <v>145</v>
      </c>
      <c r="D33" s="284"/>
      <c r="E33" s="280" t="s">
        <v>209</v>
      </c>
      <c r="F33" s="285"/>
      <c r="G33" s="285"/>
      <c r="H33" s="285"/>
      <c r="I33" s="285"/>
      <c r="J33" s="286"/>
    </row>
    <row r="34" spans="2:10" x14ac:dyDescent="0.2">
      <c r="B34" s="265"/>
      <c r="C34" s="289"/>
      <c r="D34" s="289"/>
      <c r="E34" s="289"/>
      <c r="F34" s="289"/>
      <c r="G34" s="289"/>
      <c r="H34" s="13"/>
      <c r="I34" s="13"/>
      <c r="J34" s="17"/>
    </row>
    <row r="35" spans="2:10" x14ac:dyDescent="0.2">
      <c r="B35" s="265"/>
      <c r="C35" s="27" t="s">
        <v>74</v>
      </c>
      <c r="D35" s="27"/>
      <c r="E35" s="19"/>
      <c r="F35" s="19"/>
      <c r="G35" s="19"/>
      <c r="H35" s="19"/>
      <c r="I35" s="19"/>
      <c r="J35" s="20"/>
    </row>
    <row r="36" spans="2:10" x14ac:dyDescent="0.2">
      <c r="B36" s="265"/>
      <c r="C36" s="269" t="s">
        <v>81</v>
      </c>
      <c r="D36" s="269"/>
      <c r="E36" s="269"/>
      <c r="F36" s="269"/>
      <c r="G36" s="269"/>
      <c r="H36" s="269"/>
      <c r="I36" s="269"/>
      <c r="J36" s="270"/>
    </row>
    <row r="37" spans="2:10" x14ac:dyDescent="0.2">
      <c r="B37" s="265"/>
      <c r="C37" s="13"/>
      <c r="D37" s="13"/>
      <c r="E37" s="13"/>
      <c r="F37" s="13"/>
      <c r="G37" s="13"/>
      <c r="H37" s="13"/>
      <c r="I37" s="13"/>
      <c r="J37" s="17"/>
    </row>
    <row r="38" spans="2:10" x14ac:dyDescent="0.2">
      <c r="B38" s="265"/>
      <c r="C38" s="27" t="s">
        <v>75</v>
      </c>
      <c r="D38" s="27"/>
      <c r="E38" s="19"/>
      <c r="F38" s="19"/>
      <c r="G38" s="19"/>
      <c r="H38" s="19"/>
      <c r="I38" s="19"/>
      <c r="J38" s="20"/>
    </row>
    <row r="39" spans="2:10" x14ac:dyDescent="0.2">
      <c r="B39" s="265"/>
      <c r="C39" s="28" t="s">
        <v>76</v>
      </c>
      <c r="D39" s="29"/>
      <c r="E39" s="30"/>
      <c r="F39" s="30"/>
      <c r="G39" s="30"/>
      <c r="H39" s="30"/>
      <c r="I39" s="30"/>
      <c r="J39" s="31"/>
    </row>
    <row r="40" spans="2:10" x14ac:dyDescent="0.2">
      <c r="B40" s="265"/>
      <c r="C40" s="13"/>
      <c r="D40" s="13"/>
      <c r="E40" s="13"/>
      <c r="F40" s="13"/>
      <c r="G40" s="13"/>
      <c r="H40" s="13"/>
      <c r="I40" s="13"/>
      <c r="J40" s="17"/>
    </row>
    <row r="41" spans="2:10" x14ac:dyDescent="0.2">
      <c r="B41" s="265"/>
      <c r="C41" s="27" t="s">
        <v>171</v>
      </c>
      <c r="D41" s="27"/>
      <c r="E41" s="19"/>
      <c r="F41" s="19"/>
      <c r="G41" s="19"/>
      <c r="H41" s="19"/>
      <c r="I41" s="19"/>
      <c r="J41" s="20"/>
    </row>
    <row r="42" spans="2:10" ht="91.5" customHeight="1" x14ac:dyDescent="0.2">
      <c r="B42" s="265"/>
      <c r="C42" s="269" t="s">
        <v>206</v>
      </c>
      <c r="D42" s="269"/>
      <c r="E42" s="269"/>
      <c r="F42" s="269"/>
      <c r="G42" s="269"/>
      <c r="H42" s="269"/>
      <c r="I42" s="269"/>
      <c r="J42" s="270"/>
    </row>
    <row r="43" spans="2:10" x14ac:dyDescent="0.2">
      <c r="B43" s="265"/>
      <c r="C43" s="13"/>
      <c r="D43" s="13"/>
      <c r="E43" s="13"/>
      <c r="F43" s="13"/>
      <c r="G43" s="13"/>
      <c r="H43" s="13"/>
      <c r="I43" s="13"/>
      <c r="J43" s="17"/>
    </row>
    <row r="44" spans="2:10" ht="15.75" thickBot="1" x14ac:dyDescent="0.25">
      <c r="B44" s="266"/>
      <c r="C44" s="32"/>
      <c r="D44" s="33"/>
      <c r="E44" s="32"/>
      <c r="F44" s="32"/>
      <c r="G44" s="32"/>
      <c r="H44" s="32"/>
      <c r="I44" s="287"/>
      <c r="J44" s="288"/>
    </row>
  </sheetData>
  <mergeCells count="30">
    <mergeCell ref="C34:G34"/>
    <mergeCell ref="C7:J7"/>
    <mergeCell ref="C13:J13"/>
    <mergeCell ref="C12:I12"/>
    <mergeCell ref="C32:D32"/>
    <mergeCell ref="E32:J32"/>
    <mergeCell ref="C31:D31"/>
    <mergeCell ref="E31:J31"/>
    <mergeCell ref="C26:D26"/>
    <mergeCell ref="E26:J26"/>
    <mergeCell ref="C17:D17"/>
    <mergeCell ref="E17:J17"/>
    <mergeCell ref="C18:D18"/>
    <mergeCell ref="E18:J18"/>
    <mergeCell ref="B3:B44"/>
    <mergeCell ref="C4:J4"/>
    <mergeCell ref="C10:J10"/>
    <mergeCell ref="C20:D20"/>
    <mergeCell ref="E20:J20"/>
    <mergeCell ref="C21:D21"/>
    <mergeCell ref="E21:J21"/>
    <mergeCell ref="C22:D22"/>
    <mergeCell ref="E22:J22"/>
    <mergeCell ref="C30:D30"/>
    <mergeCell ref="C33:D33"/>
    <mergeCell ref="E33:J33"/>
    <mergeCell ref="E30:J30"/>
    <mergeCell ref="C36:J36"/>
    <mergeCell ref="I44:J44"/>
    <mergeCell ref="C42:J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F986-7F98-4313-B9FA-FFD29116D68F}">
  <sheetPr>
    <tabColor rgb="FF00B050"/>
  </sheetPr>
  <dimension ref="A2:P128"/>
  <sheetViews>
    <sheetView showGridLines="0" topLeftCell="A7" workbookViewId="0">
      <selection activeCell="B18" sqref="B18"/>
    </sheetView>
  </sheetViews>
  <sheetFormatPr defaultColWidth="11.43359375" defaultRowHeight="12.75" x14ac:dyDescent="0.15"/>
  <cols>
    <col min="1" max="1" width="7.26171875" style="70" customWidth="1"/>
    <col min="2" max="2" width="23.9453125" style="72" customWidth="1"/>
    <col min="3" max="3" width="31.87890625" style="70" customWidth="1"/>
    <col min="4" max="4" width="23" style="73" customWidth="1"/>
    <col min="5" max="9" width="22.328125" style="73" customWidth="1"/>
    <col min="10" max="11" width="22.328125" style="70" customWidth="1"/>
    <col min="12" max="16384" width="11.43359375" style="70"/>
  </cols>
  <sheetData>
    <row r="2" spans="1:11" s="74" customFormat="1" ht="13.5" x14ac:dyDescent="0.15">
      <c r="B2" s="75" t="s">
        <v>147</v>
      </c>
      <c r="C2" s="76"/>
      <c r="D2" s="77"/>
      <c r="E2" s="77"/>
      <c r="F2" s="77"/>
      <c r="G2" s="77"/>
      <c r="H2" s="77"/>
      <c r="I2" s="77"/>
      <c r="J2" s="77"/>
      <c r="K2" s="78"/>
    </row>
    <row r="3" spans="1:11" s="69" customFormat="1" x14ac:dyDescent="0.15">
      <c r="A3" s="71"/>
      <c r="B3" s="79"/>
      <c r="C3" s="80"/>
      <c r="D3" s="81"/>
      <c r="E3" s="81"/>
      <c r="F3" s="81"/>
      <c r="G3" s="81"/>
      <c r="H3" s="81"/>
      <c r="I3" s="81"/>
      <c r="J3" s="81"/>
      <c r="K3" s="82"/>
    </row>
    <row r="4" spans="1:11" x14ac:dyDescent="0.15">
      <c r="A4" s="110"/>
    </row>
    <row r="5" spans="1:11" x14ac:dyDescent="0.15">
      <c r="B5" s="72" t="s">
        <v>112</v>
      </c>
      <c r="C5" s="83" t="s">
        <v>113</v>
      </c>
    </row>
    <row r="7" spans="1:11" x14ac:dyDescent="0.15">
      <c r="B7" s="72" t="s">
        <v>110</v>
      </c>
      <c r="C7" s="83" t="s">
        <v>111</v>
      </c>
    </row>
    <row r="9" spans="1:11" x14ac:dyDescent="0.15">
      <c r="B9" s="72" t="s">
        <v>114</v>
      </c>
      <c r="C9" s="83" t="s">
        <v>115</v>
      </c>
    </row>
    <row r="10" spans="1:11" x14ac:dyDescent="0.15">
      <c r="A10" s="110"/>
    </row>
    <row r="13" spans="1:11" s="84" customFormat="1" ht="13.5" x14ac:dyDescent="0.15">
      <c r="B13" s="85" t="s">
        <v>146</v>
      </c>
      <c r="C13" s="86"/>
      <c r="D13" s="87"/>
      <c r="E13" s="87"/>
      <c r="F13" s="87"/>
      <c r="G13" s="87"/>
      <c r="H13" s="87"/>
      <c r="I13" s="87"/>
      <c r="J13" s="87"/>
      <c r="K13" s="88"/>
    </row>
    <row r="15" spans="1:11" x14ac:dyDescent="0.15">
      <c r="C15" s="89"/>
      <c r="D15" s="90" t="s">
        <v>139</v>
      </c>
      <c r="E15" s="90" t="s">
        <v>141</v>
      </c>
      <c r="F15" s="91" t="s">
        <v>142</v>
      </c>
      <c r="J15" s="73"/>
    </row>
    <row r="16" spans="1:11" ht="34.5" customHeight="1" x14ac:dyDescent="0.15">
      <c r="C16" s="89"/>
      <c r="D16" s="92" t="s">
        <v>140</v>
      </c>
      <c r="E16" s="92" t="s">
        <v>148</v>
      </c>
      <c r="F16" s="92" t="s">
        <v>127</v>
      </c>
      <c r="J16" s="73"/>
    </row>
    <row r="17" spans="1:16" s="201" customFormat="1" ht="18" customHeight="1" x14ac:dyDescent="0.2">
      <c r="C17" s="208" t="s">
        <v>203</v>
      </c>
      <c r="D17" s="200" t="e">
        <f ca="1">INDIRECT(CONCATENATE(Coûts!V3,"!$AH$47"))</f>
        <v>#VALUE!</v>
      </c>
      <c r="E17" s="200" t="e">
        <f ca="1">INDIRECT(CONCATENATE(Coûts!V3,"!$AH$47"))</f>
        <v>#VALUE!</v>
      </c>
      <c r="F17" s="200" t="e">
        <f ca="1">INDIRECT(CONCATENATE(Coûts!V3,"!$AH$47"))</f>
        <v>#VALUE!</v>
      </c>
      <c r="G17" s="202"/>
      <c r="H17" s="202"/>
      <c r="I17" s="202"/>
      <c r="J17" s="202"/>
    </row>
    <row r="18" spans="1:16" x14ac:dyDescent="0.15">
      <c r="C18" s="93" t="s">
        <v>124</v>
      </c>
      <c r="D18" s="128" t="e">
        <f ca="1">OFFSET(INDIRECT(CONCATENATE(Coûts!V3,"!$AI$47")),0,0)</f>
        <v>#VALUE!</v>
      </c>
      <c r="E18" s="128" t="e">
        <f ca="1">OFFSET(INDIRECT(CONCATENATE(Coûts!V3,"!$AI$47")),0,0)</f>
        <v>#VALUE!</v>
      </c>
      <c r="F18" s="128" t="e">
        <f ca="1">OFFSET(INDIRECT(CONCATENATE(Coûts!V3,"!$AI$47")),0,0)</f>
        <v>#VALUE!</v>
      </c>
      <c r="G18" s="96"/>
      <c r="J18" s="73"/>
    </row>
    <row r="19" spans="1:16" x14ac:dyDescent="0.15">
      <c r="C19" s="94" t="s">
        <v>125</v>
      </c>
      <c r="D19" s="129" t="e">
        <f ca="1">OFFSET(INDIRECT(CONCATENATE(Coûts!V3,"!$AF$47")),0,0)</f>
        <v>#VALUE!</v>
      </c>
      <c r="E19" s="129" t="e">
        <f ca="1">OFFSET(INDIRECT(CONCATENATE(Coûts!V3,"!$AE$47")),0,0)</f>
        <v>#VALUE!</v>
      </c>
      <c r="F19" s="129" t="e">
        <f ca="1">OFFSET(INDIRECT(CONCATENATE(Coûts!V3,"!$AG$47")),0,0)</f>
        <v>#VALUE!</v>
      </c>
    </row>
    <row r="20" spans="1:16" x14ac:dyDescent="0.15">
      <c r="C20" s="95" t="s">
        <v>131</v>
      </c>
      <c r="D20" s="130" t="e">
        <f ca="1">OFFSET(INDIRECT(CONCATENATE(Coûts!V3,"!$AK$47")),0,0)</f>
        <v>#VALUE!</v>
      </c>
      <c r="E20" s="130" t="e">
        <f ca="1">OFFSET(INDIRECT(CONCATENATE(Coûts!V3,"!$AJ$47")),0,0)</f>
        <v>#VALUE!</v>
      </c>
      <c r="F20" s="130" t="e">
        <f ca="1">OFFSET(INDIRECT(CONCATENATE(Coûts!V3,"!$AL$47")),0,0)</f>
        <v>#VALUE!</v>
      </c>
      <c r="J20" s="96"/>
      <c r="K20" s="96"/>
      <c r="L20" s="96"/>
      <c r="M20" s="96"/>
      <c r="N20" s="96"/>
      <c r="O20" s="96"/>
      <c r="P20" s="96"/>
    </row>
    <row r="21" spans="1:16" s="69" customFormat="1" ht="17.25" customHeight="1" x14ac:dyDescent="0.15">
      <c r="A21" s="70"/>
      <c r="C21" s="97"/>
      <c r="D21" s="71"/>
      <c r="E21" s="131"/>
      <c r="F21" s="131"/>
      <c r="G21" s="73"/>
      <c r="H21" s="73"/>
      <c r="I21" s="73"/>
      <c r="J21" s="82"/>
    </row>
    <row r="22" spans="1:16" x14ac:dyDescent="0.15">
      <c r="C22" s="98" t="s">
        <v>144</v>
      </c>
      <c r="D22" s="132" t="e">
        <f ca="1">OFFSET(INDIRECT(CONCATENATE(Coûts!V3,"!$AO$47")),0,0)</f>
        <v>#VALUE!</v>
      </c>
      <c r="E22" s="132" t="e">
        <f ca="1">OFFSET(INDIRECT(CONCATENATE(Coûts!V3,"!$AO$47")),0,0)</f>
        <v>#VALUE!</v>
      </c>
      <c r="F22" s="132" t="e">
        <f ca="1">OFFSET(INDIRECT(CONCATENATE(Coûts!V3,"!$AO$47")),0,0)</f>
        <v>#VALUE!</v>
      </c>
      <c r="J22" s="73"/>
    </row>
    <row r="23" spans="1:16" x14ac:dyDescent="0.15">
      <c r="C23" s="95" t="s">
        <v>129</v>
      </c>
      <c r="D23" s="133" t="e">
        <f ca="1">OFFSET(INDIRECT(CONCATENATE(Coûts!V3,"!$AQ$47")),0,0)</f>
        <v>#VALUE!</v>
      </c>
      <c r="E23" s="133" t="e">
        <f ca="1">OFFSET(INDIRECT(CONCATENATE(Coûts!V3,"!$AP$47")),0,0)</f>
        <v>#VALUE!</v>
      </c>
      <c r="F23" s="133" t="e">
        <f ca="1">OFFSET(INDIRECT(CONCATENATE(Coûts!V3,"!$AR$47")),0,0)</f>
        <v>#VALUE!</v>
      </c>
      <c r="J23" s="96"/>
      <c r="K23" s="96"/>
      <c r="L23" s="96"/>
      <c r="M23" s="96"/>
      <c r="N23" s="96"/>
      <c r="O23" s="96"/>
      <c r="P23" s="96"/>
    </row>
    <row r="24" spans="1:16" x14ac:dyDescent="0.15">
      <c r="C24" s="99"/>
      <c r="D24" s="134"/>
      <c r="E24" s="134"/>
      <c r="F24" s="134"/>
      <c r="J24" s="96"/>
      <c r="K24" s="96"/>
      <c r="L24" s="96"/>
      <c r="M24" s="96"/>
      <c r="N24" s="96"/>
      <c r="O24" s="96"/>
      <c r="P24" s="96"/>
    </row>
    <row r="25" spans="1:16" x14ac:dyDescent="0.15">
      <c r="C25" s="94" t="s">
        <v>149</v>
      </c>
      <c r="D25" s="132" t="e">
        <f ca="1">OFFSET(INDIRECT(CONCATENATE(Coûts!V3,"!$AY$47")),0,0)</f>
        <v>#VALUE!</v>
      </c>
      <c r="E25" s="132" t="e">
        <f ca="1">OFFSET(INDIRECT(CONCATENATE(Coûts!V3,"!$AX$47")),0,0)</f>
        <v>#VALUE!</v>
      </c>
      <c r="F25" s="132" t="e">
        <f ca="1">OFFSET(INDIRECT(CONCATENATE(Coûts!V3,"!$AZ$47")),0,0)</f>
        <v>#VALUE!</v>
      </c>
      <c r="J25" s="96"/>
      <c r="K25" s="96"/>
      <c r="L25" s="96"/>
      <c r="M25" s="96"/>
      <c r="N25" s="96"/>
      <c r="O25" s="96"/>
      <c r="P25" s="96"/>
    </row>
    <row r="26" spans="1:16" x14ac:dyDescent="0.15">
      <c r="C26" s="95" t="s">
        <v>145</v>
      </c>
      <c r="D26" s="133" t="e">
        <f ca="1">D23-D25</f>
        <v>#VALUE!</v>
      </c>
      <c r="E26" s="133" t="e">
        <f ca="1">E23-E25</f>
        <v>#VALUE!</v>
      </c>
      <c r="F26" s="133" t="e">
        <f ca="1">F23-F25</f>
        <v>#VALUE!</v>
      </c>
      <c r="J26" s="96"/>
      <c r="K26" s="96"/>
      <c r="L26" s="96"/>
      <c r="M26" s="96"/>
      <c r="N26" s="96"/>
      <c r="O26" s="96"/>
      <c r="P26" s="96"/>
    </row>
    <row r="27" spans="1:16" x14ac:dyDescent="0.15">
      <c r="D27" s="135"/>
      <c r="E27" s="135"/>
      <c r="F27" s="135"/>
      <c r="J27" s="96"/>
      <c r="K27" s="96"/>
      <c r="L27" s="96"/>
      <c r="M27" s="96"/>
      <c r="N27" s="96"/>
      <c r="O27" s="96"/>
      <c r="P27" s="96"/>
    </row>
    <row r="28" spans="1:16" x14ac:dyDescent="0.15">
      <c r="C28" s="94" t="s">
        <v>150</v>
      </c>
      <c r="D28" s="132" t="e">
        <f ca="1">OFFSET(INDIRECT(CONCATENATE(Coûts!V3,"!$AU$47")),0,0)</f>
        <v>#VALUE!</v>
      </c>
      <c r="E28" s="132" t="e">
        <f ca="1">OFFSET(INDIRECT(CONCATENATE(Coûts!V3,"!$AT$47")),0,0)</f>
        <v>#VALUE!</v>
      </c>
      <c r="F28" s="132" t="e">
        <f ca="1">OFFSET(INDIRECT(CONCATENATE(Coûts!V3,"!$AV$47")),0,0)</f>
        <v>#VALUE!</v>
      </c>
      <c r="J28" s="96"/>
      <c r="K28" s="96"/>
      <c r="L28" s="96"/>
      <c r="M28" s="96"/>
      <c r="N28" s="96"/>
      <c r="O28" s="96"/>
      <c r="P28" s="96"/>
    </row>
    <row r="29" spans="1:16" x14ac:dyDescent="0.15">
      <c r="C29" s="95" t="s">
        <v>145</v>
      </c>
      <c r="D29" s="133" t="e">
        <f ca="1">D26-D28</f>
        <v>#VALUE!</v>
      </c>
      <c r="E29" s="133" t="e">
        <f ca="1">E26-E28</f>
        <v>#VALUE!</v>
      </c>
      <c r="F29" s="133" t="e">
        <f ca="1">F26-F28</f>
        <v>#VALUE!</v>
      </c>
      <c r="J29" s="96"/>
      <c r="K29" s="96"/>
      <c r="L29" s="96"/>
      <c r="M29" s="96"/>
      <c r="N29" s="96"/>
      <c r="O29" s="96"/>
      <c r="P29" s="96"/>
    </row>
    <row r="30" spans="1:16" x14ac:dyDescent="0.15">
      <c r="C30" s="100"/>
      <c r="D30" s="101"/>
      <c r="E30" s="101"/>
      <c r="F30" s="101"/>
      <c r="J30" s="73"/>
    </row>
    <row r="31" spans="1:16" x14ac:dyDescent="0.15">
      <c r="J31" s="73"/>
      <c r="K31" s="73"/>
    </row>
    <row r="32" spans="1:16" x14ac:dyDescent="0.15">
      <c r="J32" s="73"/>
      <c r="K32" s="73"/>
    </row>
    <row r="33" spans="10:11" x14ac:dyDescent="0.15">
      <c r="J33" s="73"/>
      <c r="K33" s="73"/>
    </row>
    <row r="34" spans="10:11" x14ac:dyDescent="0.15">
      <c r="J34" s="73"/>
      <c r="K34" s="73"/>
    </row>
    <row r="35" spans="10:11" x14ac:dyDescent="0.15">
      <c r="J35" s="73"/>
      <c r="K35" s="73"/>
    </row>
    <row r="36" spans="10:11" x14ac:dyDescent="0.15">
      <c r="J36" s="73"/>
      <c r="K36" s="73"/>
    </row>
    <row r="37" spans="10:11" x14ac:dyDescent="0.15">
      <c r="J37" s="73"/>
      <c r="K37" s="73"/>
    </row>
    <row r="38" spans="10:11" x14ac:dyDescent="0.15">
      <c r="J38" s="73"/>
      <c r="K38" s="73"/>
    </row>
    <row r="39" spans="10:11" x14ac:dyDescent="0.15">
      <c r="J39" s="73"/>
      <c r="K39" s="73"/>
    </row>
    <row r="40" spans="10:11" x14ac:dyDescent="0.15">
      <c r="J40" s="73"/>
      <c r="K40" s="73"/>
    </row>
    <row r="41" spans="10:11" x14ac:dyDescent="0.15">
      <c r="J41" s="73"/>
      <c r="K41" s="73"/>
    </row>
    <row r="42" spans="10:11" x14ac:dyDescent="0.15">
      <c r="J42" s="73"/>
      <c r="K42" s="73"/>
    </row>
    <row r="43" spans="10:11" x14ac:dyDescent="0.15">
      <c r="J43" s="73"/>
      <c r="K43" s="73"/>
    </row>
    <row r="44" spans="10:11" x14ac:dyDescent="0.15">
      <c r="J44" s="73"/>
      <c r="K44" s="73"/>
    </row>
    <row r="45" spans="10:11" x14ac:dyDescent="0.15">
      <c r="J45" s="73"/>
      <c r="K45" s="73"/>
    </row>
    <row r="46" spans="10:11" x14ac:dyDescent="0.15">
      <c r="J46" s="73"/>
      <c r="K46" s="73"/>
    </row>
    <row r="47" spans="10:11" x14ac:dyDescent="0.15">
      <c r="J47" s="73"/>
      <c r="K47" s="73"/>
    </row>
    <row r="48" spans="10:11" x14ac:dyDescent="0.15">
      <c r="J48" s="73"/>
      <c r="K48" s="73"/>
    </row>
    <row r="49" spans="2:11" x14ac:dyDescent="0.15">
      <c r="J49" s="73"/>
      <c r="K49" s="73"/>
    </row>
    <row r="50" spans="2:11" x14ac:dyDescent="0.15">
      <c r="J50" s="73"/>
      <c r="K50" s="73"/>
    </row>
    <row r="51" spans="2:11" x14ac:dyDescent="0.15">
      <c r="J51" s="73"/>
      <c r="K51" s="73"/>
    </row>
    <row r="52" spans="2:11" x14ac:dyDescent="0.15">
      <c r="J52" s="73"/>
      <c r="K52" s="73"/>
    </row>
    <row r="53" spans="2:11" x14ac:dyDescent="0.15">
      <c r="J53" s="73"/>
      <c r="K53" s="73"/>
    </row>
    <row r="54" spans="2:11" x14ac:dyDescent="0.15">
      <c r="J54" s="73"/>
      <c r="K54" s="73"/>
    </row>
    <row r="55" spans="2:11" x14ac:dyDescent="0.15">
      <c r="J55" s="73"/>
      <c r="K55" s="73"/>
    </row>
    <row r="56" spans="2:11" x14ac:dyDescent="0.15">
      <c r="J56" s="73"/>
      <c r="K56" s="73"/>
    </row>
    <row r="57" spans="2:11" x14ac:dyDescent="0.15">
      <c r="J57" s="73"/>
      <c r="K57" s="73"/>
    </row>
    <row r="58" spans="2:11" x14ac:dyDescent="0.15">
      <c r="J58" s="73"/>
      <c r="K58" s="73"/>
    </row>
    <row r="59" spans="2:11" x14ac:dyDescent="0.15">
      <c r="B59" s="89"/>
      <c r="C59" s="102"/>
      <c r="D59" s="103"/>
      <c r="E59" s="103"/>
      <c r="F59" s="103"/>
      <c r="G59" s="103"/>
      <c r="H59" s="103"/>
      <c r="I59" s="103"/>
      <c r="J59" s="103"/>
      <c r="K59" s="73"/>
    </row>
    <row r="60" spans="2:11" s="74" customFormat="1" ht="13.5" x14ac:dyDescent="0.15">
      <c r="B60" s="75" t="s">
        <v>143</v>
      </c>
      <c r="C60" s="76"/>
      <c r="D60" s="77"/>
      <c r="E60" s="77"/>
      <c r="F60" s="77"/>
      <c r="G60" s="77"/>
      <c r="H60" s="77"/>
      <c r="I60" s="77"/>
      <c r="J60" s="77"/>
      <c r="K60" s="78"/>
    </row>
    <row r="61" spans="2:11" s="69" customFormat="1" x14ac:dyDescent="0.15">
      <c r="B61" s="104"/>
      <c r="C61" s="80"/>
      <c r="D61" s="81"/>
      <c r="E61" s="81"/>
      <c r="F61" s="81"/>
      <c r="G61" s="81"/>
      <c r="H61" s="81"/>
      <c r="I61" s="81"/>
      <c r="J61" s="81"/>
      <c r="K61" s="82"/>
    </row>
    <row r="62" spans="2:11" s="69" customFormat="1" x14ac:dyDescent="0.15">
      <c r="B62" s="104"/>
      <c r="C62" s="80"/>
      <c r="D62" s="81"/>
      <c r="E62" s="81"/>
      <c r="F62" s="81"/>
      <c r="G62" s="81"/>
      <c r="H62" s="81"/>
      <c r="I62" s="81"/>
      <c r="J62" s="81"/>
      <c r="K62" s="82"/>
    </row>
    <row r="63" spans="2:11" s="69" customFormat="1" x14ac:dyDescent="0.15">
      <c r="B63" s="104"/>
      <c r="C63" s="80"/>
      <c r="D63" s="81"/>
      <c r="E63" s="81"/>
      <c r="F63" s="81"/>
      <c r="G63" s="81"/>
      <c r="H63" s="81"/>
      <c r="I63" s="81"/>
      <c r="J63" s="81"/>
      <c r="K63" s="82"/>
    </row>
    <row r="64" spans="2:11" s="69" customFormat="1" x14ac:dyDescent="0.15">
      <c r="B64" s="104"/>
      <c r="C64" s="80"/>
      <c r="D64" s="81"/>
      <c r="E64" s="81"/>
      <c r="F64" s="81"/>
      <c r="G64" s="81"/>
      <c r="H64" s="81"/>
      <c r="I64" s="81"/>
      <c r="J64" s="81"/>
      <c r="K64" s="82"/>
    </row>
    <row r="65" spans="2:11" s="69" customFormat="1" x14ac:dyDescent="0.15">
      <c r="B65" s="104"/>
      <c r="C65" s="80"/>
      <c r="D65" s="81"/>
      <c r="E65" s="81"/>
      <c r="F65" s="81"/>
      <c r="G65" s="81"/>
      <c r="H65" s="81"/>
      <c r="I65" s="81"/>
      <c r="J65" s="81"/>
      <c r="K65" s="82"/>
    </row>
    <row r="66" spans="2:11" s="69" customFormat="1" x14ac:dyDescent="0.15">
      <c r="B66" s="104"/>
      <c r="C66" s="80"/>
      <c r="D66" s="81"/>
      <c r="E66" s="81"/>
      <c r="F66" s="81"/>
      <c r="G66" s="81"/>
      <c r="H66" s="81"/>
      <c r="I66" s="81"/>
      <c r="J66" s="81"/>
      <c r="K66" s="82"/>
    </row>
    <row r="67" spans="2:11" s="69" customFormat="1" x14ac:dyDescent="0.15">
      <c r="B67" s="104"/>
      <c r="C67" s="80"/>
      <c r="D67" s="81"/>
      <c r="E67" s="81"/>
      <c r="F67" s="81"/>
      <c r="G67" s="81"/>
      <c r="H67" s="81"/>
      <c r="I67" s="81"/>
      <c r="J67" s="81"/>
      <c r="K67" s="82"/>
    </row>
    <row r="68" spans="2:11" s="69" customFormat="1" x14ac:dyDescent="0.15">
      <c r="B68" s="104"/>
      <c r="C68" s="80"/>
      <c r="D68" s="81"/>
      <c r="E68" s="81"/>
      <c r="F68" s="81"/>
      <c r="G68" s="81"/>
      <c r="H68" s="81"/>
      <c r="I68" s="81"/>
      <c r="J68" s="81"/>
      <c r="K68" s="82"/>
    </row>
    <row r="69" spans="2:11" s="69" customFormat="1" x14ac:dyDescent="0.15">
      <c r="B69" s="104"/>
      <c r="C69" s="80"/>
      <c r="D69" s="81"/>
      <c r="E69" s="81"/>
      <c r="F69" s="81"/>
      <c r="G69" s="81"/>
      <c r="H69" s="81"/>
      <c r="I69" s="81"/>
      <c r="J69" s="81"/>
      <c r="K69" s="82"/>
    </row>
    <row r="70" spans="2:11" s="69" customFormat="1" x14ac:dyDescent="0.15">
      <c r="B70" s="104"/>
      <c r="C70" s="80"/>
      <c r="D70" s="81"/>
      <c r="E70" s="81"/>
      <c r="F70" s="81"/>
      <c r="G70" s="81"/>
      <c r="H70" s="81"/>
      <c r="I70" s="81"/>
      <c r="J70" s="81"/>
      <c r="K70" s="82"/>
    </row>
    <row r="71" spans="2:11" s="69" customFormat="1" x14ac:dyDescent="0.15">
      <c r="B71" s="104"/>
      <c r="C71" s="80"/>
      <c r="D71" s="81"/>
      <c r="E71" s="81"/>
      <c r="F71" s="81"/>
      <c r="G71" s="81"/>
      <c r="H71" s="81"/>
      <c r="I71" s="81"/>
      <c r="J71" s="81"/>
      <c r="K71" s="82"/>
    </row>
    <row r="72" spans="2:11" s="69" customFormat="1" x14ac:dyDescent="0.15">
      <c r="B72" s="104"/>
      <c r="C72" s="80"/>
      <c r="D72" s="81"/>
      <c r="E72" s="81"/>
      <c r="F72" s="81"/>
      <c r="G72" s="81"/>
      <c r="H72" s="81"/>
      <c r="I72" s="81"/>
      <c r="J72" s="81"/>
      <c r="K72" s="82"/>
    </row>
    <row r="73" spans="2:11" s="69" customFormat="1" x14ac:dyDescent="0.15">
      <c r="B73" s="104"/>
      <c r="C73" s="80"/>
      <c r="D73" s="81"/>
      <c r="E73" s="81"/>
      <c r="F73" s="81"/>
      <c r="G73" s="81"/>
      <c r="H73" s="81"/>
      <c r="I73" s="81"/>
      <c r="J73" s="81"/>
      <c r="K73" s="82"/>
    </row>
    <row r="74" spans="2:11" s="69" customFormat="1" x14ac:dyDescent="0.15">
      <c r="B74" s="104"/>
      <c r="C74" s="80"/>
      <c r="D74" s="81"/>
      <c r="E74" s="81"/>
      <c r="F74" s="81"/>
      <c r="G74" s="81"/>
      <c r="H74" s="81"/>
      <c r="I74" s="81"/>
      <c r="J74" s="81"/>
      <c r="K74" s="82"/>
    </row>
    <row r="75" spans="2:11" s="69" customFormat="1" x14ac:dyDescent="0.15">
      <c r="B75" s="104"/>
      <c r="C75" s="80"/>
      <c r="D75" s="81"/>
      <c r="E75" s="81"/>
      <c r="F75" s="81"/>
      <c r="G75" s="81"/>
      <c r="H75" s="81"/>
      <c r="I75" s="81"/>
      <c r="J75" s="81"/>
      <c r="K75" s="82"/>
    </row>
    <row r="76" spans="2:11" s="69" customFormat="1" x14ac:dyDescent="0.15">
      <c r="B76" s="104"/>
      <c r="C76" s="80"/>
      <c r="D76" s="81"/>
      <c r="E76" s="81"/>
      <c r="F76" s="81"/>
      <c r="G76" s="81"/>
      <c r="H76" s="81"/>
      <c r="I76" s="81"/>
      <c r="J76" s="81"/>
      <c r="K76" s="82"/>
    </row>
    <row r="77" spans="2:11" s="69" customFormat="1" x14ac:dyDescent="0.15">
      <c r="B77" s="104"/>
      <c r="C77" s="80"/>
      <c r="D77" s="81"/>
      <c r="E77" s="81"/>
      <c r="F77" s="81"/>
      <c r="G77" s="81"/>
      <c r="H77" s="81"/>
      <c r="I77" s="81"/>
      <c r="J77" s="81"/>
      <c r="K77" s="82"/>
    </row>
    <row r="78" spans="2:11" s="69" customFormat="1" x14ac:dyDescent="0.15">
      <c r="B78" s="104"/>
      <c r="C78" s="80"/>
      <c r="D78" s="81"/>
      <c r="E78" s="81"/>
      <c r="F78" s="81"/>
      <c r="G78" s="81"/>
      <c r="H78" s="81"/>
      <c r="I78" s="81"/>
      <c r="J78" s="81"/>
      <c r="K78" s="82"/>
    </row>
    <row r="79" spans="2:11" s="69" customFormat="1" x14ac:dyDescent="0.15">
      <c r="B79" s="104"/>
      <c r="C79" s="80"/>
      <c r="D79" s="81"/>
      <c r="E79" s="81"/>
      <c r="F79" s="81"/>
      <c r="G79" s="81"/>
      <c r="H79" s="81"/>
      <c r="I79" s="81"/>
      <c r="J79" s="81"/>
      <c r="K79" s="82"/>
    </row>
    <row r="80" spans="2:11" s="69" customFormat="1" x14ac:dyDescent="0.15">
      <c r="B80" s="104"/>
      <c r="C80" s="80"/>
      <c r="D80" s="81"/>
      <c r="E80" s="81"/>
      <c r="F80" s="81"/>
      <c r="G80" s="81"/>
      <c r="H80" s="81"/>
      <c r="I80" s="81"/>
      <c r="J80" s="81"/>
      <c r="K80" s="82"/>
    </row>
    <row r="81" spans="1:11" s="69" customFormat="1" x14ac:dyDescent="0.15">
      <c r="B81" s="104"/>
      <c r="C81" s="80"/>
      <c r="D81" s="81"/>
      <c r="E81" s="81"/>
      <c r="F81" s="81"/>
      <c r="G81" s="81"/>
      <c r="H81" s="81"/>
      <c r="I81" s="81"/>
      <c r="J81" s="81"/>
      <c r="K81" s="82"/>
    </row>
    <row r="82" spans="1:11" s="69" customFormat="1" x14ac:dyDescent="0.15">
      <c r="B82" s="104"/>
      <c r="C82" s="80"/>
      <c r="D82" s="81"/>
      <c r="E82" s="81"/>
      <c r="F82" s="81"/>
      <c r="G82" s="81"/>
      <c r="H82" s="81"/>
      <c r="I82" s="81"/>
      <c r="J82" s="81"/>
      <c r="K82" s="82"/>
    </row>
    <row r="83" spans="1:11" s="69" customFormat="1" x14ac:dyDescent="0.15">
      <c r="B83" s="104"/>
      <c r="C83" s="80"/>
      <c r="D83" s="81"/>
      <c r="E83" s="81"/>
      <c r="F83" s="81"/>
      <c r="G83" s="81"/>
      <c r="H83" s="81"/>
      <c r="I83" s="81"/>
      <c r="J83" s="81"/>
      <c r="K83" s="82"/>
    </row>
    <row r="84" spans="1:11" s="69" customFormat="1" x14ac:dyDescent="0.15">
      <c r="B84" s="104"/>
      <c r="C84" s="80"/>
      <c r="D84" s="81"/>
      <c r="E84" s="81"/>
      <c r="F84" s="81"/>
      <c r="G84" s="81"/>
      <c r="H84" s="81"/>
      <c r="I84" s="81"/>
      <c r="J84" s="81"/>
      <c r="K84" s="82"/>
    </row>
    <row r="85" spans="1:11" s="69" customFormat="1" x14ac:dyDescent="0.15">
      <c r="B85" s="104"/>
      <c r="C85" s="80"/>
      <c r="D85" s="81"/>
      <c r="E85" s="81"/>
      <c r="F85" s="81"/>
      <c r="G85" s="81"/>
      <c r="H85" s="81"/>
      <c r="I85" s="81"/>
      <c r="J85" s="81"/>
      <c r="K85" s="82"/>
    </row>
    <row r="86" spans="1:11" s="69" customFormat="1" x14ac:dyDescent="0.15">
      <c r="B86" s="104"/>
      <c r="C86" s="80"/>
      <c r="D86" s="81"/>
      <c r="E86" s="81"/>
      <c r="F86" s="81"/>
      <c r="G86" s="81"/>
      <c r="H86" s="81"/>
      <c r="I86" s="81"/>
      <c r="J86" s="81"/>
      <c r="K86" s="82"/>
    </row>
    <row r="87" spans="1:11" s="69" customFormat="1" x14ac:dyDescent="0.15">
      <c r="B87" s="104"/>
      <c r="C87" s="80"/>
      <c r="D87" s="81"/>
      <c r="E87" s="81"/>
      <c r="F87" s="81"/>
      <c r="G87" s="81"/>
      <c r="H87" s="81"/>
      <c r="I87" s="81"/>
      <c r="J87" s="81"/>
      <c r="K87" s="82"/>
    </row>
    <row r="88" spans="1:11" s="69" customFormat="1" x14ac:dyDescent="0.15">
      <c r="B88" s="104"/>
      <c r="C88" s="80"/>
      <c r="D88" s="81"/>
      <c r="E88" s="81"/>
      <c r="F88" s="81"/>
      <c r="G88" s="81"/>
      <c r="H88" s="81"/>
      <c r="I88" s="81"/>
      <c r="J88" s="81"/>
      <c r="K88" s="82"/>
    </row>
    <row r="89" spans="1:11" x14ac:dyDescent="0.15">
      <c r="D89" s="105"/>
      <c r="E89" s="105"/>
      <c r="F89" s="105"/>
      <c r="G89" s="105"/>
      <c r="H89" s="105"/>
      <c r="I89" s="105"/>
      <c r="K89" s="73"/>
    </row>
    <row r="90" spans="1:11" x14ac:dyDescent="0.15">
      <c r="A90" s="89"/>
      <c r="C90" s="89" t="s">
        <v>151</v>
      </c>
      <c r="D90" s="105" t="s">
        <v>66</v>
      </c>
      <c r="E90" s="105" t="s">
        <v>67</v>
      </c>
      <c r="F90" s="105" t="s">
        <v>120</v>
      </c>
      <c r="G90" s="250" t="str">
        <f>IF(Coûts!N3=1,Modele_OS!B4,IF(Coûts!N3=2,Modele_COEUR!B4,"NA"))</f>
        <v>08C613</v>
      </c>
      <c r="H90" s="250" t="str">
        <f>IF(Coûts!N3=1,Modele_OS!B7,"NA")</f>
        <v>08C614</v>
      </c>
      <c r="I90" s="250" t="str">
        <f>IF(Coûts!N3=1,Modele_OS!B5,"NA")</f>
        <v>08M314</v>
      </c>
      <c r="K90" s="73"/>
    </row>
    <row r="91" spans="1:11" x14ac:dyDescent="0.15">
      <c r="A91" s="89"/>
      <c r="C91" s="89"/>
      <c r="D91" s="105"/>
      <c r="E91" s="105"/>
      <c r="F91" s="105"/>
      <c r="G91" s="105"/>
      <c r="H91" s="105"/>
      <c r="I91" s="105"/>
      <c r="K91" s="73"/>
    </row>
    <row r="92" spans="1:11" x14ac:dyDescent="0.15">
      <c r="A92" s="89"/>
      <c r="C92" s="207" t="s">
        <v>170</v>
      </c>
      <c r="D92" s="206" t="e">
        <f ca="1">OFFSET(INDIRECT(CONCATENATE(Coûts!V3,"!$AH$47")),1,0)</f>
        <v>#VALUE!</v>
      </c>
      <c r="E92" s="206" t="e">
        <f ca="1">OFFSET(INDIRECT(CONCATENATE(Coûts!V3,"!$AH$47")),2,0)</f>
        <v>#VALUE!</v>
      </c>
      <c r="F92" s="206" t="e">
        <f ca="1">OFFSET(INDIRECT(CONCATENATE(Coûts!V3,"!$AH$47")),3,0)</f>
        <v>#VALUE!</v>
      </c>
      <c r="G92" s="206" t="e">
        <f ca="1">OFFSET(INDIRECT(CONCATENATE(Coûts!V3,"!$AH$47")),4,0)</f>
        <v>#VALUE!</v>
      </c>
      <c r="H92" s="206" t="e">
        <f ca="1">OFFSET(INDIRECT(CONCATENATE(Coûts!V3,"!$AH$47")),5,0)</f>
        <v>#VALUE!</v>
      </c>
      <c r="I92" s="206" t="e">
        <f ca="1">OFFSET(INDIRECT(CONCATENATE(Coûts!V3,"!$AH$47")),6,0)</f>
        <v>#VALUE!</v>
      </c>
      <c r="K92" s="73"/>
    </row>
    <row r="93" spans="1:11" x14ac:dyDescent="0.15">
      <c r="C93" s="72"/>
      <c r="K93" s="73"/>
    </row>
    <row r="94" spans="1:11" x14ac:dyDescent="0.15">
      <c r="C94" s="93" t="s">
        <v>124</v>
      </c>
      <c r="D94" s="128" t="e">
        <f ca="1">OFFSET(INDIRECT(CONCATENATE(Coûts!V3,"!$AI$47")),1,0)</f>
        <v>#VALUE!</v>
      </c>
      <c r="E94" s="128" t="e">
        <f ca="1">OFFSET(INDIRECT(CONCATENATE(Coûts!V3,"!$AI$47")),2,0)</f>
        <v>#VALUE!</v>
      </c>
      <c r="F94" s="128" t="e">
        <f ca="1">OFFSET(INDIRECT(CONCATENATE(Coûts!V3,"!$AI$47")),3,0)</f>
        <v>#VALUE!</v>
      </c>
      <c r="G94" s="128" t="e">
        <f ca="1">OFFSET(INDIRECT(CONCATENATE(Coûts!V3,"!$AI$47")),4,0)</f>
        <v>#VALUE!</v>
      </c>
      <c r="H94" s="128" t="e">
        <f ca="1">OFFSET(INDIRECT(CONCATENATE(Coûts!V3,"!$AI$47")),5,0)</f>
        <v>#VALUE!</v>
      </c>
      <c r="I94" s="128" t="e">
        <f ca="1">OFFSET(INDIRECT(CONCATENATE(Coûts!V3,"!$AI$47")),6,0)</f>
        <v>#VALUE!</v>
      </c>
      <c r="K94" s="73"/>
    </row>
    <row r="95" spans="1:11" x14ac:dyDescent="0.15">
      <c r="C95" s="98" t="s">
        <v>144</v>
      </c>
      <c r="D95" s="132" t="e">
        <f ca="1">OFFSET(INDIRECT(CONCATENATE(Coûts!V3,"!$AO$47")),1,0)</f>
        <v>#VALUE!</v>
      </c>
      <c r="E95" s="132" t="e">
        <f ca="1">OFFSET(INDIRECT(CONCATENATE(Coûts!V3,"!$AO$47")),2,0)</f>
        <v>#VALUE!</v>
      </c>
      <c r="F95" s="132" t="e">
        <f ca="1">OFFSET(INDIRECT(CONCATENATE(Coûts!V3,"!$AO$47")),3,0)</f>
        <v>#VALUE!</v>
      </c>
      <c r="G95" s="132" t="e">
        <f ca="1">OFFSET(INDIRECT(CONCATENATE(Coûts!V3,"!$AO$47")),4,0)</f>
        <v>#VALUE!</v>
      </c>
      <c r="H95" s="132" t="e">
        <f ca="1">OFFSET(INDIRECT(CONCATENATE(Coûts!V3,"!$AO$47")),5,0)</f>
        <v>#VALUE!</v>
      </c>
      <c r="I95" s="132" t="e">
        <f ca="1">OFFSET(INDIRECT(CONCATENATE(Coûts!V3,"!$AO$47")),6,0)</f>
        <v>#VALUE!</v>
      </c>
      <c r="K95" s="73"/>
    </row>
    <row r="96" spans="1:11" x14ac:dyDescent="0.15">
      <c r="C96" s="97"/>
      <c r="D96" s="131"/>
      <c r="E96" s="131"/>
      <c r="F96" s="131"/>
      <c r="G96" s="131"/>
      <c r="H96" s="131"/>
      <c r="I96" s="131"/>
      <c r="K96" s="73"/>
    </row>
    <row r="97" spans="3:9" x14ac:dyDescent="0.15">
      <c r="C97" s="100" t="s">
        <v>139</v>
      </c>
      <c r="D97" s="203"/>
      <c r="E97" s="203"/>
      <c r="F97" s="203"/>
      <c r="G97" s="203"/>
      <c r="H97" s="203"/>
      <c r="I97" s="203"/>
    </row>
    <row r="98" spans="3:9" x14ac:dyDescent="0.15">
      <c r="C98" s="94" t="s">
        <v>125</v>
      </c>
      <c r="D98" s="129" t="e">
        <f ca="1">OFFSET(INDIRECT(CONCATENATE(Coûts!V3,"!$AF$47")),1,0)</f>
        <v>#VALUE!</v>
      </c>
      <c r="E98" s="129" t="e">
        <f ca="1">OFFSET(INDIRECT(CONCATENATE(Coûts!V3,"!$AF$47")),2,0)</f>
        <v>#VALUE!</v>
      </c>
      <c r="F98" s="129" t="e">
        <f ca="1">OFFSET(INDIRECT(CONCATENATE(Coûts!V3,"!$AF$47")),3,0)</f>
        <v>#VALUE!</v>
      </c>
      <c r="G98" s="129" t="e">
        <f ca="1">OFFSET(INDIRECT(CONCATENATE(Coûts!V3,"!$AF$47")),4,0)</f>
        <v>#VALUE!</v>
      </c>
      <c r="H98" s="129" t="e">
        <f ca="1">OFFSET(INDIRECT(CONCATENATE(Coûts!V3,"!$AF$47")),5,0)</f>
        <v>#VALUE!</v>
      </c>
      <c r="I98" s="129" t="e">
        <f ca="1">OFFSET(INDIRECT(CONCATENATE(Coûts!V3,"!$AF$47")),6,0)</f>
        <v>#VALUE!</v>
      </c>
    </row>
    <row r="99" spans="3:9" x14ac:dyDescent="0.15">
      <c r="C99" s="94" t="s">
        <v>131</v>
      </c>
      <c r="D99" s="129" t="e">
        <f ca="1">OFFSET(INDIRECT(CONCATENATE(Coûts!V3,"!$AK$47")),1,0)</f>
        <v>#VALUE!</v>
      </c>
      <c r="E99" s="129" t="e">
        <f ca="1">OFFSET(INDIRECT(CONCATENATE(Coûts!V3,"!$AK$47")),2,0)</f>
        <v>#VALUE!</v>
      </c>
      <c r="F99" s="129" t="e">
        <f ca="1">OFFSET(INDIRECT(CONCATENATE(Coûts!V3,"!$AK$47")),3,0)</f>
        <v>#VALUE!</v>
      </c>
      <c r="G99" s="129" t="e">
        <f ca="1">OFFSET(INDIRECT(CONCATENATE(Coûts!V3,"!$AK$47")),4,0)</f>
        <v>#VALUE!</v>
      </c>
      <c r="H99" s="129" t="e">
        <f ca="1">OFFSET(INDIRECT(CONCATENATE(Coûts!V3,"!$AK$47")),5,0)</f>
        <v>#VALUE!</v>
      </c>
      <c r="I99" s="129" t="e">
        <f ca="1">OFFSET(INDIRECT(CONCATENATE(Coûts!V3,"!$AK$47")),6,0)</f>
        <v>#VALUE!</v>
      </c>
    </row>
    <row r="100" spans="3:9" x14ac:dyDescent="0.15">
      <c r="C100" s="94" t="s">
        <v>129</v>
      </c>
      <c r="D100" s="132" t="e">
        <f ca="1">OFFSET(INDIRECT(CONCATENATE(Coûts!V3,"!$AQ$47")),1,0)</f>
        <v>#VALUE!</v>
      </c>
      <c r="E100" s="132" t="e">
        <f ca="1">OFFSET(INDIRECT(CONCATENATE(Coûts!V3,"!$AQ$47")),2,0)</f>
        <v>#VALUE!</v>
      </c>
      <c r="F100" s="132" t="e">
        <f ca="1">OFFSET(INDIRECT(CONCATENATE(Coûts!V3,"!$AQ$47")),3,0)</f>
        <v>#VALUE!</v>
      </c>
      <c r="G100" s="132" t="e">
        <f ca="1">OFFSET(INDIRECT(CONCATENATE(Coûts!V3,"!$AQ$47")),4,0)</f>
        <v>#VALUE!</v>
      </c>
      <c r="H100" s="132" t="e">
        <f ca="1">OFFSET(INDIRECT(CONCATENATE(Coûts!V3,"!$AQ$47")),5,0)</f>
        <v>#VALUE!</v>
      </c>
      <c r="I100" s="132" t="e">
        <f ca="1">OFFSET(INDIRECT(CONCATENATE(Coûts!V3,"!$AQ$47")),6,0)</f>
        <v>#VALUE!</v>
      </c>
    </row>
    <row r="101" spans="3:9" x14ac:dyDescent="0.15">
      <c r="C101" s="99"/>
      <c r="D101" s="134"/>
      <c r="E101" s="134"/>
      <c r="F101" s="134"/>
      <c r="G101" s="134"/>
      <c r="H101" s="134"/>
      <c r="I101" s="134"/>
    </row>
    <row r="102" spans="3:9" x14ac:dyDescent="0.15">
      <c r="C102" s="94" t="s">
        <v>149</v>
      </c>
      <c r="D102" s="132" t="e">
        <f ca="1">OFFSET(INDIRECT(CONCATENATE(Coûts!V3,"!$AY$47")),1,0)</f>
        <v>#VALUE!</v>
      </c>
      <c r="E102" s="132" t="e">
        <f ca="1">OFFSET(INDIRECT(CONCATENATE(Coûts!V3,"!$AY$47")),2,0)</f>
        <v>#VALUE!</v>
      </c>
      <c r="F102" s="132" t="e">
        <f ca="1">OFFSET(INDIRECT(CONCATENATE(Coûts!V3,"!$AY$47")),3,0)</f>
        <v>#VALUE!</v>
      </c>
      <c r="G102" s="132" t="e">
        <f ca="1">OFFSET(INDIRECT(CONCATENATE(Coûts!V3,"!$AY$47")),4,0)</f>
        <v>#VALUE!</v>
      </c>
      <c r="H102" s="132" t="e">
        <f ca="1">OFFSET(INDIRECT(CONCATENATE(Coûts!V3,"!$AY$47")),5,0)</f>
        <v>#VALUE!</v>
      </c>
      <c r="I102" s="132" t="e">
        <f ca="1">OFFSET(INDIRECT(CONCATENATE(Coûts!V3,"!$AY$47")),6,0)</f>
        <v>#VALUE!</v>
      </c>
    </row>
    <row r="103" spans="3:9" x14ac:dyDescent="0.15">
      <c r="C103" s="95" t="s">
        <v>145</v>
      </c>
      <c r="D103" s="133" t="e">
        <f t="shared" ref="D103:I103" ca="1" si="0">D100-D102</f>
        <v>#VALUE!</v>
      </c>
      <c r="E103" s="133" t="e">
        <f t="shared" ca="1" si="0"/>
        <v>#VALUE!</v>
      </c>
      <c r="F103" s="133" t="e">
        <f t="shared" ca="1" si="0"/>
        <v>#VALUE!</v>
      </c>
      <c r="G103" s="133" t="e">
        <f t="shared" ca="1" si="0"/>
        <v>#VALUE!</v>
      </c>
      <c r="H103" s="133" t="e">
        <f t="shared" ca="1" si="0"/>
        <v>#VALUE!</v>
      </c>
      <c r="I103" s="133" t="e">
        <f t="shared" ca="1" si="0"/>
        <v>#VALUE!</v>
      </c>
    </row>
    <row r="104" spans="3:9" x14ac:dyDescent="0.15">
      <c r="D104" s="135"/>
      <c r="E104" s="135"/>
      <c r="F104" s="135"/>
      <c r="G104" s="135"/>
      <c r="H104" s="135"/>
      <c r="I104" s="135"/>
    </row>
    <row r="105" spans="3:9" x14ac:dyDescent="0.15">
      <c r="C105" s="94" t="s">
        <v>150</v>
      </c>
      <c r="D105" s="132" t="e">
        <f ca="1">OFFSET(INDIRECT(CONCATENATE(Coûts!V3,"!$AU$47")),1,0)</f>
        <v>#VALUE!</v>
      </c>
      <c r="E105" s="132" t="e">
        <f ca="1">OFFSET(INDIRECT(CONCATENATE(Coûts!V3,"!$AU$47")),2,0)</f>
        <v>#VALUE!</v>
      </c>
      <c r="F105" s="132" t="e">
        <f ca="1">OFFSET(INDIRECT(CONCATENATE(Coûts!V3,"!$AU$47")),3,0)</f>
        <v>#VALUE!</v>
      </c>
      <c r="G105" s="132" t="e">
        <f ca="1">OFFSET(INDIRECT(CONCATENATE(Coûts!V3,"!$AU$47")),4,0)</f>
        <v>#VALUE!</v>
      </c>
      <c r="H105" s="132" t="e">
        <f ca="1">OFFSET(INDIRECT(CONCATENATE(Coûts!V3,"!$AU$47")),5,0)</f>
        <v>#VALUE!</v>
      </c>
      <c r="I105" s="132" t="e">
        <f ca="1">OFFSET(INDIRECT(CONCATENATE(Coûts!V3,"!$AU$47")),6,0)</f>
        <v>#VALUE!</v>
      </c>
    </row>
    <row r="106" spans="3:9" x14ac:dyDescent="0.15">
      <c r="C106" s="95" t="s">
        <v>145</v>
      </c>
      <c r="D106" s="133" t="e">
        <f t="shared" ref="D106:I106" ca="1" si="1">D100-D105</f>
        <v>#VALUE!</v>
      </c>
      <c r="E106" s="133" t="e">
        <f t="shared" ca="1" si="1"/>
        <v>#VALUE!</v>
      </c>
      <c r="F106" s="133" t="e">
        <f t="shared" ca="1" si="1"/>
        <v>#VALUE!</v>
      </c>
      <c r="G106" s="133" t="e">
        <f t="shared" ca="1" si="1"/>
        <v>#VALUE!</v>
      </c>
      <c r="H106" s="133" t="e">
        <f t="shared" ca="1" si="1"/>
        <v>#VALUE!</v>
      </c>
      <c r="I106" s="133" t="e">
        <f t="shared" ca="1" si="1"/>
        <v>#VALUE!</v>
      </c>
    </row>
    <row r="107" spans="3:9" x14ac:dyDescent="0.15">
      <c r="C107" s="106"/>
      <c r="D107" s="205"/>
      <c r="E107" s="205"/>
      <c r="F107" s="205"/>
      <c r="G107" s="205"/>
      <c r="H107" s="205"/>
      <c r="I107" s="205"/>
    </row>
    <row r="108" spans="3:9" x14ac:dyDescent="0.15">
      <c r="C108" s="100" t="s">
        <v>142</v>
      </c>
      <c r="D108" s="203"/>
      <c r="E108" s="203"/>
      <c r="F108" s="203"/>
      <c r="G108" s="203"/>
      <c r="H108" s="203"/>
      <c r="I108" s="203"/>
    </row>
    <row r="109" spans="3:9" x14ac:dyDescent="0.15">
      <c r="C109" s="94" t="s">
        <v>125</v>
      </c>
      <c r="D109" s="129" t="e">
        <f ca="1">OFFSET(INDIRECT(CONCATENATE(Coûts!V3,"!$AG$47")),1,0)</f>
        <v>#VALUE!</v>
      </c>
      <c r="E109" s="129" t="e">
        <f ca="1">OFFSET(INDIRECT(CONCATENATE(Coûts!V3,"!$AG$47")),2,0)</f>
        <v>#VALUE!</v>
      </c>
      <c r="F109" s="129" t="e">
        <f ca="1">OFFSET(INDIRECT(CONCATENATE(Coûts!V3,"!$AG$47")),3,0)</f>
        <v>#VALUE!</v>
      </c>
      <c r="G109" s="129" t="e">
        <f ca="1">OFFSET(INDIRECT(CONCATENATE(Coûts!V3,"!$AG$47")),4,0)</f>
        <v>#VALUE!</v>
      </c>
      <c r="H109" s="129" t="e">
        <f ca="1">OFFSET(INDIRECT(CONCATENATE(Coûts!V3,"!$AG$47")),5,0)</f>
        <v>#VALUE!</v>
      </c>
      <c r="I109" s="129" t="e">
        <f ca="1">OFFSET(INDIRECT(CONCATENATE(Coûts!V3,"!$AG$47")),6,0)</f>
        <v>#VALUE!</v>
      </c>
    </row>
    <row r="110" spans="3:9" x14ac:dyDescent="0.15">
      <c r="C110" s="94" t="s">
        <v>126</v>
      </c>
      <c r="D110" s="129" t="e">
        <f ca="1">OFFSET(INDIRECT(CONCATENATE(Coûts!V3,"!$AL$47")),1,0)</f>
        <v>#VALUE!</v>
      </c>
      <c r="E110" s="129" t="e">
        <f ca="1">OFFSET(INDIRECT(CONCATENATE(Coûts!V3,"!$AL$47")),2,0)</f>
        <v>#VALUE!</v>
      </c>
      <c r="F110" s="129" t="e">
        <f ca="1">OFFSET(INDIRECT(CONCATENATE(Coûts!V3,"!$AL$47")),3,0)</f>
        <v>#VALUE!</v>
      </c>
      <c r="G110" s="129" t="e">
        <f ca="1">OFFSET(INDIRECT(CONCATENATE(Coûts!V3,"!$AL$47")),4,0)</f>
        <v>#VALUE!</v>
      </c>
      <c r="H110" s="129" t="e">
        <f ca="1">OFFSET(INDIRECT(CONCATENATE(Coûts!V3,"!$AL$47")),5,0)</f>
        <v>#VALUE!</v>
      </c>
      <c r="I110" s="129" t="e">
        <f ca="1">OFFSET(INDIRECT(CONCATENATE(Coûts!V3,"!$AL$47")),6,0)</f>
        <v>#VALUE!</v>
      </c>
    </row>
    <row r="111" spans="3:9" x14ac:dyDescent="0.15">
      <c r="C111" s="94" t="s">
        <v>130</v>
      </c>
      <c r="D111" s="132" t="e">
        <f ca="1">OFFSET(INDIRECT(CONCATENATE(Coûts!V3,"!$AR$47")),1,0)</f>
        <v>#VALUE!</v>
      </c>
      <c r="E111" s="132" t="e">
        <f ca="1">OFFSET(INDIRECT(CONCATENATE(Coûts!V3,"!$AR$47")),2,0)</f>
        <v>#VALUE!</v>
      </c>
      <c r="F111" s="132" t="e">
        <f ca="1">OFFSET(INDIRECT(CONCATENATE(Coûts!V3,"!$AR$47")),3,0)</f>
        <v>#VALUE!</v>
      </c>
      <c r="G111" s="132" t="e">
        <f ca="1">OFFSET(INDIRECT(CONCATENATE(Coûts!V3,"!$AR$47")),4,0)</f>
        <v>#VALUE!</v>
      </c>
      <c r="H111" s="132" t="e">
        <f ca="1">OFFSET(INDIRECT(CONCATENATE(Coûts!V3,"!$AR$47")),5,0)</f>
        <v>#VALUE!</v>
      </c>
      <c r="I111" s="132" t="e">
        <f ca="1">OFFSET(INDIRECT(CONCATENATE(Coûts!V3,"!$AR$47")),6,0)</f>
        <v>#VALUE!</v>
      </c>
    </row>
    <row r="112" spans="3:9" x14ac:dyDescent="0.15">
      <c r="C112" s="99"/>
      <c r="D112" s="134"/>
      <c r="E112" s="134"/>
      <c r="F112" s="134"/>
      <c r="G112" s="134"/>
      <c r="H112" s="134"/>
      <c r="I112" s="134"/>
    </row>
    <row r="113" spans="1:11" x14ac:dyDescent="0.15">
      <c r="C113" s="94" t="s">
        <v>133</v>
      </c>
      <c r="D113" s="132" t="e">
        <f ca="1">OFFSET(INDIRECT(CONCATENATE(Coûts!V3,"!$AZ$47")),1,0)</f>
        <v>#VALUE!</v>
      </c>
      <c r="E113" s="132" t="e">
        <f ca="1">OFFSET(INDIRECT(CONCATENATE(Coûts!V3,"!$AZ$47")),2,0)</f>
        <v>#VALUE!</v>
      </c>
      <c r="F113" s="132" t="e">
        <f ca="1">OFFSET(INDIRECT(CONCATENATE(Coûts!V3,"!$AZ$47")),3,0)</f>
        <v>#VALUE!</v>
      </c>
      <c r="G113" s="132" t="e">
        <f ca="1">OFFSET(INDIRECT(CONCATENATE(Coûts!V3,"!$AZ$47")),4,0)</f>
        <v>#VALUE!</v>
      </c>
      <c r="H113" s="132" t="e">
        <f ca="1">OFFSET(INDIRECT(CONCATENATE(Coûts!V3,"!$AZ$47")),5,0)</f>
        <v>#VALUE!</v>
      </c>
      <c r="I113" s="132" t="e">
        <f ca="1">OFFSET(INDIRECT(CONCATENATE(Coûts!V3,"!$AZ$47")),6,0)</f>
        <v>#VALUE!</v>
      </c>
    </row>
    <row r="114" spans="1:11" x14ac:dyDescent="0.15">
      <c r="C114" s="95" t="s">
        <v>135</v>
      </c>
      <c r="D114" s="133" t="e">
        <f t="shared" ref="D114:I114" ca="1" si="2">D111-D113</f>
        <v>#VALUE!</v>
      </c>
      <c r="E114" s="133" t="e">
        <f t="shared" ca="1" si="2"/>
        <v>#VALUE!</v>
      </c>
      <c r="F114" s="133" t="e">
        <f t="shared" ca="1" si="2"/>
        <v>#VALUE!</v>
      </c>
      <c r="G114" s="133" t="e">
        <f t="shared" ca="1" si="2"/>
        <v>#VALUE!</v>
      </c>
      <c r="H114" s="133" t="e">
        <f t="shared" ca="1" si="2"/>
        <v>#VALUE!</v>
      </c>
      <c r="I114" s="133" t="e">
        <f t="shared" ca="1" si="2"/>
        <v>#VALUE!</v>
      </c>
    </row>
    <row r="115" spans="1:11" x14ac:dyDescent="0.15">
      <c r="D115" s="135"/>
      <c r="E115" s="135"/>
      <c r="F115" s="135"/>
      <c r="G115" s="135"/>
      <c r="H115" s="135"/>
      <c r="I115" s="135"/>
    </row>
    <row r="116" spans="1:11" x14ac:dyDescent="0.15">
      <c r="C116" s="94" t="s">
        <v>134</v>
      </c>
      <c r="D116" s="132" t="e">
        <f ca="1">OFFSET(INDIRECT(CONCATENATE(Coûts!V3,"!$AV$47")),1,0)</f>
        <v>#VALUE!</v>
      </c>
      <c r="E116" s="132" t="e">
        <f ca="1">OFFSET(INDIRECT(CONCATENATE(Coûts!V3,"!$AV$47")),2,0)</f>
        <v>#VALUE!</v>
      </c>
      <c r="F116" s="132" t="e">
        <f ca="1">OFFSET(INDIRECT(CONCATENATE(Coûts!V3,"!$AV$47")),3,0)</f>
        <v>#VALUE!</v>
      </c>
      <c r="G116" s="132" t="e">
        <f ca="1">OFFSET(INDIRECT(CONCATENATE(Coûts!V3,"!$AV$47")),4,0)</f>
        <v>#VALUE!</v>
      </c>
      <c r="H116" s="132" t="e">
        <f ca="1">OFFSET(INDIRECT(CONCATENATE(Coûts!V3,"!$AV$47")),5,0)</f>
        <v>#VALUE!</v>
      </c>
      <c r="I116" s="132" t="e">
        <f ca="1">OFFSET(INDIRECT(CONCATENATE(Coûts!V3,"!$AV$47")),6,0)</f>
        <v>#VALUE!</v>
      </c>
    </row>
    <row r="117" spans="1:11" x14ac:dyDescent="0.15">
      <c r="C117" s="95" t="s">
        <v>135</v>
      </c>
      <c r="D117" s="133" t="e">
        <f t="shared" ref="D117:I117" ca="1" si="3">D111-D116</f>
        <v>#VALUE!</v>
      </c>
      <c r="E117" s="133" t="e">
        <f t="shared" ca="1" si="3"/>
        <v>#VALUE!</v>
      </c>
      <c r="F117" s="133" t="e">
        <f t="shared" ca="1" si="3"/>
        <v>#VALUE!</v>
      </c>
      <c r="G117" s="133" t="e">
        <f t="shared" ca="1" si="3"/>
        <v>#VALUE!</v>
      </c>
      <c r="H117" s="133" t="e">
        <f t="shared" ca="1" si="3"/>
        <v>#VALUE!</v>
      </c>
      <c r="I117" s="133" t="e">
        <f t="shared" ca="1" si="3"/>
        <v>#VALUE!</v>
      </c>
    </row>
    <row r="118" spans="1:11" x14ac:dyDescent="0.15">
      <c r="C118" s="72"/>
      <c r="D118" s="204"/>
      <c r="E118" s="204"/>
      <c r="F118" s="204"/>
      <c r="G118" s="204"/>
      <c r="H118" s="204"/>
      <c r="I118" s="204"/>
    </row>
    <row r="119" spans="1:11" x14ac:dyDescent="0.15">
      <c r="C119" s="100" t="s">
        <v>141</v>
      </c>
      <c r="D119" s="203"/>
      <c r="E119" s="203"/>
      <c r="F119" s="203"/>
      <c r="G119" s="203"/>
      <c r="H119" s="203"/>
      <c r="I119" s="203"/>
      <c r="K119" s="73"/>
    </row>
    <row r="120" spans="1:11" x14ac:dyDescent="0.15">
      <c r="C120" s="94" t="s">
        <v>125</v>
      </c>
      <c r="D120" s="129" t="e">
        <f ca="1">OFFSET(INDIRECT(CONCATENATE(Coûts!V3,"!$AE$47")),1,0)</f>
        <v>#VALUE!</v>
      </c>
      <c r="E120" s="129" t="e">
        <f ca="1">OFFSET(INDIRECT(CONCATENATE(Coûts!V3,"!$AE$47")),2,0)</f>
        <v>#VALUE!</v>
      </c>
      <c r="F120" s="129" t="e">
        <f ca="1">OFFSET(INDIRECT(CONCATENATE(Coûts!V3,"!$AE$47")),3,0)</f>
        <v>#VALUE!</v>
      </c>
      <c r="G120" s="129" t="e">
        <f ca="1">OFFSET(INDIRECT(CONCATENATE(Coûts!V3,"!$AE$47")),4,0)</f>
        <v>#VALUE!</v>
      </c>
      <c r="H120" s="129" t="e">
        <f ca="1">OFFSET(INDIRECT(CONCATENATE(Coûts!V3,"!$AE$47")),5,0)</f>
        <v>#VALUE!</v>
      </c>
      <c r="I120" s="129" t="e">
        <f ca="1">OFFSET(INDIRECT(CONCATENATE(Coûts!V3,"!$AE$47")),6,0)</f>
        <v>#VALUE!</v>
      </c>
      <c r="K120" s="73"/>
    </row>
    <row r="121" spans="1:11" x14ac:dyDescent="0.15">
      <c r="C121" s="94" t="s">
        <v>131</v>
      </c>
      <c r="D121" s="129" t="e">
        <f ca="1">OFFSET(INDIRECT(CONCATENATE(Coûts!V3,"!$AJ$47")),1,0)</f>
        <v>#VALUE!</v>
      </c>
      <c r="E121" s="129" t="e">
        <f ca="1">OFFSET(INDIRECT(CONCATENATE(Coûts!V3,"!$AJ$47")),2,0)</f>
        <v>#VALUE!</v>
      </c>
      <c r="F121" s="129" t="e">
        <f ca="1">OFFSET(INDIRECT(CONCATENATE(Coûts!V3,"!$AJ$47")),3,0)</f>
        <v>#VALUE!</v>
      </c>
      <c r="G121" s="129" t="e">
        <f ca="1">OFFSET(INDIRECT(CONCATENATE(Coûts!V3,"!$AJ$47")),4,0)</f>
        <v>#VALUE!</v>
      </c>
      <c r="H121" s="129" t="e">
        <f ca="1">OFFSET(INDIRECT(CONCATENATE(Coûts!V3,"!$AJ$47")),5,0)</f>
        <v>#VALUE!</v>
      </c>
      <c r="I121" s="129" t="e">
        <f ca="1">OFFSET(INDIRECT(CONCATENATE(Coûts!V3,"!$AJ$47")),6,0)</f>
        <v>#VALUE!</v>
      </c>
    </row>
    <row r="122" spans="1:11" x14ac:dyDescent="0.15">
      <c r="A122" s="72"/>
      <c r="C122" s="94" t="s">
        <v>132</v>
      </c>
      <c r="D122" s="132" t="e">
        <f ca="1">OFFSET(INDIRECT(CONCATENATE(Coûts!V3,"!$AP$47")),1,0)</f>
        <v>#VALUE!</v>
      </c>
      <c r="E122" s="132" t="e">
        <f ca="1">OFFSET(INDIRECT(CONCATENATE(Coûts!V3,"!$AP$47")),2,0)</f>
        <v>#VALUE!</v>
      </c>
      <c r="F122" s="132" t="e">
        <f ca="1">OFFSET(INDIRECT(CONCATENATE(Coûts!V3,"!$AP$47")),3,0)</f>
        <v>#VALUE!</v>
      </c>
      <c r="G122" s="132" t="e">
        <f ca="1">OFFSET(INDIRECT(CONCATENATE(Coûts!V3,"!$AP$47")),4,0)</f>
        <v>#VALUE!</v>
      </c>
      <c r="H122" s="132" t="e">
        <f ca="1">OFFSET(INDIRECT(CONCATENATE(Coûts!V3,"!$AP$47")),5,0)</f>
        <v>#VALUE!</v>
      </c>
      <c r="I122" s="132" t="e">
        <f ca="1">OFFSET(INDIRECT(CONCATENATE(Coûts!V3,"!$AP$47")),6,0)</f>
        <v>#VALUE!</v>
      </c>
    </row>
    <row r="123" spans="1:11" x14ac:dyDescent="0.15">
      <c r="C123" s="99"/>
      <c r="D123" s="134"/>
      <c r="E123" s="134"/>
      <c r="F123" s="134"/>
      <c r="G123" s="134"/>
      <c r="H123" s="134"/>
      <c r="I123" s="134"/>
    </row>
    <row r="124" spans="1:11" x14ac:dyDescent="0.15">
      <c r="C124" s="94" t="s">
        <v>133</v>
      </c>
      <c r="D124" s="132" t="e">
        <f ca="1">OFFSET(INDIRECT(CONCATENATE(Coûts!V3,"!$AX$47")),1,0)</f>
        <v>#VALUE!</v>
      </c>
      <c r="E124" s="132" t="e">
        <f ca="1">OFFSET(INDIRECT(CONCATENATE(Coûts!V3,"!$AX$47")),2,0)</f>
        <v>#VALUE!</v>
      </c>
      <c r="F124" s="132" t="e">
        <f ca="1">OFFSET(INDIRECT(CONCATENATE(Coûts!V3,"!$AX$47")),3,0)</f>
        <v>#VALUE!</v>
      </c>
      <c r="G124" s="132" t="e">
        <f ca="1">OFFSET(INDIRECT(CONCATENATE(Coûts!V3,"!$AX$47")),4,0)</f>
        <v>#VALUE!</v>
      </c>
      <c r="H124" s="132" t="e">
        <f ca="1">OFFSET(INDIRECT(CONCATENATE(Coûts!V3,"!$AX$47")),5,0)</f>
        <v>#VALUE!</v>
      </c>
      <c r="I124" s="132" t="e">
        <f ca="1">OFFSET(INDIRECT(CONCATENATE(Coûts!V3,"!$AX$47")),6,0)</f>
        <v>#VALUE!</v>
      </c>
    </row>
    <row r="125" spans="1:11" x14ac:dyDescent="0.15">
      <c r="C125" s="95" t="s">
        <v>135</v>
      </c>
      <c r="D125" s="133" t="e">
        <f t="shared" ref="D125:I125" ca="1" si="4">D122-D124</f>
        <v>#VALUE!</v>
      </c>
      <c r="E125" s="133" t="e">
        <f t="shared" ca="1" si="4"/>
        <v>#VALUE!</v>
      </c>
      <c r="F125" s="133" t="e">
        <f t="shared" ca="1" si="4"/>
        <v>#VALUE!</v>
      </c>
      <c r="G125" s="133" t="e">
        <f t="shared" ca="1" si="4"/>
        <v>#VALUE!</v>
      </c>
      <c r="H125" s="133" t="e">
        <f t="shared" ca="1" si="4"/>
        <v>#VALUE!</v>
      </c>
      <c r="I125" s="133" t="e">
        <f t="shared" ca="1" si="4"/>
        <v>#VALUE!</v>
      </c>
    </row>
    <row r="126" spans="1:11" x14ac:dyDescent="0.15">
      <c r="D126" s="135"/>
      <c r="E126" s="135"/>
      <c r="F126" s="135"/>
      <c r="G126" s="135"/>
      <c r="H126" s="135"/>
      <c r="I126" s="135"/>
    </row>
    <row r="127" spans="1:11" x14ac:dyDescent="0.15">
      <c r="C127" s="94" t="s">
        <v>134</v>
      </c>
      <c r="D127" s="132" t="e">
        <f ca="1">OFFSET(INDIRECT(CONCATENATE(Coûts!V3,"!$AT$47")),1,0)</f>
        <v>#VALUE!</v>
      </c>
      <c r="E127" s="132" t="e">
        <f ca="1">OFFSET(INDIRECT(CONCATENATE(Coûts!V3,"!$AT$47")),2,0)</f>
        <v>#VALUE!</v>
      </c>
      <c r="F127" s="132" t="e">
        <f ca="1">OFFSET(INDIRECT(CONCATENATE(Coûts!V3,"!$AT$47")),3,0)</f>
        <v>#VALUE!</v>
      </c>
      <c r="G127" s="132" t="e">
        <f ca="1">OFFSET(INDIRECT(CONCATENATE(Coûts!V3,"!$AT$47")),4,0)</f>
        <v>#VALUE!</v>
      </c>
      <c r="H127" s="132" t="e">
        <f ca="1">OFFSET(INDIRECT(CONCATENATE(Coûts!V3,"!$AT$47")),5,0)</f>
        <v>#VALUE!</v>
      </c>
      <c r="I127" s="132" t="e">
        <f ca="1">OFFSET(INDIRECT(CONCATENATE(Coûts!V3,"!$AT$47")),6,0)</f>
        <v>#VALUE!</v>
      </c>
    </row>
    <row r="128" spans="1:11" x14ac:dyDescent="0.15">
      <c r="C128" s="95" t="s">
        <v>135</v>
      </c>
      <c r="D128" s="133" t="e">
        <f t="shared" ref="D128:I128" ca="1" si="5">D122-D127</f>
        <v>#VALUE!</v>
      </c>
      <c r="E128" s="133" t="e">
        <f t="shared" ca="1" si="5"/>
        <v>#VALUE!</v>
      </c>
      <c r="F128" s="133" t="e">
        <f t="shared" ca="1" si="5"/>
        <v>#VALUE!</v>
      </c>
      <c r="G128" s="133" t="e">
        <f t="shared" ca="1" si="5"/>
        <v>#VALUE!</v>
      </c>
      <c r="H128" s="133" t="e">
        <f t="shared" ca="1" si="5"/>
        <v>#VALUE!</v>
      </c>
      <c r="I128" s="133" t="e">
        <f t="shared" ca="1" si="5"/>
        <v>#VALUE!</v>
      </c>
    </row>
  </sheetData>
  <sheetProtection selectLockedCells="1"/>
  <conditionalFormatting sqref="E59:F88 K119:K120 H59:K88">
    <cfRule type="cellIs" dxfId="22" priority="21" operator="greaterThan">
      <formula>0</formula>
    </cfRule>
    <cfRule type="cellIs" dxfId="21" priority="22" operator="lessThan">
      <formula>0</formula>
    </cfRule>
  </conditionalFormatting>
  <conditionalFormatting sqref="D59:D88">
    <cfRule type="cellIs" dxfId="20" priority="17" operator="greaterThan">
      <formula>0</formula>
    </cfRule>
    <cfRule type="cellIs" dxfId="19" priority="18" operator="lessThan">
      <formula>0</formula>
    </cfRule>
  </conditionalFormatting>
  <conditionalFormatting sqref="D2:D3">
    <cfRule type="cellIs" dxfId="18" priority="9" operator="greaterThan">
      <formula>0</formula>
    </cfRule>
    <cfRule type="cellIs" dxfId="17" priority="10" operator="lessThan">
      <formula>0</formula>
    </cfRule>
  </conditionalFormatting>
  <conditionalFormatting sqref="G59:G88">
    <cfRule type="cellIs" dxfId="16" priority="13" operator="greaterThan">
      <formula>0</formula>
    </cfRule>
    <cfRule type="cellIs" dxfId="15" priority="14" operator="lessThan">
      <formula>0</formula>
    </cfRule>
  </conditionalFormatting>
  <conditionalFormatting sqref="E2:F3 H2:K3">
    <cfRule type="cellIs" dxfId="14" priority="11" operator="greaterThan">
      <formula>0</formula>
    </cfRule>
    <cfRule type="cellIs" dxfId="13" priority="12" operator="lessThan">
      <formula>0</formula>
    </cfRule>
  </conditionalFormatting>
  <conditionalFormatting sqref="G2:G3">
    <cfRule type="cellIs" dxfId="12" priority="7" operator="greaterThan">
      <formula>0</formula>
    </cfRule>
    <cfRule type="cellIs" dxfId="11" priority="8" operator="lessThan">
      <formula>0</formula>
    </cfRule>
  </conditionalFormatting>
  <conditionalFormatting sqref="D13">
    <cfRule type="cellIs" dxfId="10" priority="3" operator="greaterThan">
      <formula>0</formula>
    </cfRule>
    <cfRule type="cellIs" dxfId="9" priority="4" operator="lessThan">
      <formula>0</formula>
    </cfRule>
  </conditionalFormatting>
  <conditionalFormatting sqref="E13:F13 H13:K13">
    <cfRule type="cellIs" dxfId="8" priority="5" operator="greaterThan">
      <formula>0</formula>
    </cfRule>
    <cfRule type="cellIs" dxfId="7" priority="6" operator="lessThan">
      <formula>0</formula>
    </cfRule>
  </conditionalFormatting>
  <conditionalFormatting sqref="G13">
    <cfRule type="cellIs" dxfId="6" priority="1" operator="greaterThan">
      <formula>0</formula>
    </cfRule>
    <cfRule type="cellIs" dxfId="5" priority="2" operator="less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A12A798-5C23-4398-B406-47B226CC7311}">
          <x14:formula1>
            <xm:f>Coûts!$P$3:$P$5</xm:f>
          </x14:formula1>
          <xm:sqref>C5</xm:sqref>
        </x14:dataValidation>
        <x14:dataValidation type="list" allowBlank="1" showInputMessage="1" showErrorMessage="1" xr:uid="{6FB2D639-8CB0-492E-8A68-4119F0FC4718}">
          <x14:formula1>
            <xm:f>Coûts!$R$3:$R$4</xm:f>
          </x14:formula1>
          <xm:sqref>C7</xm:sqref>
        </x14:dataValidation>
        <x14:dataValidation type="list" allowBlank="1" showInputMessage="1" showErrorMessage="1" xr:uid="{9AD09393-E8E1-4AC9-A918-1B010C1E8532}">
          <x14:formula1>
            <xm:f>Coûts!$T$3:$T$6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4ECE-7929-409A-82F8-3DD5CDCB12E2}">
  <sheetPr>
    <tabColor theme="0" tint="-0.34998626667073579"/>
  </sheetPr>
  <dimension ref="A1:DT53"/>
  <sheetViews>
    <sheetView showGridLines="0" workbookViewId="0">
      <pane xSplit="3" ySplit="3" topLeftCell="D4" activePane="bottomRight" state="frozen"/>
      <selection pane="bottomLeft" activeCell="A4" sqref="A4"/>
      <selection pane="topRight" activeCell="D1" sqref="D1"/>
      <selection pane="bottomRight" activeCell="G46" sqref="G46"/>
    </sheetView>
  </sheetViews>
  <sheetFormatPr defaultColWidth="10.76171875" defaultRowHeight="15" x14ac:dyDescent="0.2"/>
  <cols>
    <col min="1" max="1" width="14.9296875" style="50" customWidth="1"/>
    <col min="3" max="3" width="16.94921875" style="174" customWidth="1"/>
    <col min="4" max="5" width="6.9921875" customWidth="1"/>
    <col min="6" max="6" width="7.26171875" style="40" customWidth="1"/>
    <col min="7" max="7" width="7.53125" style="5" customWidth="1"/>
    <col min="8" max="8" width="7.93359375" style="44" customWidth="1"/>
    <col min="9" max="9" width="7.26171875" style="40" customWidth="1"/>
    <col min="10" max="10" width="7.53125" style="5" customWidth="1"/>
    <col min="11" max="11" width="7.93359375" style="42" customWidth="1"/>
    <col min="12" max="12" width="7.26171875" style="40" customWidth="1"/>
    <col min="13" max="13" width="7.53125" style="5" customWidth="1"/>
    <col min="14" max="14" width="7.93359375" style="42" customWidth="1"/>
    <col min="15" max="15" width="7.26171875" style="40" customWidth="1"/>
    <col min="16" max="16" width="7.53125" style="5" customWidth="1"/>
    <col min="17" max="17" width="7.93359375" style="42" customWidth="1"/>
    <col min="18" max="19" width="8.7421875" style="8" customWidth="1"/>
    <col min="20" max="20" width="8.7421875" style="44" customWidth="1"/>
    <col min="21" max="22" width="8.7421875" style="8" customWidth="1"/>
    <col min="23" max="23" width="8.7421875" style="44" customWidth="1"/>
    <col min="24" max="25" width="8.7421875" style="8" customWidth="1"/>
    <col min="26" max="26" width="8.7421875" style="44" customWidth="1"/>
    <col min="27" max="28" width="8.7421875" style="8" customWidth="1"/>
    <col min="29" max="29" width="8.7421875" style="44" customWidth="1"/>
    <col min="30" max="30" width="12.64453125" customWidth="1"/>
    <col min="31" max="31" width="16.27734375" style="8" customWidth="1"/>
    <col min="32" max="33" width="14.2578125" customWidth="1"/>
    <col min="34" max="34" width="11.43359375" style="174"/>
    <col min="35" max="35" width="13.046875" customWidth="1"/>
    <col min="36" max="39" width="14.52734375" style="60" customWidth="1"/>
    <col min="41" max="41" width="14.2578125" customWidth="1"/>
    <col min="42" max="42" width="12.9140625" bestFit="1" customWidth="1"/>
    <col min="43" max="53" width="12.64453125" customWidth="1"/>
    <col min="54" max="54" width="18.96484375" bestFit="1" customWidth="1"/>
  </cols>
  <sheetData>
    <row r="1" spans="1:124" s="26" customFormat="1" x14ac:dyDescent="0.2">
      <c r="A1" s="49"/>
      <c r="C1" s="294" t="s">
        <v>173</v>
      </c>
      <c r="F1" s="52" t="s">
        <v>6</v>
      </c>
      <c r="G1" s="53"/>
      <c r="H1" s="213"/>
      <c r="I1" s="52" t="s">
        <v>107</v>
      </c>
      <c r="J1" s="53"/>
      <c r="K1" s="54"/>
      <c r="L1" s="52" t="s">
        <v>108</v>
      </c>
      <c r="M1" s="53"/>
      <c r="N1" s="54"/>
      <c r="O1" s="52" t="s">
        <v>109</v>
      </c>
      <c r="P1" s="53"/>
      <c r="Q1" s="54"/>
      <c r="R1" s="55" t="s">
        <v>59</v>
      </c>
      <c r="S1" s="55"/>
      <c r="T1" s="54"/>
      <c r="U1" s="55" t="s">
        <v>88</v>
      </c>
      <c r="V1" s="55"/>
      <c r="W1" s="54"/>
      <c r="X1" s="55" t="s">
        <v>89</v>
      </c>
      <c r="Y1" s="55"/>
      <c r="Z1" s="54"/>
      <c r="AA1" s="55" t="s">
        <v>90</v>
      </c>
      <c r="AB1" s="55"/>
      <c r="AC1" s="54"/>
      <c r="AE1" s="165" t="s">
        <v>91</v>
      </c>
      <c r="AH1" s="175" t="s">
        <v>167</v>
      </c>
      <c r="AI1" s="165" t="s">
        <v>121</v>
      </c>
      <c r="AJ1" s="159">
        <f>VALUE(1&amp;Coûts!N5&amp;Coûts!N7)</f>
        <v>122</v>
      </c>
      <c r="AL1" s="58"/>
      <c r="AM1" s="58"/>
      <c r="AO1" s="165" t="s">
        <v>128</v>
      </c>
      <c r="AT1" s="164" t="s">
        <v>136</v>
      </c>
      <c r="BB1" s="164" t="s">
        <v>168</v>
      </c>
    </row>
    <row r="2" spans="1:124" s="26" customFormat="1" x14ac:dyDescent="0.2">
      <c r="A2" s="49"/>
      <c r="C2" s="295"/>
      <c r="F2" s="56">
        <v>111</v>
      </c>
      <c r="G2" s="45"/>
      <c r="H2" s="214"/>
      <c r="I2" s="56">
        <v>112</v>
      </c>
      <c r="J2" s="45"/>
      <c r="K2" s="46"/>
      <c r="L2" s="56">
        <v>113</v>
      </c>
      <c r="M2" s="45"/>
      <c r="N2" s="46"/>
      <c r="O2" s="56">
        <v>114</v>
      </c>
      <c r="P2" s="45"/>
      <c r="Q2" s="46"/>
      <c r="R2" s="57">
        <v>121</v>
      </c>
      <c r="T2" s="46"/>
      <c r="U2" s="57">
        <v>122</v>
      </c>
      <c r="W2" s="46"/>
      <c r="X2" s="57">
        <v>123</v>
      </c>
      <c r="Z2" s="46"/>
      <c r="AA2" s="57">
        <v>124</v>
      </c>
      <c r="AC2" s="46"/>
      <c r="AE2" s="43"/>
      <c r="AH2" s="173"/>
      <c r="AI2" s="47"/>
      <c r="AJ2" s="59"/>
      <c r="AK2" s="59"/>
      <c r="AL2" s="59"/>
      <c r="AM2" s="59"/>
      <c r="AT2" s="26" t="s">
        <v>137</v>
      </c>
      <c r="AX2" s="26" t="s">
        <v>138</v>
      </c>
      <c r="BB2" s="194" t="s">
        <v>6</v>
      </c>
      <c r="BK2" s="26" t="s">
        <v>59</v>
      </c>
      <c r="BT2" s="26" t="s">
        <v>88</v>
      </c>
      <c r="CC2" s="26" t="s">
        <v>89</v>
      </c>
      <c r="CL2" s="26" t="s">
        <v>90</v>
      </c>
      <c r="CU2" s="26" t="s">
        <v>104</v>
      </c>
      <c r="DD2" s="26" t="s">
        <v>105</v>
      </c>
      <c r="DM2" s="26" t="s">
        <v>106</v>
      </c>
    </row>
    <row r="3" spans="1:124" s="8" customFormat="1" x14ac:dyDescent="0.2">
      <c r="A3" s="160"/>
      <c r="B3" s="161" t="s">
        <v>8</v>
      </c>
      <c r="C3" s="137" t="s">
        <v>174</v>
      </c>
      <c r="D3" s="154" t="s">
        <v>122</v>
      </c>
      <c r="E3" s="154" t="s">
        <v>123</v>
      </c>
      <c r="F3" s="136" t="s">
        <v>0</v>
      </c>
      <c r="G3" s="138" t="s">
        <v>1</v>
      </c>
      <c r="H3" s="139" t="s">
        <v>2</v>
      </c>
      <c r="I3" s="136" t="s">
        <v>0</v>
      </c>
      <c r="J3" s="138" t="s">
        <v>1</v>
      </c>
      <c r="K3" s="139" t="s">
        <v>2</v>
      </c>
      <c r="L3" s="136" t="s">
        <v>0</v>
      </c>
      <c r="M3" s="138" t="s">
        <v>1</v>
      </c>
      <c r="N3" s="139" t="s">
        <v>2</v>
      </c>
      <c r="O3" s="136" t="s">
        <v>0</v>
      </c>
      <c r="P3" s="138" t="s">
        <v>1</v>
      </c>
      <c r="Q3" s="139" t="s">
        <v>2</v>
      </c>
      <c r="R3" s="138" t="s">
        <v>0</v>
      </c>
      <c r="S3" s="138" t="s">
        <v>1</v>
      </c>
      <c r="T3" s="139" t="s">
        <v>2</v>
      </c>
      <c r="U3" s="138" t="s">
        <v>0</v>
      </c>
      <c r="V3" s="138" t="s">
        <v>1</v>
      </c>
      <c r="W3" s="139" t="s">
        <v>2</v>
      </c>
      <c r="X3" s="138" t="s">
        <v>0</v>
      </c>
      <c r="Y3" s="138" t="s">
        <v>1</v>
      </c>
      <c r="Z3" s="139" t="s">
        <v>2</v>
      </c>
      <c r="AA3" s="138" t="s">
        <v>0</v>
      </c>
      <c r="AB3" s="138" t="s">
        <v>1</v>
      </c>
      <c r="AC3" s="139" t="s">
        <v>2</v>
      </c>
      <c r="AD3" s="48"/>
      <c r="AE3" s="150" t="s">
        <v>92</v>
      </c>
      <c r="AF3" s="155" t="s">
        <v>93</v>
      </c>
      <c r="AG3" s="163" t="s">
        <v>94</v>
      </c>
      <c r="AH3" s="180" t="s">
        <v>0</v>
      </c>
      <c r="AI3" s="181" t="s">
        <v>124</v>
      </c>
      <c r="AJ3" s="155" t="s">
        <v>92</v>
      </c>
      <c r="AK3" s="155" t="s">
        <v>93</v>
      </c>
      <c r="AL3" s="163" t="s">
        <v>94</v>
      </c>
      <c r="AM3" s="48"/>
      <c r="AO3" s="172" t="s">
        <v>166</v>
      </c>
      <c r="AP3" s="155" t="s">
        <v>92</v>
      </c>
      <c r="AQ3" s="155" t="s">
        <v>93</v>
      </c>
      <c r="AR3" s="163" t="s">
        <v>94</v>
      </c>
      <c r="AS3" s="48"/>
      <c r="AT3" s="150" t="s">
        <v>92</v>
      </c>
      <c r="AU3" s="155" t="s">
        <v>93</v>
      </c>
      <c r="AV3" s="163" t="s">
        <v>94</v>
      </c>
      <c r="AW3" s="48"/>
      <c r="AX3" s="150" t="s">
        <v>92</v>
      </c>
      <c r="AY3" s="155" t="s">
        <v>93</v>
      </c>
      <c r="AZ3" s="163" t="s">
        <v>94</v>
      </c>
      <c r="BA3" s="48"/>
      <c r="BB3" s="162" t="s">
        <v>8</v>
      </c>
      <c r="BC3" s="140" t="s">
        <v>58</v>
      </c>
      <c r="BD3" s="140" t="s">
        <v>0</v>
      </c>
      <c r="BE3" s="140" t="s">
        <v>4</v>
      </c>
      <c r="BF3" s="140" t="s">
        <v>1</v>
      </c>
      <c r="BG3" s="140" t="s">
        <v>2</v>
      </c>
      <c r="BH3" s="140" t="s">
        <v>3</v>
      </c>
      <c r="BI3" s="141" t="s">
        <v>5</v>
      </c>
      <c r="BK3" s="162" t="s">
        <v>8</v>
      </c>
      <c r="BL3" s="140" t="s">
        <v>58</v>
      </c>
      <c r="BM3" s="140" t="s">
        <v>0</v>
      </c>
      <c r="BN3" s="140" t="s">
        <v>4</v>
      </c>
      <c r="BO3" s="140" t="s">
        <v>1</v>
      </c>
      <c r="BP3" s="140" t="s">
        <v>2</v>
      </c>
      <c r="BQ3" s="140" t="s">
        <v>3</v>
      </c>
      <c r="BR3" s="141" t="s">
        <v>5</v>
      </c>
      <c r="BT3" s="162" t="s">
        <v>8</v>
      </c>
      <c r="BU3" s="140" t="s">
        <v>58</v>
      </c>
      <c r="BV3" s="140" t="s">
        <v>0</v>
      </c>
      <c r="BW3" s="140" t="s">
        <v>4</v>
      </c>
      <c r="BX3" s="140" t="s">
        <v>1</v>
      </c>
      <c r="BY3" s="140" t="s">
        <v>2</v>
      </c>
      <c r="BZ3" s="140" t="s">
        <v>3</v>
      </c>
      <c r="CA3" s="141" t="s">
        <v>5</v>
      </c>
      <c r="CC3" s="162" t="s">
        <v>8</v>
      </c>
      <c r="CD3" s="140" t="s">
        <v>58</v>
      </c>
      <c r="CE3" s="140" t="s">
        <v>0</v>
      </c>
      <c r="CF3" s="140" t="s">
        <v>4</v>
      </c>
      <c r="CG3" s="140" t="s">
        <v>1</v>
      </c>
      <c r="CH3" s="140" t="s">
        <v>2</v>
      </c>
      <c r="CI3" s="140" t="s">
        <v>3</v>
      </c>
      <c r="CJ3" s="141" t="s">
        <v>5</v>
      </c>
      <c r="CL3" s="162" t="s">
        <v>8</v>
      </c>
      <c r="CM3" s="140" t="s">
        <v>58</v>
      </c>
      <c r="CN3" s="140" t="s">
        <v>0</v>
      </c>
      <c r="CO3" s="140" t="s">
        <v>4</v>
      </c>
      <c r="CP3" s="140" t="s">
        <v>1</v>
      </c>
      <c r="CQ3" s="140" t="s">
        <v>2</v>
      </c>
      <c r="CR3" s="140" t="s">
        <v>3</v>
      </c>
      <c r="CS3" s="141" t="s">
        <v>5</v>
      </c>
      <c r="CU3" s="162" t="s">
        <v>8</v>
      </c>
      <c r="CV3" s="140" t="s">
        <v>58</v>
      </c>
      <c r="CW3" s="140" t="s">
        <v>0</v>
      </c>
      <c r="CX3" s="140" t="s">
        <v>4</v>
      </c>
      <c r="CY3" s="140" t="s">
        <v>1</v>
      </c>
      <c r="CZ3" s="140" t="s">
        <v>2</v>
      </c>
      <c r="DA3" s="140" t="s">
        <v>3</v>
      </c>
      <c r="DB3" s="141" t="s">
        <v>5</v>
      </c>
      <c r="DD3" s="162" t="s">
        <v>8</v>
      </c>
      <c r="DE3" s="140" t="s">
        <v>58</v>
      </c>
      <c r="DF3" s="140" t="s">
        <v>0</v>
      </c>
      <c r="DG3" s="140" t="s">
        <v>4</v>
      </c>
      <c r="DH3" s="140" t="s">
        <v>1</v>
      </c>
      <c r="DI3" s="140" t="s">
        <v>2</v>
      </c>
      <c r="DJ3" s="140" t="s">
        <v>3</v>
      </c>
      <c r="DK3" s="141" t="s">
        <v>5</v>
      </c>
      <c r="DM3" s="162" t="s">
        <v>8</v>
      </c>
      <c r="DN3" s="140" t="s">
        <v>58</v>
      </c>
      <c r="DO3" s="140" t="s">
        <v>0</v>
      </c>
      <c r="DP3" s="140" t="s">
        <v>4</v>
      </c>
      <c r="DQ3" s="140" t="s">
        <v>1</v>
      </c>
      <c r="DR3" s="140" t="s">
        <v>2</v>
      </c>
      <c r="DS3" s="140" t="s">
        <v>3</v>
      </c>
      <c r="DT3" s="141" t="s">
        <v>5</v>
      </c>
    </row>
    <row r="4" spans="1:124" x14ac:dyDescent="0.2">
      <c r="B4" s="146" t="s">
        <v>7</v>
      </c>
      <c r="C4" s="209">
        <v>1</v>
      </c>
      <c r="D4" s="38">
        <f>IF(RIGHT(B4,1)="3",1,0)</f>
        <v>1</v>
      </c>
      <c r="E4" s="38">
        <f>IF(RIGHT(B4,1)="4",1,0)</f>
        <v>0</v>
      </c>
      <c r="F4" s="215">
        <v>17</v>
      </c>
      <c r="G4" s="216">
        <v>25.1</v>
      </c>
      <c r="H4" s="217">
        <v>15.5</v>
      </c>
      <c r="I4" s="218">
        <f t="shared" ref="I4:I45" si="0">IF(ISNA(VLOOKUP($B4,$CU$4:$DB$26,2,FALSE)),"",VLOOKUP($B4,$CU$4:$DB$26,2,FALSE))</f>
        <v>3</v>
      </c>
      <c r="J4" s="218">
        <f t="shared" ref="J4:J45" si="1">IF(ISNA(VLOOKUP($B4,$CU$4:$DB$26,5,FALSE)),"",VLOOKUP($B4,$CU$4:$DB$26,5,FALSE))</f>
        <v>14</v>
      </c>
      <c r="K4" s="219">
        <f t="shared" ref="K4:K45" si="2">IF(ISNA(VLOOKUP($B4,$CU$4:$DB$26,6,FALSE)),"",VLOOKUP($B4,$CU$4:$DB$26,6,FALSE))</f>
        <v>10.4</v>
      </c>
      <c r="L4" s="218">
        <f t="shared" ref="L4:L45" si="3">IF(ISNA(VLOOKUP($B4,$DD$4:$DK$30,2,FALSE)),"",VLOOKUP($B4,$DD$4:$DK$30,2,FALSE))</f>
        <v>10</v>
      </c>
      <c r="M4" s="218">
        <f t="shared" ref="M4:M45" si="4">IF(ISNA(VLOOKUP($B4,$DD$4:$DK$30,5,FALSE)),"",VLOOKUP($B4,$DD$4:$DK$30,5,FALSE))</f>
        <v>23.2</v>
      </c>
      <c r="N4" s="219">
        <f t="shared" ref="N4:N45" si="5">IF(ISNA(VLOOKUP($B4,$DD$4:$DK$30,6,FALSE)),"",VLOOKUP($B4,$DD$4:$DK$30,6,FALSE))</f>
        <v>19.2</v>
      </c>
      <c r="O4" s="218">
        <f t="shared" ref="O4:O45" si="6">IF(ISNA(VLOOKUP($B4,$DM$4:$DT$37,2,FALSE)),"",VLOOKUP($B4,$DM$4:$DT$37,2,FALSE))</f>
        <v>15</v>
      </c>
      <c r="P4" s="218">
        <f t="shared" ref="P4:P45" si="7">IF(ISNA(VLOOKUP($B4,$DM$4:$DT$37,5,FALSE)),"",VLOOKUP($B4,$DM$4:$DT$37,5,FALSE))</f>
        <v>23.5</v>
      </c>
      <c r="Q4" s="219">
        <f t="shared" ref="Q4:Q45" si="8">IF(ISNA(VLOOKUP($B4,$DM$4:$DT$37,6,FALSE)),"",VLOOKUP($B4,$DM$4:$DT$37,6,FALSE))</f>
        <v>15.4</v>
      </c>
      <c r="R4" s="218">
        <f t="shared" ref="R4:R45" si="9">IF(ISNA(VLOOKUP($B4,$BK$4:$BR$24,2,FALSE)),"",VLOOKUP($B4,$BK$4:$BR$24,2,FALSE))</f>
        <v>13</v>
      </c>
      <c r="S4" s="218">
        <f t="shared" ref="S4:S45" si="10">IF(ISNA(VLOOKUP($B4,$BK$4:$BR$24,5,FALSE)),"",VLOOKUP($B4,$BK$4:$BR$24,5,FALSE))</f>
        <v>27.2</v>
      </c>
      <c r="T4" s="219">
        <f t="shared" ref="T4:T45" si="11">IF(ISNA(VLOOKUP($B4,$BK$4:$BR$24,6,FALSE)),"",VLOOKUP($B4,$BK$4:$BR$24,6,FALSE))</f>
        <v>16.600000000000001</v>
      </c>
      <c r="U4" s="218">
        <f t="shared" ref="U4:U45" si="12">IF(ISNA(VLOOKUP($B4,$BT$4:$CA$24,2,FALSE)),"",VLOOKUP($B4,$BT$4:$CA$24,2,FALSE))</f>
        <v>3</v>
      </c>
      <c r="V4" s="218">
        <f t="shared" ref="V4:V45" si="13">IF(ISNA(VLOOKUP($B4,$BT$4:$CA$24,5,FALSE)),"",VLOOKUP($B4,$BT$4:$CA$24,5,FALSE))</f>
        <v>14</v>
      </c>
      <c r="W4" s="219">
        <f t="shared" ref="W4:W45" si="14">IF(ISNA(VLOOKUP($B4,$BT$4:$CA$24,6,FALSE)),"",VLOOKUP($B4,$BT$4:$CA$24,6,FALSE))</f>
        <v>10.4</v>
      </c>
      <c r="X4" s="218">
        <f t="shared" ref="X4:X45" si="15">IF(ISNA(VLOOKUP($B4,$CC$4:$CJ$24,2,FALSE)),"",VLOOKUP($B4,$CC$4:$CJ$24,2,FALSE))</f>
        <v>8</v>
      </c>
      <c r="Y4" s="218">
        <f t="shared" ref="Y4:Y45" si="16">IF(ISNA(VLOOKUP($B4,$CC$4:$CJ$24,5,FALSE)),"",VLOOKUP($B4,$CC$4:$CJ$24,5,FALSE))</f>
        <v>26.4</v>
      </c>
      <c r="Z4" s="219">
        <f t="shared" ref="Z4:Z45" si="17">IF(ISNA(VLOOKUP($B4,$CC$4:$CJ$24,6,FALSE)),"",VLOOKUP($B4,$CC$4:$CJ$24,6,FALSE))</f>
        <v>20.3</v>
      </c>
      <c r="AA4" s="218">
        <f t="shared" ref="AA4:AA45" si="18">IF(ISNA(VLOOKUP($B4,$CL$3:$CS$23,2,FALSE)),"",VLOOKUP($B4,$CL$3:$CS$23,2,FALSE))</f>
        <v>12</v>
      </c>
      <c r="AB4" s="218">
        <f t="shared" ref="AB4:AB45" si="19">IF(ISNA(VLOOKUP($B4,$CL$3:$CS$23,5,FALSE)),"",VLOOKUP($B4,$CL$3:$CS$23,5,FALSE))</f>
        <v>25.7</v>
      </c>
      <c r="AC4" s="219">
        <f t="shared" ref="AC4:AC45" si="20">IF(ISNA(VLOOKUP($B4,$CL$3:$CS$23,6,FALSE)),"",VLOOKUP($B4,$CL$3:$CS$23,6,FALSE))</f>
        <v>16.399999999999999</v>
      </c>
      <c r="AD4" s="6"/>
      <c r="AE4" s="151">
        <v>17.3</v>
      </c>
      <c r="AF4" s="5">
        <v>22.2</v>
      </c>
      <c r="AG4" s="42">
        <v>25.75</v>
      </c>
      <c r="AH4" s="176">
        <f t="shared" ref="AH4:AH45" si="21">IF($AJ$1=111,F4,IF($AJ$1=112,I4,IF($AJ$1=113,L4,IF($AJ$1=114,O4,IF($AJ$1=121,R4,IF($AJ$1=122,U4,IF($AJ$1=123,X4,AA4)))))))</f>
        <v>3</v>
      </c>
      <c r="AI4" s="177">
        <f t="shared" ref="AI4:AI45" si="22">IF($AJ$1=111,G4,IF($AJ$1=112,J4,IF($AJ$1=113,M4,IF($AJ$1=114,P4,IF($AJ$1=121,S4,IF($AJ$1=122,V4,IF($AJ$1=123,Y4,AB4)))))))</f>
        <v>14</v>
      </c>
      <c r="AJ4" s="64">
        <f t="shared" ref="AJ4:AJ45" si="23">IF($AI4&lt;&gt;"",$AI4-AE4,"")</f>
        <v>-3.3000000000000007</v>
      </c>
      <c r="AK4" s="64">
        <f t="shared" ref="AK4:AK45" si="24">IF($AI4&lt;&gt;"",$AI4-AF4,"")</f>
        <v>-8.1999999999999993</v>
      </c>
      <c r="AL4" s="156">
        <f t="shared" ref="AL4:AL45" si="25">IF($AI4&lt;&gt;"",$AI4-AG4,"")</f>
        <v>-11.75</v>
      </c>
      <c r="AO4" s="166">
        <f>VLOOKUP(B4,Coûts!$C$10:$G$57,5,FALSE)</f>
        <v>11630.35</v>
      </c>
      <c r="AP4" s="167">
        <f t="shared" ref="AP4:AP40" si="26">IF(AE4&lt;&gt;0,$AO4/AE4,"")</f>
        <v>672.27456647398844</v>
      </c>
      <c r="AQ4" s="167">
        <f t="shared" ref="AQ4:AQ40" si="27">IF(AF4&lt;&gt;0,$AO4/AF4,"")</f>
        <v>523.88963963963965</v>
      </c>
      <c r="AR4" s="168">
        <f t="shared" ref="AR4:AR40" si="28">IF(AG4&lt;&gt;0,$AO4/AG4,"")</f>
        <v>451.66407766990295</v>
      </c>
      <c r="AS4" s="6"/>
      <c r="AT4" s="166">
        <f>Coûts!$I$5-AE4*Coûts!$I$3</f>
        <v>4297.2560000000003</v>
      </c>
      <c r="AU4" s="167">
        <f>Coûts!$I$5-AF4*Coûts!$I$3</f>
        <v>4261.5840000000007</v>
      </c>
      <c r="AV4" s="168">
        <f>Coûts!$I$5-AG4*Coûts!$I$3</f>
        <v>4235.7400000000007</v>
      </c>
      <c r="AW4" s="6"/>
      <c r="AX4" s="166">
        <f>Coûts!$I$5-AE4*Coûts!$I$4</f>
        <v>3644.7000000000007</v>
      </c>
      <c r="AY4" s="167">
        <f>Coûts!$I$5-AF4*Coûts!$I$4</f>
        <v>3424.2000000000007</v>
      </c>
      <c r="AZ4" s="168">
        <f>Coûts!$I$5-AG4*Coûts!$I$4</f>
        <v>3264.4500000000007</v>
      </c>
      <c r="BA4" s="6"/>
      <c r="BB4" s="37" t="s">
        <v>7</v>
      </c>
      <c r="BC4" s="38">
        <v>17</v>
      </c>
      <c r="BD4" s="39">
        <v>17</v>
      </c>
      <c r="BE4" s="39">
        <v>23</v>
      </c>
      <c r="BF4" s="39">
        <v>25.1</v>
      </c>
      <c r="BG4" s="39">
        <v>15.5</v>
      </c>
      <c r="BH4" s="39">
        <v>7</v>
      </c>
      <c r="BI4" s="41">
        <v>57</v>
      </c>
      <c r="BK4" s="37" t="s">
        <v>7</v>
      </c>
      <c r="BL4" s="38">
        <v>13</v>
      </c>
      <c r="BM4" s="39">
        <v>13</v>
      </c>
      <c r="BN4" s="39">
        <v>24</v>
      </c>
      <c r="BO4" s="39">
        <v>27.2</v>
      </c>
      <c r="BP4" s="39">
        <v>16.600000000000001</v>
      </c>
      <c r="BQ4" s="39">
        <v>7</v>
      </c>
      <c r="BR4" s="41">
        <v>57</v>
      </c>
      <c r="BT4" s="37" t="s">
        <v>12</v>
      </c>
      <c r="BU4" s="38">
        <v>4</v>
      </c>
      <c r="BV4" s="39">
        <v>4</v>
      </c>
      <c r="BW4" s="39">
        <v>7</v>
      </c>
      <c r="BX4" s="39">
        <v>9.8000000000000007</v>
      </c>
      <c r="BY4" s="39">
        <v>6.9</v>
      </c>
      <c r="BZ4" s="39">
        <v>5</v>
      </c>
      <c r="CA4" s="41">
        <v>20</v>
      </c>
      <c r="CC4" s="37" t="s">
        <v>7</v>
      </c>
      <c r="CD4" s="38">
        <v>8</v>
      </c>
      <c r="CE4" s="39">
        <v>8</v>
      </c>
      <c r="CF4" s="39">
        <v>21.5</v>
      </c>
      <c r="CG4" s="39">
        <v>26.4</v>
      </c>
      <c r="CH4" s="39">
        <v>20.3</v>
      </c>
      <c r="CI4" s="39">
        <v>7</v>
      </c>
      <c r="CJ4" s="41">
        <v>57</v>
      </c>
      <c r="CL4" s="37" t="s">
        <v>7</v>
      </c>
      <c r="CM4" s="38">
        <v>12</v>
      </c>
      <c r="CN4" s="39">
        <v>12</v>
      </c>
      <c r="CO4" s="39">
        <v>23</v>
      </c>
      <c r="CP4" s="39">
        <v>25.7</v>
      </c>
      <c r="CQ4" s="39">
        <v>16.399999999999999</v>
      </c>
      <c r="CR4" s="39">
        <v>7</v>
      </c>
      <c r="CS4" s="41">
        <v>57</v>
      </c>
      <c r="CU4" s="37" t="s">
        <v>12</v>
      </c>
      <c r="CV4" s="38">
        <v>4</v>
      </c>
      <c r="CW4" s="39">
        <v>4</v>
      </c>
      <c r="CX4" s="39">
        <v>7</v>
      </c>
      <c r="CY4" s="39">
        <v>9.8000000000000007</v>
      </c>
      <c r="CZ4" s="39">
        <v>6.9</v>
      </c>
      <c r="DA4" s="39">
        <v>5</v>
      </c>
      <c r="DB4" s="41">
        <v>20</v>
      </c>
      <c r="DD4" s="37" t="s">
        <v>7</v>
      </c>
      <c r="DE4" s="38">
        <v>10</v>
      </c>
      <c r="DF4" s="39">
        <v>10</v>
      </c>
      <c r="DG4" s="39">
        <v>14.5</v>
      </c>
      <c r="DH4" s="39">
        <v>23.2</v>
      </c>
      <c r="DI4" s="39">
        <v>19.2</v>
      </c>
      <c r="DJ4" s="39">
        <v>7</v>
      </c>
      <c r="DK4" s="41">
        <v>57</v>
      </c>
      <c r="DM4" s="37" t="s">
        <v>7</v>
      </c>
      <c r="DN4" s="38">
        <v>15</v>
      </c>
      <c r="DO4" s="39">
        <v>15</v>
      </c>
      <c r="DP4" s="39">
        <v>22</v>
      </c>
      <c r="DQ4" s="39">
        <v>23.5</v>
      </c>
      <c r="DR4" s="39">
        <v>15.4</v>
      </c>
      <c r="DS4" s="39">
        <v>7</v>
      </c>
      <c r="DT4" s="41">
        <v>57</v>
      </c>
    </row>
    <row r="5" spans="1:124" x14ac:dyDescent="0.2">
      <c r="B5" s="146" t="s">
        <v>12</v>
      </c>
      <c r="C5" s="209">
        <v>1</v>
      </c>
      <c r="D5" s="38">
        <f t="shared" ref="D5:D45" si="29">IF(RIGHT(B5,1)="3",1,0)</f>
        <v>0</v>
      </c>
      <c r="E5" s="38">
        <f t="shared" ref="E5:E45" si="30">IF(RIGHT(B5,1)="4",1,0)</f>
        <v>1</v>
      </c>
      <c r="F5" s="215">
        <v>8</v>
      </c>
      <c r="G5" s="216">
        <v>25.9</v>
      </c>
      <c r="H5" s="217">
        <v>24.5</v>
      </c>
      <c r="I5" s="218">
        <f t="shared" si="0"/>
        <v>4</v>
      </c>
      <c r="J5" s="218">
        <f t="shared" si="1"/>
        <v>9.8000000000000007</v>
      </c>
      <c r="K5" s="219">
        <f t="shared" si="2"/>
        <v>6.9</v>
      </c>
      <c r="L5" s="218">
        <f t="shared" si="3"/>
        <v>5</v>
      </c>
      <c r="M5" s="218">
        <f t="shared" si="4"/>
        <v>10.6</v>
      </c>
      <c r="N5" s="219">
        <f t="shared" si="5"/>
        <v>6.3</v>
      </c>
      <c r="O5" s="218">
        <f t="shared" si="6"/>
        <v>6</v>
      </c>
      <c r="P5" s="218">
        <f t="shared" si="7"/>
        <v>14.3</v>
      </c>
      <c r="Q5" s="219">
        <f t="shared" si="8"/>
        <v>10.7</v>
      </c>
      <c r="R5" s="218">
        <f t="shared" si="9"/>
        <v>4</v>
      </c>
      <c r="S5" s="218">
        <f t="shared" si="10"/>
        <v>9.8000000000000007</v>
      </c>
      <c r="T5" s="219">
        <f t="shared" si="11"/>
        <v>6.9</v>
      </c>
      <c r="U5" s="218">
        <f t="shared" si="12"/>
        <v>4</v>
      </c>
      <c r="V5" s="218">
        <f t="shared" si="13"/>
        <v>9.8000000000000007</v>
      </c>
      <c r="W5" s="219">
        <f t="shared" si="14"/>
        <v>6.9</v>
      </c>
      <c r="X5" s="218">
        <f t="shared" si="15"/>
        <v>4</v>
      </c>
      <c r="Y5" s="218">
        <f t="shared" si="16"/>
        <v>9.8000000000000007</v>
      </c>
      <c r="Z5" s="219">
        <f t="shared" si="17"/>
        <v>6.9</v>
      </c>
      <c r="AA5" s="218">
        <f t="shared" si="18"/>
        <v>4</v>
      </c>
      <c r="AB5" s="218">
        <f t="shared" si="19"/>
        <v>9.8000000000000007</v>
      </c>
      <c r="AC5" s="219">
        <f t="shared" si="20"/>
        <v>6.9</v>
      </c>
      <c r="AD5" s="6"/>
      <c r="AE5" s="151">
        <v>20.8</v>
      </c>
      <c r="AF5" s="5">
        <v>27.7</v>
      </c>
      <c r="AG5" s="42">
        <v>29.4</v>
      </c>
      <c r="AH5" s="176">
        <f t="shared" si="21"/>
        <v>4</v>
      </c>
      <c r="AI5" s="177">
        <f t="shared" si="22"/>
        <v>9.8000000000000007</v>
      </c>
      <c r="AJ5" s="64">
        <f t="shared" si="23"/>
        <v>-11</v>
      </c>
      <c r="AK5" s="64">
        <f t="shared" si="24"/>
        <v>-17.899999999999999</v>
      </c>
      <c r="AL5" s="156">
        <f t="shared" si="25"/>
        <v>-19.599999999999998</v>
      </c>
      <c r="AO5" s="166">
        <f>VLOOKUP(B5,Coûts!$C$10:$G$57,5,FALSE)</f>
        <v>10362.82</v>
      </c>
      <c r="AP5" s="167">
        <f t="shared" si="26"/>
        <v>498.21249999999998</v>
      </c>
      <c r="AQ5" s="167">
        <f t="shared" si="27"/>
        <v>374.10902527075814</v>
      </c>
      <c r="AR5" s="168">
        <f t="shared" si="28"/>
        <v>352.47687074829935</v>
      </c>
      <c r="AS5" s="6"/>
      <c r="AT5" s="166">
        <f>Coûts!$I$5-AE5*Coûts!$I$3</f>
        <v>4271.7760000000007</v>
      </c>
      <c r="AU5" s="167">
        <f>Coûts!$I$5-AF5*Coûts!$I$3</f>
        <v>4221.5440000000008</v>
      </c>
      <c r="AV5" s="168">
        <f>Coûts!$I$5-AG5*Coûts!$I$3</f>
        <v>4209.1680000000006</v>
      </c>
      <c r="AW5" s="6"/>
      <c r="AX5" s="166">
        <f>Coûts!$I$5-AE5*Coûts!$I$4</f>
        <v>3487.2000000000007</v>
      </c>
      <c r="AY5" s="167">
        <f>Coûts!$I$5-AF5*Coûts!$I$4</f>
        <v>3176.7000000000007</v>
      </c>
      <c r="AZ5" s="168">
        <f>Coûts!$I$5-AG5*Coûts!$I$4</f>
        <v>3100.2000000000007</v>
      </c>
      <c r="BA5" s="6"/>
      <c r="BB5" s="37" t="s">
        <v>12</v>
      </c>
      <c r="BC5" s="38">
        <v>8</v>
      </c>
      <c r="BD5" s="39">
        <v>8</v>
      </c>
      <c r="BE5" s="39">
        <v>17</v>
      </c>
      <c r="BF5" s="39">
        <v>25.9</v>
      </c>
      <c r="BG5" s="39">
        <v>24.5</v>
      </c>
      <c r="BH5" s="39">
        <v>5</v>
      </c>
      <c r="BI5" s="41">
        <v>75</v>
      </c>
      <c r="BK5" s="37" t="s">
        <v>13</v>
      </c>
      <c r="BL5" s="38">
        <v>5</v>
      </c>
      <c r="BM5" s="39">
        <v>5</v>
      </c>
      <c r="BN5" s="39">
        <v>33</v>
      </c>
      <c r="BO5" s="39">
        <v>39</v>
      </c>
      <c r="BP5" s="39">
        <v>22.9</v>
      </c>
      <c r="BQ5" s="39">
        <v>8</v>
      </c>
      <c r="BR5" s="41">
        <v>69</v>
      </c>
      <c r="BT5" s="37" t="s">
        <v>7</v>
      </c>
      <c r="BU5" s="38">
        <v>3</v>
      </c>
      <c r="BV5" s="39">
        <v>3</v>
      </c>
      <c r="BW5" s="39">
        <v>9</v>
      </c>
      <c r="BX5" s="39">
        <v>14</v>
      </c>
      <c r="BY5" s="39">
        <v>10.4</v>
      </c>
      <c r="BZ5" s="39">
        <v>7</v>
      </c>
      <c r="CA5" s="41">
        <v>26</v>
      </c>
      <c r="CC5" s="37" t="s">
        <v>12</v>
      </c>
      <c r="CD5" s="38">
        <v>4</v>
      </c>
      <c r="CE5" s="39">
        <v>4</v>
      </c>
      <c r="CF5" s="39">
        <v>7</v>
      </c>
      <c r="CG5" s="39">
        <v>9.8000000000000007</v>
      </c>
      <c r="CH5" s="39">
        <v>6.9</v>
      </c>
      <c r="CI5" s="39">
        <v>5</v>
      </c>
      <c r="CJ5" s="41">
        <v>20</v>
      </c>
      <c r="CL5" s="37" t="s">
        <v>12</v>
      </c>
      <c r="CM5" s="38">
        <v>4</v>
      </c>
      <c r="CN5" s="39">
        <v>4</v>
      </c>
      <c r="CO5" s="39">
        <v>7</v>
      </c>
      <c r="CP5" s="39">
        <v>9.8000000000000007</v>
      </c>
      <c r="CQ5" s="39">
        <v>6.9</v>
      </c>
      <c r="CR5" s="39">
        <v>5</v>
      </c>
      <c r="CS5" s="41">
        <v>20</v>
      </c>
      <c r="CU5" s="37" t="s">
        <v>7</v>
      </c>
      <c r="CV5" s="38">
        <v>3</v>
      </c>
      <c r="CW5" s="39">
        <v>3</v>
      </c>
      <c r="CX5" s="39">
        <v>9</v>
      </c>
      <c r="CY5" s="39">
        <v>14</v>
      </c>
      <c r="CZ5" s="39">
        <v>10.4</v>
      </c>
      <c r="DA5" s="39">
        <v>7</v>
      </c>
      <c r="DB5" s="41">
        <v>26</v>
      </c>
      <c r="DD5" s="37" t="s">
        <v>12</v>
      </c>
      <c r="DE5" s="38">
        <v>5</v>
      </c>
      <c r="DF5" s="39">
        <v>5</v>
      </c>
      <c r="DG5" s="39">
        <v>7</v>
      </c>
      <c r="DH5" s="39">
        <v>10.6</v>
      </c>
      <c r="DI5" s="39">
        <v>6.3</v>
      </c>
      <c r="DJ5" s="39">
        <v>5</v>
      </c>
      <c r="DK5" s="41">
        <v>20</v>
      </c>
      <c r="DM5" s="37" t="s">
        <v>12</v>
      </c>
      <c r="DN5" s="38">
        <v>6</v>
      </c>
      <c r="DO5" s="39">
        <v>6</v>
      </c>
      <c r="DP5" s="39">
        <v>10.5</v>
      </c>
      <c r="DQ5" s="39">
        <v>14.3</v>
      </c>
      <c r="DR5" s="39">
        <v>10.7</v>
      </c>
      <c r="DS5" s="39">
        <v>5</v>
      </c>
      <c r="DT5" s="41">
        <v>33</v>
      </c>
    </row>
    <row r="6" spans="1:124" x14ac:dyDescent="0.2">
      <c r="B6" s="146" t="s">
        <v>14</v>
      </c>
      <c r="C6" s="209">
        <v>1</v>
      </c>
      <c r="D6" s="38">
        <f t="shared" si="29"/>
        <v>0</v>
      </c>
      <c r="E6" s="38">
        <f t="shared" si="30"/>
        <v>0</v>
      </c>
      <c r="F6" s="215">
        <v>5</v>
      </c>
      <c r="G6" s="216">
        <v>26.8</v>
      </c>
      <c r="H6" s="217">
        <v>14.7</v>
      </c>
      <c r="I6" s="218">
        <f t="shared" si="0"/>
        <v>3</v>
      </c>
      <c r="J6" s="218">
        <f t="shared" si="1"/>
        <v>23.3</v>
      </c>
      <c r="K6" s="219">
        <f t="shared" si="2"/>
        <v>16.3</v>
      </c>
      <c r="L6" s="218">
        <f t="shared" si="3"/>
        <v>3</v>
      </c>
      <c r="M6" s="218">
        <f t="shared" si="4"/>
        <v>23.3</v>
      </c>
      <c r="N6" s="219">
        <f t="shared" si="5"/>
        <v>16.3</v>
      </c>
      <c r="O6" s="218">
        <f t="shared" si="6"/>
        <v>4</v>
      </c>
      <c r="P6" s="218">
        <f t="shared" si="7"/>
        <v>22.8</v>
      </c>
      <c r="Q6" s="219">
        <f t="shared" si="8"/>
        <v>13.4</v>
      </c>
      <c r="R6" s="218">
        <f t="shared" si="9"/>
        <v>4</v>
      </c>
      <c r="S6" s="218">
        <f t="shared" si="10"/>
        <v>28.3</v>
      </c>
      <c r="T6" s="219">
        <f t="shared" si="11"/>
        <v>16.5</v>
      </c>
      <c r="U6" s="218">
        <f t="shared" si="12"/>
        <v>3</v>
      </c>
      <c r="V6" s="218">
        <f t="shared" si="13"/>
        <v>23.3</v>
      </c>
      <c r="W6" s="219">
        <f t="shared" si="14"/>
        <v>16.3</v>
      </c>
      <c r="X6" s="218">
        <f t="shared" si="15"/>
        <v>3</v>
      </c>
      <c r="Y6" s="218">
        <f t="shared" si="16"/>
        <v>23.3</v>
      </c>
      <c r="Z6" s="219">
        <f t="shared" si="17"/>
        <v>16.3</v>
      </c>
      <c r="AA6" s="218">
        <f t="shared" si="18"/>
        <v>3</v>
      </c>
      <c r="AB6" s="218">
        <f t="shared" si="19"/>
        <v>23.3</v>
      </c>
      <c r="AC6" s="219">
        <f t="shared" si="20"/>
        <v>16.3</v>
      </c>
      <c r="AD6" s="6"/>
      <c r="AE6" s="151">
        <v>12.6</v>
      </c>
      <c r="AF6" s="5">
        <v>16.3</v>
      </c>
      <c r="AG6" s="42">
        <v>18.100000000000001</v>
      </c>
      <c r="AH6" s="176">
        <f t="shared" si="21"/>
        <v>3</v>
      </c>
      <c r="AI6" s="177">
        <f t="shared" si="22"/>
        <v>23.3</v>
      </c>
      <c r="AJ6" s="64">
        <f t="shared" si="23"/>
        <v>10.700000000000001</v>
      </c>
      <c r="AK6" s="64">
        <f t="shared" si="24"/>
        <v>7</v>
      </c>
      <c r="AL6" s="156">
        <f t="shared" si="25"/>
        <v>5.1999999999999993</v>
      </c>
      <c r="AO6" s="166">
        <f>VLOOKUP(B6,Coûts!$C$10:$G$57,5,FALSE)</f>
        <v>8853.4699999999993</v>
      </c>
      <c r="AP6" s="167">
        <f t="shared" si="26"/>
        <v>702.6563492063492</v>
      </c>
      <c r="AQ6" s="167">
        <f t="shared" si="27"/>
        <v>543.15766871165636</v>
      </c>
      <c r="AR6" s="168">
        <f t="shared" si="28"/>
        <v>489.14198895027619</v>
      </c>
      <c r="AS6" s="6"/>
      <c r="AT6" s="166">
        <f>Coûts!$I$5-AE6*Coûts!$I$3</f>
        <v>4331.4720000000007</v>
      </c>
      <c r="AU6" s="167">
        <f>Coûts!$I$5-AF6*Coûts!$I$3</f>
        <v>4304.536000000001</v>
      </c>
      <c r="AV6" s="168">
        <f>Coûts!$I$5-AG6*Coûts!$I$3</f>
        <v>4291.4320000000007</v>
      </c>
      <c r="AW6" s="6"/>
      <c r="AX6" s="166">
        <f>Coûts!$I$5-AE6*Coûts!$I$4</f>
        <v>3856.2000000000007</v>
      </c>
      <c r="AY6" s="167">
        <f>Coûts!$I$5-AF6*Coûts!$I$4</f>
        <v>3689.7000000000007</v>
      </c>
      <c r="AZ6" s="168">
        <f>Coûts!$I$5-AG6*Coûts!$I$4</f>
        <v>3608.7000000000007</v>
      </c>
      <c r="BA6" s="6"/>
      <c r="BB6" s="37" t="s">
        <v>14</v>
      </c>
      <c r="BC6" s="38">
        <v>5</v>
      </c>
      <c r="BD6" s="39">
        <v>5</v>
      </c>
      <c r="BE6" s="39">
        <v>21</v>
      </c>
      <c r="BF6" s="39">
        <v>26.8</v>
      </c>
      <c r="BG6" s="39">
        <v>14.7</v>
      </c>
      <c r="BH6" s="39">
        <v>12</v>
      </c>
      <c r="BI6" s="41">
        <v>43</v>
      </c>
      <c r="BK6" s="37" t="s">
        <v>14</v>
      </c>
      <c r="BL6" s="38">
        <v>4</v>
      </c>
      <c r="BM6" s="39">
        <v>4</v>
      </c>
      <c r="BN6" s="39">
        <v>29</v>
      </c>
      <c r="BO6" s="39">
        <v>28.3</v>
      </c>
      <c r="BP6" s="39">
        <v>16.5</v>
      </c>
      <c r="BQ6" s="39">
        <v>12</v>
      </c>
      <c r="BR6" s="41">
        <v>43</v>
      </c>
      <c r="BT6" s="37" t="s">
        <v>14</v>
      </c>
      <c r="BU6" s="38">
        <v>3</v>
      </c>
      <c r="BV6" s="39">
        <v>3</v>
      </c>
      <c r="BW6" s="39">
        <v>16</v>
      </c>
      <c r="BX6" s="39">
        <v>23.3</v>
      </c>
      <c r="BY6" s="39">
        <v>16.3</v>
      </c>
      <c r="BZ6" s="39">
        <v>12</v>
      </c>
      <c r="CA6" s="41">
        <v>42</v>
      </c>
      <c r="CC6" s="37" t="s">
        <v>14</v>
      </c>
      <c r="CD6" s="38">
        <v>3</v>
      </c>
      <c r="CE6" s="39">
        <v>3</v>
      </c>
      <c r="CF6" s="39">
        <v>16</v>
      </c>
      <c r="CG6" s="39">
        <v>23.3</v>
      </c>
      <c r="CH6" s="39">
        <v>16.3</v>
      </c>
      <c r="CI6" s="39">
        <v>12</v>
      </c>
      <c r="CJ6" s="41">
        <v>42</v>
      </c>
      <c r="CL6" s="37" t="s">
        <v>14</v>
      </c>
      <c r="CM6" s="38">
        <v>3</v>
      </c>
      <c r="CN6" s="39">
        <v>3</v>
      </c>
      <c r="CO6" s="39">
        <v>16</v>
      </c>
      <c r="CP6" s="39">
        <v>23.3</v>
      </c>
      <c r="CQ6" s="39">
        <v>16.3</v>
      </c>
      <c r="CR6" s="39">
        <v>12</v>
      </c>
      <c r="CS6" s="41">
        <v>42</v>
      </c>
      <c r="CU6" s="37" t="s">
        <v>14</v>
      </c>
      <c r="CV6" s="38">
        <v>3</v>
      </c>
      <c r="CW6" s="39">
        <v>3</v>
      </c>
      <c r="CX6" s="39">
        <v>16</v>
      </c>
      <c r="CY6" s="39">
        <v>23.3</v>
      </c>
      <c r="CZ6" s="39">
        <v>16.3</v>
      </c>
      <c r="DA6" s="39">
        <v>12</v>
      </c>
      <c r="DB6" s="41">
        <v>42</v>
      </c>
      <c r="DD6" s="37" t="s">
        <v>14</v>
      </c>
      <c r="DE6" s="38">
        <v>3</v>
      </c>
      <c r="DF6" s="39">
        <v>3</v>
      </c>
      <c r="DG6" s="39">
        <v>16</v>
      </c>
      <c r="DH6" s="39">
        <v>23.3</v>
      </c>
      <c r="DI6" s="39">
        <v>16.3</v>
      </c>
      <c r="DJ6" s="39">
        <v>12</v>
      </c>
      <c r="DK6" s="41">
        <v>42</v>
      </c>
      <c r="DM6" s="37" t="s">
        <v>14</v>
      </c>
      <c r="DN6" s="38">
        <v>4</v>
      </c>
      <c r="DO6" s="39">
        <v>4</v>
      </c>
      <c r="DP6" s="39">
        <v>18.5</v>
      </c>
      <c r="DQ6" s="39">
        <v>22.8</v>
      </c>
      <c r="DR6" s="39">
        <v>13.4</v>
      </c>
      <c r="DS6" s="39">
        <v>12</v>
      </c>
      <c r="DT6" s="41">
        <v>42</v>
      </c>
    </row>
    <row r="7" spans="1:124" x14ac:dyDescent="0.2">
      <c r="B7" s="146" t="s">
        <v>13</v>
      </c>
      <c r="C7" s="209">
        <v>1</v>
      </c>
      <c r="D7" s="38">
        <f t="shared" si="29"/>
        <v>0</v>
      </c>
      <c r="E7" s="38">
        <f t="shared" si="30"/>
        <v>1</v>
      </c>
      <c r="F7" s="215">
        <v>5</v>
      </c>
      <c r="G7" s="216">
        <v>39</v>
      </c>
      <c r="H7" s="217">
        <v>22.9</v>
      </c>
      <c r="I7" s="218">
        <f t="shared" si="0"/>
        <v>1</v>
      </c>
      <c r="J7" s="218">
        <f t="shared" si="1"/>
        <v>8</v>
      </c>
      <c r="K7" s="219" t="str">
        <f t="shared" si="2"/>
        <v>.</v>
      </c>
      <c r="L7" s="218">
        <f t="shared" si="3"/>
        <v>1</v>
      </c>
      <c r="M7" s="218">
        <f t="shared" si="4"/>
        <v>8</v>
      </c>
      <c r="N7" s="219" t="str">
        <f t="shared" si="5"/>
        <v>.</v>
      </c>
      <c r="O7" s="218">
        <f t="shared" si="6"/>
        <v>2</v>
      </c>
      <c r="P7" s="218">
        <f t="shared" si="7"/>
        <v>20.5</v>
      </c>
      <c r="Q7" s="219">
        <f t="shared" si="8"/>
        <v>17.7</v>
      </c>
      <c r="R7" s="218">
        <f t="shared" si="9"/>
        <v>5</v>
      </c>
      <c r="S7" s="218">
        <f t="shared" si="10"/>
        <v>39</v>
      </c>
      <c r="T7" s="219">
        <f t="shared" si="11"/>
        <v>22.9</v>
      </c>
      <c r="U7" s="218">
        <f t="shared" si="12"/>
        <v>1</v>
      </c>
      <c r="V7" s="218">
        <f t="shared" si="13"/>
        <v>8</v>
      </c>
      <c r="W7" s="219" t="str">
        <f t="shared" si="14"/>
        <v>.</v>
      </c>
      <c r="X7" s="218">
        <f t="shared" si="15"/>
        <v>1</v>
      </c>
      <c r="Y7" s="218">
        <f t="shared" si="16"/>
        <v>8</v>
      </c>
      <c r="Z7" s="219" t="str">
        <f t="shared" si="17"/>
        <v>.</v>
      </c>
      <c r="AA7" s="218">
        <f t="shared" si="18"/>
        <v>2</v>
      </c>
      <c r="AB7" s="218">
        <f t="shared" si="19"/>
        <v>20.5</v>
      </c>
      <c r="AC7" s="219">
        <f t="shared" si="20"/>
        <v>17.7</v>
      </c>
      <c r="AD7" s="6"/>
      <c r="AE7" s="151">
        <v>30.3</v>
      </c>
      <c r="AF7" s="5">
        <v>38.799999999999997</v>
      </c>
      <c r="AG7" s="42">
        <v>45.75</v>
      </c>
      <c r="AH7" s="176">
        <f t="shared" si="21"/>
        <v>1</v>
      </c>
      <c r="AI7" s="177">
        <f t="shared" si="22"/>
        <v>8</v>
      </c>
      <c r="AJ7" s="64">
        <f t="shared" si="23"/>
        <v>-22.3</v>
      </c>
      <c r="AK7" s="64">
        <f t="shared" si="24"/>
        <v>-30.799999999999997</v>
      </c>
      <c r="AL7" s="156">
        <f t="shared" si="25"/>
        <v>-37.75</v>
      </c>
      <c r="AO7" s="166">
        <f>VLOOKUP(B7,Coûts!$C$10:$G$57,5,FALSE)</f>
        <v>16335.94</v>
      </c>
      <c r="AP7" s="167">
        <f t="shared" si="26"/>
        <v>539.13993399339938</v>
      </c>
      <c r="AQ7" s="167">
        <f t="shared" si="27"/>
        <v>421.02938144329903</v>
      </c>
      <c r="AR7" s="168">
        <f t="shared" si="28"/>
        <v>357.06972677595627</v>
      </c>
      <c r="AS7" s="6"/>
      <c r="AT7" s="166">
        <f>Coûts!$I$5-AE7*Coûts!$I$3</f>
        <v>4202.6160000000009</v>
      </c>
      <c r="AU7" s="167">
        <f>Coûts!$I$5-AF7*Coûts!$I$3</f>
        <v>4140.7360000000008</v>
      </c>
      <c r="AV7" s="168">
        <f>Coûts!$I$5-AG7*Coûts!$I$3</f>
        <v>4090.1400000000008</v>
      </c>
      <c r="AW7" s="6"/>
      <c r="AX7" s="166">
        <f>Coûts!$I$5-AE7*Coûts!$I$4</f>
        <v>3059.7000000000007</v>
      </c>
      <c r="AY7" s="167">
        <f>Coûts!$I$5-AF7*Coûts!$I$4</f>
        <v>2677.2000000000007</v>
      </c>
      <c r="AZ7" s="168">
        <f>Coûts!$I$5-AG7*Coûts!$I$4</f>
        <v>2364.4500000000007</v>
      </c>
      <c r="BA7" s="6"/>
      <c r="BB7" s="37" t="s">
        <v>13</v>
      </c>
      <c r="BC7" s="38">
        <v>5</v>
      </c>
      <c r="BD7" s="39">
        <v>5</v>
      </c>
      <c r="BE7" s="39">
        <v>33</v>
      </c>
      <c r="BF7" s="39">
        <v>39</v>
      </c>
      <c r="BG7" s="39">
        <v>22.9</v>
      </c>
      <c r="BH7" s="39">
        <v>8</v>
      </c>
      <c r="BI7" s="41">
        <v>69</v>
      </c>
      <c r="BK7" s="37" t="s">
        <v>12</v>
      </c>
      <c r="BL7" s="38">
        <v>4</v>
      </c>
      <c r="BM7" s="39">
        <v>4</v>
      </c>
      <c r="BN7" s="39">
        <v>7</v>
      </c>
      <c r="BO7" s="39">
        <v>9.8000000000000007</v>
      </c>
      <c r="BP7" s="39">
        <v>6.9</v>
      </c>
      <c r="BQ7" s="39">
        <v>5</v>
      </c>
      <c r="BR7" s="41">
        <v>20</v>
      </c>
      <c r="BT7" s="37" t="s">
        <v>17</v>
      </c>
      <c r="BU7" s="38">
        <v>1</v>
      </c>
      <c r="BV7" s="39">
        <v>1</v>
      </c>
      <c r="BW7" s="39">
        <v>18</v>
      </c>
      <c r="BX7" s="39">
        <v>18</v>
      </c>
      <c r="BY7" s="39" t="s">
        <v>87</v>
      </c>
      <c r="BZ7" s="39">
        <v>18</v>
      </c>
      <c r="CA7" s="41">
        <v>18</v>
      </c>
      <c r="CC7" s="37" t="s">
        <v>15</v>
      </c>
      <c r="CD7" s="38">
        <v>3</v>
      </c>
      <c r="CE7" s="39">
        <v>3</v>
      </c>
      <c r="CF7" s="39">
        <v>9</v>
      </c>
      <c r="CG7" s="39">
        <v>9.3000000000000007</v>
      </c>
      <c r="CH7" s="39">
        <v>1.5</v>
      </c>
      <c r="CI7" s="39">
        <v>8</v>
      </c>
      <c r="CJ7" s="41">
        <v>11</v>
      </c>
      <c r="CL7" s="37" t="s">
        <v>15</v>
      </c>
      <c r="CM7" s="38">
        <v>3</v>
      </c>
      <c r="CN7" s="39">
        <v>3</v>
      </c>
      <c r="CO7" s="39">
        <v>9</v>
      </c>
      <c r="CP7" s="39">
        <v>9.3000000000000007</v>
      </c>
      <c r="CQ7" s="39">
        <v>1.5</v>
      </c>
      <c r="CR7" s="39">
        <v>8</v>
      </c>
      <c r="CS7" s="41">
        <v>11</v>
      </c>
      <c r="CU7" s="37" t="s">
        <v>16</v>
      </c>
      <c r="CV7" s="38">
        <v>2</v>
      </c>
      <c r="CW7" s="39">
        <v>2</v>
      </c>
      <c r="CX7" s="39">
        <v>4.5</v>
      </c>
      <c r="CY7" s="39">
        <v>4.5</v>
      </c>
      <c r="CZ7" s="39">
        <v>3.5</v>
      </c>
      <c r="DA7" s="39">
        <v>2</v>
      </c>
      <c r="DB7" s="41">
        <v>7</v>
      </c>
      <c r="DD7" s="37" t="s">
        <v>15</v>
      </c>
      <c r="DE7" s="38">
        <v>3</v>
      </c>
      <c r="DF7" s="39">
        <v>3</v>
      </c>
      <c r="DG7" s="39">
        <v>9</v>
      </c>
      <c r="DH7" s="39">
        <v>9.3000000000000007</v>
      </c>
      <c r="DI7" s="39">
        <v>1.5</v>
      </c>
      <c r="DJ7" s="39">
        <v>8</v>
      </c>
      <c r="DK7" s="41">
        <v>11</v>
      </c>
      <c r="DM7" s="37" t="s">
        <v>17</v>
      </c>
      <c r="DN7" s="38">
        <v>3</v>
      </c>
      <c r="DO7" s="39">
        <v>3</v>
      </c>
      <c r="DP7" s="39">
        <v>26</v>
      </c>
      <c r="DQ7" s="39">
        <v>23.7</v>
      </c>
      <c r="DR7" s="39">
        <v>4.9000000000000004</v>
      </c>
      <c r="DS7" s="39">
        <v>18</v>
      </c>
      <c r="DT7" s="41">
        <v>27</v>
      </c>
    </row>
    <row r="8" spans="1:124" x14ac:dyDescent="0.2">
      <c r="A8" s="50" t="s">
        <v>96</v>
      </c>
      <c r="B8" s="146" t="s">
        <v>17</v>
      </c>
      <c r="C8" s="209">
        <v>0</v>
      </c>
      <c r="D8" s="38">
        <f t="shared" si="29"/>
        <v>1</v>
      </c>
      <c r="E8" s="38">
        <f t="shared" si="30"/>
        <v>0</v>
      </c>
      <c r="F8" s="215">
        <v>3</v>
      </c>
      <c r="G8" s="216">
        <v>23.7</v>
      </c>
      <c r="H8" s="217">
        <v>4.9000000000000004</v>
      </c>
      <c r="I8" s="218">
        <f t="shared" si="0"/>
        <v>1</v>
      </c>
      <c r="J8" s="218">
        <f t="shared" si="1"/>
        <v>18</v>
      </c>
      <c r="K8" s="219" t="str">
        <f t="shared" si="2"/>
        <v>.</v>
      </c>
      <c r="L8" s="218">
        <f t="shared" si="3"/>
        <v>1</v>
      </c>
      <c r="M8" s="218">
        <f t="shared" si="4"/>
        <v>18</v>
      </c>
      <c r="N8" s="219" t="str">
        <f t="shared" si="5"/>
        <v>.</v>
      </c>
      <c r="O8" s="218">
        <f t="shared" si="6"/>
        <v>3</v>
      </c>
      <c r="P8" s="218">
        <f t="shared" si="7"/>
        <v>23.7</v>
      </c>
      <c r="Q8" s="219">
        <f t="shared" si="8"/>
        <v>4.9000000000000004</v>
      </c>
      <c r="R8" s="218">
        <f t="shared" si="9"/>
        <v>2</v>
      </c>
      <c r="S8" s="218">
        <f t="shared" si="10"/>
        <v>22.5</v>
      </c>
      <c r="T8" s="219">
        <f t="shared" si="11"/>
        <v>6.4</v>
      </c>
      <c r="U8" s="218">
        <f t="shared" si="12"/>
        <v>1</v>
      </c>
      <c r="V8" s="218">
        <f t="shared" si="13"/>
        <v>18</v>
      </c>
      <c r="W8" s="219" t="str">
        <f t="shared" si="14"/>
        <v>.</v>
      </c>
      <c r="X8" s="218">
        <f t="shared" si="15"/>
        <v>1</v>
      </c>
      <c r="Y8" s="218">
        <f t="shared" si="16"/>
        <v>18</v>
      </c>
      <c r="Z8" s="219" t="str">
        <f t="shared" si="17"/>
        <v>.</v>
      </c>
      <c r="AA8" s="218">
        <f t="shared" si="18"/>
        <v>2</v>
      </c>
      <c r="AB8" s="218">
        <f t="shared" si="19"/>
        <v>22.5</v>
      </c>
      <c r="AC8" s="219">
        <f t="shared" si="20"/>
        <v>6.4</v>
      </c>
      <c r="AD8" s="6"/>
      <c r="AE8" s="151">
        <v>0</v>
      </c>
      <c r="AF8" s="5"/>
      <c r="AG8" s="42"/>
      <c r="AH8" s="176">
        <f t="shared" si="21"/>
        <v>1</v>
      </c>
      <c r="AI8" s="177">
        <f t="shared" si="22"/>
        <v>18</v>
      </c>
      <c r="AJ8" s="64">
        <f t="shared" si="23"/>
        <v>18</v>
      </c>
      <c r="AK8" s="64">
        <f t="shared" si="24"/>
        <v>18</v>
      </c>
      <c r="AL8" s="156">
        <f t="shared" si="25"/>
        <v>18</v>
      </c>
      <c r="AO8" s="166">
        <f>VLOOKUP(B8,Coûts!$C$10:$G$57,5,FALSE)</f>
        <v>0</v>
      </c>
      <c r="AP8" s="167" t="str">
        <f t="shared" si="26"/>
        <v/>
      </c>
      <c r="AQ8" s="167" t="str">
        <f t="shared" si="27"/>
        <v/>
      </c>
      <c r="AR8" s="168" t="str">
        <f t="shared" si="28"/>
        <v/>
      </c>
      <c r="AS8" s="6"/>
      <c r="AT8" s="166">
        <f>Coûts!$I$5-AE8*Coûts!$I$3</f>
        <v>4423.2000000000007</v>
      </c>
      <c r="AU8" s="167">
        <f>Coûts!$I$5-AF8*Coûts!$I$3</f>
        <v>4423.2000000000007</v>
      </c>
      <c r="AV8" s="168">
        <f>Coûts!$I$5-AG8*Coûts!$I$3</f>
        <v>4423.2000000000007</v>
      </c>
      <c r="AW8" s="6"/>
      <c r="AX8" s="166">
        <f>Coûts!$I$5-AE8*Coûts!$I$4</f>
        <v>4423.2000000000007</v>
      </c>
      <c r="AY8" s="167">
        <f>Coûts!$I$5-AF8*Coûts!$I$4</f>
        <v>4423.2000000000007</v>
      </c>
      <c r="AZ8" s="168">
        <f>Coûts!$I$5-AG8*Coûts!$I$4</f>
        <v>4423.2000000000007</v>
      </c>
      <c r="BA8" s="6"/>
      <c r="BB8" s="37" t="s">
        <v>17</v>
      </c>
      <c r="BC8" s="38">
        <v>3</v>
      </c>
      <c r="BD8" s="39">
        <v>3</v>
      </c>
      <c r="BE8" s="39">
        <v>26</v>
      </c>
      <c r="BF8" s="39">
        <v>23.7</v>
      </c>
      <c r="BG8" s="39">
        <v>4.9000000000000004</v>
      </c>
      <c r="BH8" s="39">
        <v>18</v>
      </c>
      <c r="BI8" s="41">
        <v>27</v>
      </c>
      <c r="BK8" s="37" t="s">
        <v>15</v>
      </c>
      <c r="BL8" s="38">
        <v>3</v>
      </c>
      <c r="BM8" s="39">
        <v>3</v>
      </c>
      <c r="BN8" s="39">
        <v>9</v>
      </c>
      <c r="BO8" s="39">
        <v>9.3000000000000007</v>
      </c>
      <c r="BP8" s="39">
        <v>1.5</v>
      </c>
      <c r="BQ8" s="39">
        <v>8</v>
      </c>
      <c r="BR8" s="41">
        <v>11</v>
      </c>
      <c r="BT8" s="37" t="s">
        <v>48</v>
      </c>
      <c r="BU8" s="38">
        <v>1</v>
      </c>
      <c r="BV8" s="39">
        <v>1</v>
      </c>
      <c r="BW8" s="39">
        <v>2</v>
      </c>
      <c r="BX8" s="39">
        <v>2</v>
      </c>
      <c r="BY8" s="39" t="s">
        <v>87</v>
      </c>
      <c r="BZ8" s="39">
        <v>2</v>
      </c>
      <c r="CA8" s="41">
        <v>2</v>
      </c>
      <c r="CC8" s="37" t="s">
        <v>22</v>
      </c>
      <c r="CD8" s="38">
        <v>2</v>
      </c>
      <c r="CE8" s="39">
        <v>2</v>
      </c>
      <c r="CF8" s="39">
        <v>13</v>
      </c>
      <c r="CG8" s="39">
        <v>13</v>
      </c>
      <c r="CH8" s="39">
        <v>7.1</v>
      </c>
      <c r="CI8" s="39">
        <v>8</v>
      </c>
      <c r="CJ8" s="41">
        <v>18</v>
      </c>
      <c r="CL8" s="37" t="s">
        <v>17</v>
      </c>
      <c r="CM8" s="38">
        <v>2</v>
      </c>
      <c r="CN8" s="39">
        <v>2</v>
      </c>
      <c r="CO8" s="39">
        <v>22.5</v>
      </c>
      <c r="CP8" s="39">
        <v>22.5</v>
      </c>
      <c r="CQ8" s="39">
        <v>6.4</v>
      </c>
      <c r="CR8" s="39">
        <v>18</v>
      </c>
      <c r="CS8" s="41">
        <v>27</v>
      </c>
      <c r="CU8" s="37" t="s">
        <v>38</v>
      </c>
      <c r="CV8" s="38">
        <v>1</v>
      </c>
      <c r="CW8" s="39">
        <v>1</v>
      </c>
      <c r="CX8" s="39">
        <v>10</v>
      </c>
      <c r="CY8" s="39">
        <v>10</v>
      </c>
      <c r="CZ8" s="39" t="s">
        <v>87</v>
      </c>
      <c r="DA8" s="39">
        <v>10</v>
      </c>
      <c r="DB8" s="41">
        <v>10</v>
      </c>
      <c r="DD8" s="37" t="s">
        <v>22</v>
      </c>
      <c r="DE8" s="38">
        <v>2</v>
      </c>
      <c r="DF8" s="39">
        <v>2</v>
      </c>
      <c r="DG8" s="39">
        <v>13</v>
      </c>
      <c r="DH8" s="39">
        <v>13</v>
      </c>
      <c r="DI8" s="39">
        <v>7.1</v>
      </c>
      <c r="DJ8" s="39">
        <v>8</v>
      </c>
      <c r="DK8" s="41">
        <v>18</v>
      </c>
      <c r="DM8" s="37" t="s">
        <v>15</v>
      </c>
      <c r="DN8" s="38">
        <v>3</v>
      </c>
      <c r="DO8" s="39">
        <v>3</v>
      </c>
      <c r="DP8" s="39">
        <v>9</v>
      </c>
      <c r="DQ8" s="39">
        <v>9.3000000000000007</v>
      </c>
      <c r="DR8" s="39">
        <v>1.5</v>
      </c>
      <c r="DS8" s="39">
        <v>8</v>
      </c>
      <c r="DT8" s="41">
        <v>11</v>
      </c>
    </row>
    <row r="9" spans="1:124" x14ac:dyDescent="0.2">
      <c r="B9" s="146" t="s">
        <v>15</v>
      </c>
      <c r="C9" s="209">
        <v>1</v>
      </c>
      <c r="D9" s="38">
        <f t="shared" si="29"/>
        <v>0</v>
      </c>
      <c r="E9" s="38">
        <f t="shared" si="30"/>
        <v>1</v>
      </c>
      <c r="F9" s="215">
        <v>3</v>
      </c>
      <c r="G9" s="216">
        <v>9.3000000000000007</v>
      </c>
      <c r="H9" s="217">
        <v>1.5</v>
      </c>
      <c r="I9" s="218">
        <f t="shared" si="0"/>
        <v>1</v>
      </c>
      <c r="J9" s="218">
        <f t="shared" si="1"/>
        <v>9</v>
      </c>
      <c r="K9" s="219" t="str">
        <f t="shared" si="2"/>
        <v>.</v>
      </c>
      <c r="L9" s="218">
        <f t="shared" si="3"/>
        <v>3</v>
      </c>
      <c r="M9" s="218">
        <f t="shared" si="4"/>
        <v>9.3000000000000007</v>
      </c>
      <c r="N9" s="219">
        <f t="shared" si="5"/>
        <v>1.5</v>
      </c>
      <c r="O9" s="218">
        <f t="shared" si="6"/>
        <v>3</v>
      </c>
      <c r="P9" s="218">
        <f t="shared" si="7"/>
        <v>9.3000000000000007</v>
      </c>
      <c r="Q9" s="219">
        <f t="shared" si="8"/>
        <v>1.5</v>
      </c>
      <c r="R9" s="218">
        <f t="shared" si="9"/>
        <v>3</v>
      </c>
      <c r="S9" s="218">
        <f t="shared" si="10"/>
        <v>9.3000000000000007</v>
      </c>
      <c r="T9" s="219">
        <f t="shared" si="11"/>
        <v>1.5</v>
      </c>
      <c r="U9" s="218">
        <f t="shared" si="12"/>
        <v>1</v>
      </c>
      <c r="V9" s="218">
        <f t="shared" si="13"/>
        <v>9</v>
      </c>
      <c r="W9" s="219" t="str">
        <f t="shared" si="14"/>
        <v>.</v>
      </c>
      <c r="X9" s="218">
        <f t="shared" si="15"/>
        <v>3</v>
      </c>
      <c r="Y9" s="218">
        <f t="shared" si="16"/>
        <v>9.3000000000000007</v>
      </c>
      <c r="Z9" s="219">
        <f t="shared" si="17"/>
        <v>1.5</v>
      </c>
      <c r="AA9" s="218">
        <f t="shared" si="18"/>
        <v>3</v>
      </c>
      <c r="AB9" s="218">
        <f t="shared" si="19"/>
        <v>9.3000000000000007</v>
      </c>
      <c r="AC9" s="219">
        <f t="shared" si="20"/>
        <v>1.5</v>
      </c>
      <c r="AD9" s="6"/>
      <c r="AE9" s="151">
        <v>28.5</v>
      </c>
      <c r="AF9" s="5">
        <v>40.1</v>
      </c>
      <c r="AG9" s="42">
        <v>35.32</v>
      </c>
      <c r="AH9" s="176">
        <f t="shared" si="21"/>
        <v>1</v>
      </c>
      <c r="AI9" s="177">
        <f t="shared" si="22"/>
        <v>9</v>
      </c>
      <c r="AJ9" s="64">
        <f t="shared" si="23"/>
        <v>-19.5</v>
      </c>
      <c r="AK9" s="64">
        <f t="shared" si="24"/>
        <v>-31.1</v>
      </c>
      <c r="AL9" s="156">
        <f t="shared" si="25"/>
        <v>-26.32</v>
      </c>
      <c r="AO9" s="166">
        <f>VLOOKUP(B9,Coûts!$C$10:$G$57,5,FALSE)</f>
        <v>13883.76</v>
      </c>
      <c r="AP9" s="167">
        <f t="shared" si="26"/>
        <v>487.14947368421053</v>
      </c>
      <c r="AQ9" s="167">
        <f t="shared" si="27"/>
        <v>346.2284289276808</v>
      </c>
      <c r="AR9" s="168">
        <f t="shared" si="28"/>
        <v>393.0849377123443</v>
      </c>
      <c r="AS9" s="6"/>
      <c r="AT9" s="166">
        <f>Coûts!$I$5-AE9*Coûts!$I$3</f>
        <v>4215.7200000000012</v>
      </c>
      <c r="AU9" s="167">
        <f>Coûts!$I$5-AF9*Coûts!$I$3</f>
        <v>4131.2720000000008</v>
      </c>
      <c r="AV9" s="168">
        <f>Coûts!$I$5-AG9*Coûts!$I$3</f>
        <v>4166.0704000000005</v>
      </c>
      <c r="AW9" s="6"/>
      <c r="AX9" s="166">
        <f>Coûts!$I$5-AE9*Coûts!$I$4</f>
        <v>3140.7000000000007</v>
      </c>
      <c r="AY9" s="167">
        <f>Coûts!$I$5-AF9*Coûts!$I$4</f>
        <v>2618.7000000000007</v>
      </c>
      <c r="AZ9" s="168">
        <f>Coûts!$I$5-AG9*Coûts!$I$4</f>
        <v>2833.8000000000006</v>
      </c>
      <c r="BA9" s="6"/>
      <c r="BB9" s="37" t="s">
        <v>15</v>
      </c>
      <c r="BC9" s="38">
        <v>3</v>
      </c>
      <c r="BD9" s="39">
        <v>3</v>
      </c>
      <c r="BE9" s="39">
        <v>9</v>
      </c>
      <c r="BF9" s="39">
        <v>9.3000000000000007</v>
      </c>
      <c r="BG9" s="39">
        <v>1.5</v>
      </c>
      <c r="BH9" s="39">
        <v>8</v>
      </c>
      <c r="BI9" s="41">
        <v>11</v>
      </c>
      <c r="BK9" s="37" t="s">
        <v>17</v>
      </c>
      <c r="BL9" s="38">
        <v>2</v>
      </c>
      <c r="BM9" s="39">
        <v>2</v>
      </c>
      <c r="BN9" s="39">
        <v>22.5</v>
      </c>
      <c r="BO9" s="39">
        <v>22.5</v>
      </c>
      <c r="BP9" s="39">
        <v>6.4</v>
      </c>
      <c r="BQ9" s="39">
        <v>18</v>
      </c>
      <c r="BR9" s="41">
        <v>27</v>
      </c>
      <c r="BT9" s="37" t="s">
        <v>46</v>
      </c>
      <c r="BU9" s="38">
        <v>1</v>
      </c>
      <c r="BV9" s="39">
        <v>1</v>
      </c>
      <c r="BW9" s="39">
        <v>13</v>
      </c>
      <c r="BX9" s="39">
        <v>13</v>
      </c>
      <c r="BY9" s="39" t="s">
        <v>87</v>
      </c>
      <c r="BZ9" s="39">
        <v>13</v>
      </c>
      <c r="CA9" s="41">
        <v>13</v>
      </c>
      <c r="CC9" s="37" t="s">
        <v>23</v>
      </c>
      <c r="CD9" s="38">
        <v>2</v>
      </c>
      <c r="CE9" s="39">
        <v>2</v>
      </c>
      <c r="CF9" s="39">
        <v>9</v>
      </c>
      <c r="CG9" s="39">
        <v>9</v>
      </c>
      <c r="CH9" s="39">
        <v>2.8</v>
      </c>
      <c r="CI9" s="39">
        <v>7</v>
      </c>
      <c r="CJ9" s="41">
        <v>11</v>
      </c>
      <c r="CL9" s="37" t="s">
        <v>22</v>
      </c>
      <c r="CM9" s="38">
        <v>2</v>
      </c>
      <c r="CN9" s="39">
        <v>2</v>
      </c>
      <c r="CO9" s="39">
        <v>13</v>
      </c>
      <c r="CP9" s="39">
        <v>13</v>
      </c>
      <c r="CQ9" s="39">
        <v>7.1</v>
      </c>
      <c r="CR9" s="39">
        <v>8</v>
      </c>
      <c r="CS9" s="41">
        <v>18</v>
      </c>
      <c r="CU9" s="37" t="s">
        <v>17</v>
      </c>
      <c r="CV9" s="38">
        <v>1</v>
      </c>
      <c r="CW9" s="39">
        <v>1</v>
      </c>
      <c r="CX9" s="39">
        <v>18</v>
      </c>
      <c r="CY9" s="39">
        <v>18</v>
      </c>
      <c r="CZ9" s="39" t="s">
        <v>87</v>
      </c>
      <c r="DA9" s="39">
        <v>18</v>
      </c>
      <c r="DB9" s="41">
        <v>18</v>
      </c>
      <c r="DD9" s="37" t="s">
        <v>23</v>
      </c>
      <c r="DE9" s="38">
        <v>2</v>
      </c>
      <c r="DF9" s="39">
        <v>2</v>
      </c>
      <c r="DG9" s="39">
        <v>9</v>
      </c>
      <c r="DH9" s="39">
        <v>9</v>
      </c>
      <c r="DI9" s="39">
        <v>2.8</v>
      </c>
      <c r="DJ9" s="39">
        <v>7</v>
      </c>
      <c r="DK9" s="41">
        <v>11</v>
      </c>
      <c r="DM9" s="37" t="s">
        <v>21</v>
      </c>
      <c r="DN9" s="38">
        <v>2</v>
      </c>
      <c r="DO9" s="39">
        <v>2</v>
      </c>
      <c r="DP9" s="39">
        <v>20</v>
      </c>
      <c r="DQ9" s="39">
        <v>20</v>
      </c>
      <c r="DR9" s="39">
        <v>1.4</v>
      </c>
      <c r="DS9" s="39">
        <v>19</v>
      </c>
      <c r="DT9" s="41">
        <v>21</v>
      </c>
    </row>
    <row r="10" spans="1:124" x14ac:dyDescent="0.2">
      <c r="A10" s="50" t="s">
        <v>96</v>
      </c>
      <c r="B10" s="146" t="s">
        <v>21</v>
      </c>
      <c r="C10" s="209">
        <v>0</v>
      </c>
      <c r="D10" s="38">
        <f t="shared" si="29"/>
        <v>0</v>
      </c>
      <c r="E10" s="38">
        <f t="shared" si="30"/>
        <v>0</v>
      </c>
      <c r="F10" s="215">
        <v>2</v>
      </c>
      <c r="G10" s="216">
        <v>20</v>
      </c>
      <c r="H10" s="217">
        <v>1.4</v>
      </c>
      <c r="I10" s="218" t="str">
        <f t="shared" si="0"/>
        <v/>
      </c>
      <c r="J10" s="218" t="str">
        <f t="shared" si="1"/>
        <v/>
      </c>
      <c r="K10" s="219" t="str">
        <f t="shared" si="2"/>
        <v/>
      </c>
      <c r="L10" s="218">
        <f t="shared" si="3"/>
        <v>1</v>
      </c>
      <c r="M10" s="218">
        <f t="shared" si="4"/>
        <v>21</v>
      </c>
      <c r="N10" s="219" t="str">
        <f t="shared" si="5"/>
        <v>.</v>
      </c>
      <c r="O10" s="218">
        <f t="shared" si="6"/>
        <v>2</v>
      </c>
      <c r="P10" s="218">
        <f t="shared" si="7"/>
        <v>20</v>
      </c>
      <c r="Q10" s="219">
        <f t="shared" si="8"/>
        <v>1.4</v>
      </c>
      <c r="R10" s="218" t="str">
        <f t="shared" si="9"/>
        <v/>
      </c>
      <c r="S10" s="218" t="str">
        <f t="shared" si="10"/>
        <v/>
      </c>
      <c r="T10" s="219" t="str">
        <f t="shared" si="11"/>
        <v/>
      </c>
      <c r="U10" s="218" t="str">
        <f t="shared" si="12"/>
        <v/>
      </c>
      <c r="V10" s="218" t="str">
        <f t="shared" si="13"/>
        <v/>
      </c>
      <c r="W10" s="219" t="str">
        <f t="shared" si="14"/>
        <v/>
      </c>
      <c r="X10" s="218" t="str">
        <f t="shared" si="15"/>
        <v/>
      </c>
      <c r="Y10" s="218" t="str">
        <f t="shared" si="16"/>
        <v/>
      </c>
      <c r="Z10" s="219" t="str">
        <f t="shared" si="17"/>
        <v/>
      </c>
      <c r="AA10" s="218" t="str">
        <f t="shared" si="18"/>
        <v/>
      </c>
      <c r="AB10" s="218" t="str">
        <f t="shared" si="19"/>
        <v/>
      </c>
      <c r="AC10" s="219" t="str">
        <f t="shared" si="20"/>
        <v/>
      </c>
      <c r="AD10" s="6"/>
      <c r="AE10" s="151">
        <v>0</v>
      </c>
      <c r="AF10" s="5"/>
      <c r="AG10" s="42"/>
      <c r="AH10" s="176" t="str">
        <f t="shared" si="21"/>
        <v/>
      </c>
      <c r="AI10" s="177" t="str">
        <f t="shared" si="22"/>
        <v/>
      </c>
      <c r="AJ10" s="64" t="str">
        <f t="shared" si="23"/>
        <v/>
      </c>
      <c r="AK10" s="64" t="str">
        <f t="shared" si="24"/>
        <v/>
      </c>
      <c r="AL10" s="156" t="str">
        <f t="shared" si="25"/>
        <v/>
      </c>
      <c r="AO10" s="166">
        <f>VLOOKUP(B10,Coûts!$C$10:$G$57,5,FALSE)</f>
        <v>0</v>
      </c>
      <c r="AP10" s="167" t="str">
        <f t="shared" si="26"/>
        <v/>
      </c>
      <c r="AQ10" s="167" t="str">
        <f t="shared" si="27"/>
        <v/>
      </c>
      <c r="AR10" s="168" t="str">
        <f t="shared" si="28"/>
        <v/>
      </c>
      <c r="AS10" s="6"/>
      <c r="AT10" s="166">
        <f>Coûts!$I$5-AE10*Coûts!$I$3</f>
        <v>4423.2000000000007</v>
      </c>
      <c r="AU10" s="167">
        <f>Coûts!$I$5-AF10*Coûts!$I$3</f>
        <v>4423.2000000000007</v>
      </c>
      <c r="AV10" s="168">
        <f>Coûts!$I$5-AG10*Coûts!$I$3</f>
        <v>4423.2000000000007</v>
      </c>
      <c r="AW10" s="6"/>
      <c r="AX10" s="166">
        <f>Coûts!$I$5-AE10*Coûts!$I$4</f>
        <v>4423.2000000000007</v>
      </c>
      <c r="AY10" s="167">
        <f>Coûts!$I$5-AF10*Coûts!$I$4</f>
        <v>4423.2000000000007</v>
      </c>
      <c r="AZ10" s="168">
        <f>Coûts!$I$5-AG10*Coûts!$I$4</f>
        <v>4423.2000000000007</v>
      </c>
      <c r="BA10" s="6"/>
      <c r="BB10" s="37" t="s">
        <v>21</v>
      </c>
      <c r="BC10" s="38">
        <v>2</v>
      </c>
      <c r="BD10" s="39">
        <v>2</v>
      </c>
      <c r="BE10" s="39">
        <v>20</v>
      </c>
      <c r="BF10" s="39">
        <v>20</v>
      </c>
      <c r="BG10" s="39">
        <v>1.4</v>
      </c>
      <c r="BH10" s="39">
        <v>19</v>
      </c>
      <c r="BI10" s="41">
        <v>21</v>
      </c>
      <c r="BK10" s="37" t="s">
        <v>22</v>
      </c>
      <c r="BL10" s="38">
        <v>2</v>
      </c>
      <c r="BM10" s="39">
        <v>2</v>
      </c>
      <c r="BN10" s="39">
        <v>13</v>
      </c>
      <c r="BO10" s="39">
        <v>13</v>
      </c>
      <c r="BP10" s="39">
        <v>7.1</v>
      </c>
      <c r="BQ10" s="39">
        <v>8</v>
      </c>
      <c r="BR10" s="41">
        <v>18</v>
      </c>
      <c r="BT10" s="37" t="s">
        <v>15</v>
      </c>
      <c r="BU10" s="38">
        <v>1</v>
      </c>
      <c r="BV10" s="39">
        <v>1</v>
      </c>
      <c r="BW10" s="39">
        <v>9</v>
      </c>
      <c r="BX10" s="39">
        <v>9</v>
      </c>
      <c r="BY10" s="39" t="s">
        <v>87</v>
      </c>
      <c r="BZ10" s="39">
        <v>9</v>
      </c>
      <c r="CA10" s="41">
        <v>9</v>
      </c>
      <c r="CC10" s="37" t="s">
        <v>17</v>
      </c>
      <c r="CD10" s="38">
        <v>1</v>
      </c>
      <c r="CE10" s="39">
        <v>1</v>
      </c>
      <c r="CF10" s="39">
        <v>18</v>
      </c>
      <c r="CG10" s="39">
        <v>18</v>
      </c>
      <c r="CH10" s="39" t="s">
        <v>87</v>
      </c>
      <c r="CI10" s="39">
        <v>18</v>
      </c>
      <c r="CJ10" s="41">
        <v>18</v>
      </c>
      <c r="CL10" s="37" t="s">
        <v>23</v>
      </c>
      <c r="CM10" s="38">
        <v>2</v>
      </c>
      <c r="CN10" s="39">
        <v>2</v>
      </c>
      <c r="CO10" s="39">
        <v>9</v>
      </c>
      <c r="CP10" s="39">
        <v>9</v>
      </c>
      <c r="CQ10" s="39">
        <v>2.8</v>
      </c>
      <c r="CR10" s="39">
        <v>7</v>
      </c>
      <c r="CS10" s="41">
        <v>11</v>
      </c>
      <c r="CU10" s="37" t="s">
        <v>48</v>
      </c>
      <c r="CV10" s="38">
        <v>1</v>
      </c>
      <c r="CW10" s="39">
        <v>1</v>
      </c>
      <c r="CX10" s="39">
        <v>2</v>
      </c>
      <c r="CY10" s="39">
        <v>2</v>
      </c>
      <c r="CZ10" s="39" t="s">
        <v>87</v>
      </c>
      <c r="DA10" s="39">
        <v>2</v>
      </c>
      <c r="DB10" s="41">
        <v>2</v>
      </c>
      <c r="DD10" s="37" t="s">
        <v>16</v>
      </c>
      <c r="DE10" s="38">
        <v>2</v>
      </c>
      <c r="DF10" s="39">
        <v>2</v>
      </c>
      <c r="DG10" s="39">
        <v>4.5</v>
      </c>
      <c r="DH10" s="39">
        <v>4.5</v>
      </c>
      <c r="DI10" s="39">
        <v>3.5</v>
      </c>
      <c r="DJ10" s="39">
        <v>2</v>
      </c>
      <c r="DK10" s="41">
        <v>7</v>
      </c>
      <c r="DM10" s="37" t="s">
        <v>22</v>
      </c>
      <c r="DN10" s="38">
        <v>2</v>
      </c>
      <c r="DO10" s="39">
        <v>2</v>
      </c>
      <c r="DP10" s="39">
        <v>13</v>
      </c>
      <c r="DQ10" s="39">
        <v>13</v>
      </c>
      <c r="DR10" s="39">
        <v>7.1</v>
      </c>
      <c r="DS10" s="39">
        <v>8</v>
      </c>
      <c r="DT10" s="41">
        <v>18</v>
      </c>
    </row>
    <row r="11" spans="1:124" x14ac:dyDescent="0.2">
      <c r="A11" s="50" t="s">
        <v>97</v>
      </c>
      <c r="B11" s="146" t="s">
        <v>22</v>
      </c>
      <c r="C11" s="209">
        <v>0</v>
      </c>
      <c r="D11" s="38">
        <f t="shared" si="29"/>
        <v>0</v>
      </c>
      <c r="E11" s="38">
        <f t="shared" si="30"/>
        <v>0</v>
      </c>
      <c r="F11" s="215">
        <v>2</v>
      </c>
      <c r="G11" s="216">
        <v>13</v>
      </c>
      <c r="H11" s="217">
        <v>7.1</v>
      </c>
      <c r="I11" s="218" t="str">
        <f t="shared" si="0"/>
        <v/>
      </c>
      <c r="J11" s="218" t="str">
        <f t="shared" si="1"/>
        <v/>
      </c>
      <c r="K11" s="219" t="str">
        <f t="shared" si="2"/>
        <v/>
      </c>
      <c r="L11" s="218">
        <f t="shared" si="3"/>
        <v>2</v>
      </c>
      <c r="M11" s="218">
        <f t="shared" si="4"/>
        <v>13</v>
      </c>
      <c r="N11" s="219">
        <f t="shared" si="5"/>
        <v>7.1</v>
      </c>
      <c r="O11" s="218">
        <f t="shared" si="6"/>
        <v>2</v>
      </c>
      <c r="P11" s="218">
        <f t="shared" si="7"/>
        <v>13</v>
      </c>
      <c r="Q11" s="219">
        <f t="shared" si="8"/>
        <v>7.1</v>
      </c>
      <c r="R11" s="218">
        <f t="shared" si="9"/>
        <v>2</v>
      </c>
      <c r="S11" s="218">
        <f t="shared" si="10"/>
        <v>13</v>
      </c>
      <c r="T11" s="219">
        <f t="shared" si="11"/>
        <v>7.1</v>
      </c>
      <c r="U11" s="218" t="str">
        <f t="shared" si="12"/>
        <v/>
      </c>
      <c r="V11" s="218" t="str">
        <f t="shared" si="13"/>
        <v/>
      </c>
      <c r="W11" s="219" t="str">
        <f t="shared" si="14"/>
        <v/>
      </c>
      <c r="X11" s="218">
        <f t="shared" si="15"/>
        <v>2</v>
      </c>
      <c r="Y11" s="218">
        <f t="shared" si="16"/>
        <v>13</v>
      </c>
      <c r="Z11" s="219">
        <f t="shared" si="17"/>
        <v>7.1</v>
      </c>
      <c r="AA11" s="218">
        <f t="shared" si="18"/>
        <v>2</v>
      </c>
      <c r="AB11" s="218">
        <f t="shared" si="19"/>
        <v>13</v>
      </c>
      <c r="AC11" s="219">
        <f t="shared" si="20"/>
        <v>7.1</v>
      </c>
      <c r="AD11" s="6"/>
      <c r="AE11" s="151">
        <v>5.92</v>
      </c>
      <c r="AF11" s="5">
        <v>9.18</v>
      </c>
      <c r="AG11" s="42">
        <v>11.74</v>
      </c>
      <c r="AH11" s="176" t="str">
        <f t="shared" si="21"/>
        <v/>
      </c>
      <c r="AI11" s="177" t="str">
        <f t="shared" si="22"/>
        <v/>
      </c>
      <c r="AJ11" s="64" t="str">
        <f t="shared" si="23"/>
        <v/>
      </c>
      <c r="AK11" s="64" t="str">
        <f t="shared" si="24"/>
        <v/>
      </c>
      <c r="AL11" s="156" t="str">
        <f t="shared" si="25"/>
        <v/>
      </c>
      <c r="AO11" s="166">
        <f>VLOOKUP(B11,Coûts!$C$10:$G$57,5,FALSE)</f>
        <v>5769.43</v>
      </c>
      <c r="AP11" s="167">
        <f t="shared" si="26"/>
        <v>974.56587837837844</v>
      </c>
      <c r="AQ11" s="167">
        <f t="shared" si="27"/>
        <v>628.47821350762536</v>
      </c>
      <c r="AR11" s="168">
        <f t="shared" si="28"/>
        <v>491.43356047700172</v>
      </c>
      <c r="AS11" s="6"/>
      <c r="AT11" s="166">
        <f>Coûts!$I$5-AE11*Coûts!$I$3</f>
        <v>4380.1024000000007</v>
      </c>
      <c r="AU11" s="167">
        <f>Coûts!$I$5-AF11*Coûts!$I$3</f>
        <v>4356.3696000000009</v>
      </c>
      <c r="AV11" s="168">
        <f>Coûts!$I$5-AG11*Coûts!$I$3</f>
        <v>4337.7328000000007</v>
      </c>
      <c r="AW11" s="6"/>
      <c r="AX11" s="166">
        <f>Coûts!$I$5-AE11*Coûts!$I$4</f>
        <v>4156.8000000000011</v>
      </c>
      <c r="AY11" s="167">
        <f>Coûts!$I$5-AF11*Coûts!$I$4</f>
        <v>4010.1000000000008</v>
      </c>
      <c r="AZ11" s="168">
        <f>Coûts!$I$5-AG11*Coûts!$I$4</f>
        <v>3894.9000000000005</v>
      </c>
      <c r="BA11" s="6"/>
      <c r="BB11" s="37" t="s">
        <v>22</v>
      </c>
      <c r="BC11" s="38">
        <v>2</v>
      </c>
      <c r="BD11" s="39">
        <v>2</v>
      </c>
      <c r="BE11" s="39">
        <v>13</v>
      </c>
      <c r="BF11" s="39">
        <v>13</v>
      </c>
      <c r="BG11" s="39">
        <v>7.1</v>
      </c>
      <c r="BH11" s="39">
        <v>8</v>
      </c>
      <c r="BI11" s="41">
        <v>18</v>
      </c>
      <c r="BK11" s="37" t="s">
        <v>20</v>
      </c>
      <c r="BL11" s="38">
        <v>2</v>
      </c>
      <c r="BM11" s="39">
        <v>2</v>
      </c>
      <c r="BN11" s="39">
        <v>61.5</v>
      </c>
      <c r="BO11" s="39">
        <v>61.5</v>
      </c>
      <c r="BP11" s="39">
        <v>21.9</v>
      </c>
      <c r="BQ11" s="39">
        <v>46</v>
      </c>
      <c r="BR11" s="41">
        <v>77</v>
      </c>
      <c r="BT11" s="37" t="s">
        <v>23</v>
      </c>
      <c r="BU11" s="38">
        <v>1</v>
      </c>
      <c r="BV11" s="39">
        <v>1</v>
      </c>
      <c r="BW11" s="39">
        <v>7</v>
      </c>
      <c r="BX11" s="39">
        <v>7</v>
      </c>
      <c r="BY11" s="39" t="s">
        <v>87</v>
      </c>
      <c r="BZ11" s="39">
        <v>7</v>
      </c>
      <c r="CA11" s="41">
        <v>7</v>
      </c>
      <c r="CC11" s="37" t="s">
        <v>48</v>
      </c>
      <c r="CD11" s="38">
        <v>1</v>
      </c>
      <c r="CE11" s="39">
        <v>1</v>
      </c>
      <c r="CF11" s="39">
        <v>2</v>
      </c>
      <c r="CG11" s="39">
        <v>2</v>
      </c>
      <c r="CH11" s="39" t="s">
        <v>87</v>
      </c>
      <c r="CI11" s="39">
        <v>2</v>
      </c>
      <c r="CJ11" s="41">
        <v>2</v>
      </c>
      <c r="CL11" s="37" t="s">
        <v>24</v>
      </c>
      <c r="CM11" s="38">
        <v>2</v>
      </c>
      <c r="CN11" s="39">
        <v>2</v>
      </c>
      <c r="CO11" s="39">
        <v>12.5</v>
      </c>
      <c r="CP11" s="39">
        <v>12.5</v>
      </c>
      <c r="CQ11" s="39">
        <v>9.1999999999999993</v>
      </c>
      <c r="CR11" s="39">
        <v>6</v>
      </c>
      <c r="CS11" s="41">
        <v>19</v>
      </c>
      <c r="CU11" s="37" t="s">
        <v>28</v>
      </c>
      <c r="CV11" s="38">
        <v>1</v>
      </c>
      <c r="CW11" s="39">
        <v>1</v>
      </c>
      <c r="CX11" s="39">
        <v>2</v>
      </c>
      <c r="CY11" s="39">
        <v>2</v>
      </c>
      <c r="CZ11" s="39" t="s">
        <v>87</v>
      </c>
      <c r="DA11" s="39">
        <v>2</v>
      </c>
      <c r="DB11" s="41">
        <v>2</v>
      </c>
      <c r="DD11" s="37" t="s">
        <v>38</v>
      </c>
      <c r="DE11" s="38">
        <v>1</v>
      </c>
      <c r="DF11" s="39">
        <v>1</v>
      </c>
      <c r="DG11" s="39">
        <v>10</v>
      </c>
      <c r="DH11" s="39">
        <v>10</v>
      </c>
      <c r="DI11" s="39" t="s">
        <v>87</v>
      </c>
      <c r="DJ11" s="39">
        <v>10</v>
      </c>
      <c r="DK11" s="41">
        <v>10</v>
      </c>
      <c r="DM11" s="37" t="s">
        <v>23</v>
      </c>
      <c r="DN11" s="38">
        <v>2</v>
      </c>
      <c r="DO11" s="39">
        <v>2</v>
      </c>
      <c r="DP11" s="39">
        <v>9</v>
      </c>
      <c r="DQ11" s="39">
        <v>9</v>
      </c>
      <c r="DR11" s="39">
        <v>2.8</v>
      </c>
      <c r="DS11" s="39">
        <v>7</v>
      </c>
      <c r="DT11" s="41">
        <v>11</v>
      </c>
    </row>
    <row r="12" spans="1:124" x14ac:dyDescent="0.2">
      <c r="B12" s="146" t="s">
        <v>20</v>
      </c>
      <c r="C12" s="209">
        <v>1</v>
      </c>
      <c r="D12" s="38">
        <f t="shared" si="29"/>
        <v>0</v>
      </c>
      <c r="E12" s="38">
        <f t="shared" si="30"/>
        <v>1</v>
      </c>
      <c r="F12" s="215">
        <v>2</v>
      </c>
      <c r="G12" s="216">
        <v>61.5</v>
      </c>
      <c r="H12" s="217">
        <v>21.9</v>
      </c>
      <c r="I12" s="218" t="str">
        <f t="shared" si="0"/>
        <v/>
      </c>
      <c r="J12" s="218" t="str">
        <f t="shared" si="1"/>
        <v/>
      </c>
      <c r="K12" s="219" t="str">
        <f t="shared" si="2"/>
        <v/>
      </c>
      <c r="L12" s="218" t="str">
        <f t="shared" si="3"/>
        <v/>
      </c>
      <c r="M12" s="218" t="str">
        <f t="shared" si="4"/>
        <v/>
      </c>
      <c r="N12" s="219" t="str">
        <f t="shared" si="5"/>
        <v/>
      </c>
      <c r="O12" s="218" t="str">
        <f t="shared" si="6"/>
        <v/>
      </c>
      <c r="P12" s="218" t="str">
        <f t="shared" si="7"/>
        <v/>
      </c>
      <c r="Q12" s="219" t="str">
        <f t="shared" si="8"/>
        <v/>
      </c>
      <c r="R12" s="218">
        <f t="shared" si="9"/>
        <v>2</v>
      </c>
      <c r="S12" s="218">
        <f t="shared" si="10"/>
        <v>61.5</v>
      </c>
      <c r="T12" s="219">
        <f t="shared" si="11"/>
        <v>21.9</v>
      </c>
      <c r="U12" s="218" t="str">
        <f t="shared" si="12"/>
        <v/>
      </c>
      <c r="V12" s="218" t="str">
        <f t="shared" si="13"/>
        <v/>
      </c>
      <c r="W12" s="219" t="str">
        <f t="shared" si="14"/>
        <v/>
      </c>
      <c r="X12" s="218" t="str">
        <f t="shared" si="15"/>
        <v/>
      </c>
      <c r="Y12" s="218" t="str">
        <f t="shared" si="16"/>
        <v/>
      </c>
      <c r="Z12" s="219" t="str">
        <f t="shared" si="17"/>
        <v/>
      </c>
      <c r="AA12" s="218" t="str">
        <f t="shared" si="18"/>
        <v/>
      </c>
      <c r="AB12" s="218" t="str">
        <f t="shared" si="19"/>
        <v/>
      </c>
      <c r="AC12" s="219" t="str">
        <f t="shared" si="20"/>
        <v/>
      </c>
      <c r="AD12" s="6"/>
      <c r="AE12" s="151">
        <v>33.5</v>
      </c>
      <c r="AF12" s="5">
        <v>45.25</v>
      </c>
      <c r="AG12" s="42">
        <v>42.1</v>
      </c>
      <c r="AH12" s="176" t="str">
        <f t="shared" si="21"/>
        <v/>
      </c>
      <c r="AI12" s="177" t="str">
        <f t="shared" si="22"/>
        <v/>
      </c>
      <c r="AJ12" s="64" t="str">
        <f t="shared" si="23"/>
        <v/>
      </c>
      <c r="AK12" s="64" t="str">
        <f t="shared" si="24"/>
        <v/>
      </c>
      <c r="AL12" s="156" t="str">
        <f t="shared" si="25"/>
        <v/>
      </c>
      <c r="AO12" s="166">
        <f>VLOOKUP(B12,Coûts!$C$10:$G$57,5,FALSE)</f>
        <v>22384.73</v>
      </c>
      <c r="AP12" s="167">
        <f t="shared" si="26"/>
        <v>668.20089552238801</v>
      </c>
      <c r="AQ12" s="167">
        <f t="shared" si="27"/>
        <v>494.69016574585635</v>
      </c>
      <c r="AR12" s="168">
        <f t="shared" si="28"/>
        <v>531.70380047505932</v>
      </c>
      <c r="AS12" s="6"/>
      <c r="AT12" s="166">
        <f>Coûts!$I$5-AE12*Coûts!$I$3</f>
        <v>4179.3200000000006</v>
      </c>
      <c r="AU12" s="167">
        <f>Coûts!$I$5-AF12*Coûts!$I$3</f>
        <v>4093.7800000000007</v>
      </c>
      <c r="AV12" s="168">
        <f>Coûts!$I$5-AG12*Coûts!$I$3</f>
        <v>4116.7120000000004</v>
      </c>
      <c r="AW12" s="6"/>
      <c r="AX12" s="166">
        <f>Coûts!$I$5-AE12*Coûts!$I$4</f>
        <v>2915.7000000000007</v>
      </c>
      <c r="AY12" s="167">
        <f>Coûts!$I$5-AF12*Coûts!$I$4</f>
        <v>2386.9500000000007</v>
      </c>
      <c r="AZ12" s="168">
        <f>Coûts!$I$5-AG12*Coûts!$I$4</f>
        <v>2528.7000000000007</v>
      </c>
      <c r="BA12" s="6"/>
      <c r="BB12" s="37" t="s">
        <v>20</v>
      </c>
      <c r="BC12" s="38">
        <v>2</v>
      </c>
      <c r="BD12" s="39">
        <v>2</v>
      </c>
      <c r="BE12" s="39">
        <v>61.5</v>
      </c>
      <c r="BF12" s="39">
        <v>61.5</v>
      </c>
      <c r="BG12" s="39">
        <v>21.9</v>
      </c>
      <c r="BH12" s="39">
        <v>46</v>
      </c>
      <c r="BI12" s="41">
        <v>77</v>
      </c>
      <c r="BK12" s="37" t="s">
        <v>23</v>
      </c>
      <c r="BL12" s="38">
        <v>2</v>
      </c>
      <c r="BM12" s="39">
        <v>2</v>
      </c>
      <c r="BN12" s="39">
        <v>9</v>
      </c>
      <c r="BO12" s="39">
        <v>9</v>
      </c>
      <c r="BP12" s="39">
        <v>2.8</v>
      </c>
      <c r="BQ12" s="39">
        <v>7</v>
      </c>
      <c r="BR12" s="41">
        <v>11</v>
      </c>
      <c r="BT12" s="37" t="s">
        <v>24</v>
      </c>
      <c r="BU12" s="38">
        <v>1</v>
      </c>
      <c r="BV12" s="39">
        <v>1</v>
      </c>
      <c r="BW12" s="39">
        <v>6</v>
      </c>
      <c r="BX12" s="39">
        <v>6</v>
      </c>
      <c r="BY12" s="39" t="s">
        <v>87</v>
      </c>
      <c r="BZ12" s="39">
        <v>6</v>
      </c>
      <c r="CA12" s="41">
        <v>6</v>
      </c>
      <c r="CC12" s="37" t="s">
        <v>46</v>
      </c>
      <c r="CD12" s="38">
        <v>1</v>
      </c>
      <c r="CE12" s="39">
        <v>1</v>
      </c>
      <c r="CF12" s="39">
        <v>13</v>
      </c>
      <c r="CG12" s="39">
        <v>13</v>
      </c>
      <c r="CH12" s="39" t="s">
        <v>87</v>
      </c>
      <c r="CI12" s="39">
        <v>13</v>
      </c>
      <c r="CJ12" s="41">
        <v>13</v>
      </c>
      <c r="CL12" s="37" t="s">
        <v>18</v>
      </c>
      <c r="CM12" s="38">
        <v>2</v>
      </c>
      <c r="CN12" s="39">
        <v>2</v>
      </c>
      <c r="CO12" s="39">
        <v>18.5</v>
      </c>
      <c r="CP12" s="39">
        <v>18.5</v>
      </c>
      <c r="CQ12" s="39">
        <v>4.9000000000000004</v>
      </c>
      <c r="CR12" s="39">
        <v>15</v>
      </c>
      <c r="CS12" s="41">
        <v>22</v>
      </c>
      <c r="CU12" s="37" t="s">
        <v>50</v>
      </c>
      <c r="CV12" s="38">
        <v>1</v>
      </c>
      <c r="CW12" s="39">
        <v>1</v>
      </c>
      <c r="CX12" s="39">
        <v>14</v>
      </c>
      <c r="CY12" s="39">
        <v>14</v>
      </c>
      <c r="CZ12" s="39" t="s">
        <v>87</v>
      </c>
      <c r="DA12" s="39">
        <v>14</v>
      </c>
      <c r="DB12" s="41">
        <v>14</v>
      </c>
      <c r="DD12" s="37" t="s">
        <v>17</v>
      </c>
      <c r="DE12" s="38">
        <v>1</v>
      </c>
      <c r="DF12" s="39">
        <v>1</v>
      </c>
      <c r="DG12" s="39">
        <v>18</v>
      </c>
      <c r="DH12" s="39">
        <v>18</v>
      </c>
      <c r="DI12" s="39" t="s">
        <v>87</v>
      </c>
      <c r="DJ12" s="39">
        <v>18</v>
      </c>
      <c r="DK12" s="41">
        <v>18</v>
      </c>
      <c r="DM12" s="37" t="s">
        <v>24</v>
      </c>
      <c r="DN12" s="38">
        <v>2</v>
      </c>
      <c r="DO12" s="39">
        <v>2</v>
      </c>
      <c r="DP12" s="39">
        <v>12.5</v>
      </c>
      <c r="DQ12" s="39">
        <v>12.5</v>
      </c>
      <c r="DR12" s="39">
        <v>9.1999999999999993</v>
      </c>
      <c r="DS12" s="39">
        <v>6</v>
      </c>
      <c r="DT12" s="41">
        <v>19</v>
      </c>
    </row>
    <row r="13" spans="1:124" x14ac:dyDescent="0.2">
      <c r="B13" s="146" t="s">
        <v>23</v>
      </c>
      <c r="C13" s="209">
        <v>1</v>
      </c>
      <c r="D13" s="38">
        <f t="shared" si="29"/>
        <v>1</v>
      </c>
      <c r="E13" s="38">
        <f t="shared" si="30"/>
        <v>0</v>
      </c>
      <c r="F13" s="215">
        <v>2</v>
      </c>
      <c r="G13" s="216">
        <v>9</v>
      </c>
      <c r="H13" s="217">
        <v>2.8</v>
      </c>
      <c r="I13" s="218">
        <f t="shared" si="0"/>
        <v>1</v>
      </c>
      <c r="J13" s="218">
        <f t="shared" si="1"/>
        <v>7</v>
      </c>
      <c r="K13" s="219" t="str">
        <f t="shared" si="2"/>
        <v>.</v>
      </c>
      <c r="L13" s="218">
        <f t="shared" si="3"/>
        <v>2</v>
      </c>
      <c r="M13" s="218">
        <f t="shared" si="4"/>
        <v>9</v>
      </c>
      <c r="N13" s="219">
        <f t="shared" si="5"/>
        <v>2.8</v>
      </c>
      <c r="O13" s="218">
        <f t="shared" si="6"/>
        <v>2</v>
      </c>
      <c r="P13" s="218">
        <f t="shared" si="7"/>
        <v>9</v>
      </c>
      <c r="Q13" s="219">
        <f t="shared" si="8"/>
        <v>2.8</v>
      </c>
      <c r="R13" s="218">
        <f t="shared" si="9"/>
        <v>2</v>
      </c>
      <c r="S13" s="218">
        <f t="shared" si="10"/>
        <v>9</v>
      </c>
      <c r="T13" s="219">
        <f t="shared" si="11"/>
        <v>2.8</v>
      </c>
      <c r="U13" s="218">
        <f t="shared" si="12"/>
        <v>1</v>
      </c>
      <c r="V13" s="218">
        <f t="shared" si="13"/>
        <v>7</v>
      </c>
      <c r="W13" s="219" t="str">
        <f t="shared" si="14"/>
        <v>.</v>
      </c>
      <c r="X13" s="218">
        <f t="shared" si="15"/>
        <v>2</v>
      </c>
      <c r="Y13" s="218">
        <f t="shared" si="16"/>
        <v>9</v>
      </c>
      <c r="Z13" s="219">
        <f t="shared" si="17"/>
        <v>2.8</v>
      </c>
      <c r="AA13" s="218">
        <f t="shared" si="18"/>
        <v>2</v>
      </c>
      <c r="AB13" s="218">
        <f t="shared" si="19"/>
        <v>9</v>
      </c>
      <c r="AC13" s="219">
        <f t="shared" si="20"/>
        <v>2.8</v>
      </c>
      <c r="AD13" s="6"/>
      <c r="AE13" s="151">
        <v>13.6</v>
      </c>
      <c r="AF13" s="5">
        <v>19.8</v>
      </c>
      <c r="AG13" s="42">
        <v>19.2</v>
      </c>
      <c r="AH13" s="176">
        <f t="shared" si="21"/>
        <v>1</v>
      </c>
      <c r="AI13" s="177">
        <f t="shared" si="22"/>
        <v>7</v>
      </c>
      <c r="AJ13" s="64">
        <f t="shared" si="23"/>
        <v>-6.6</v>
      </c>
      <c r="AK13" s="64">
        <f t="shared" si="24"/>
        <v>-12.8</v>
      </c>
      <c r="AL13" s="156">
        <f t="shared" si="25"/>
        <v>-12.2</v>
      </c>
      <c r="AO13" s="166">
        <f>VLOOKUP(B13,Coûts!$C$10:$G$57,5,FALSE)</f>
        <v>7048.34</v>
      </c>
      <c r="AP13" s="167">
        <f t="shared" si="26"/>
        <v>518.26029411764705</v>
      </c>
      <c r="AQ13" s="167">
        <f t="shared" si="27"/>
        <v>355.97676767676768</v>
      </c>
      <c r="AR13" s="168">
        <f t="shared" si="28"/>
        <v>367.10104166666667</v>
      </c>
      <c r="AS13" s="6"/>
      <c r="AT13" s="166">
        <f>Coûts!$I$5-AE13*Coûts!$I$3</f>
        <v>4324.1920000000009</v>
      </c>
      <c r="AU13" s="167">
        <f>Coûts!$I$5-AF13*Coûts!$I$3</f>
        <v>4279.0560000000005</v>
      </c>
      <c r="AV13" s="168">
        <f>Coûts!$I$5-AG13*Coûts!$I$3</f>
        <v>4283.4240000000009</v>
      </c>
      <c r="AW13" s="6"/>
      <c r="AX13" s="166">
        <f>Coûts!$I$5-AE13*Coûts!$I$4</f>
        <v>3811.2000000000007</v>
      </c>
      <c r="AY13" s="167">
        <f>Coûts!$I$5-AF13*Coûts!$I$4</f>
        <v>3532.2000000000007</v>
      </c>
      <c r="AZ13" s="168">
        <f>Coûts!$I$5-AG13*Coûts!$I$4</f>
        <v>3559.2000000000007</v>
      </c>
      <c r="BA13" s="6"/>
      <c r="BB13" s="37" t="s">
        <v>23</v>
      </c>
      <c r="BC13" s="38">
        <v>2</v>
      </c>
      <c r="BD13" s="39">
        <v>2</v>
      </c>
      <c r="BE13" s="39">
        <v>9</v>
      </c>
      <c r="BF13" s="39">
        <v>9</v>
      </c>
      <c r="BG13" s="39">
        <v>2.8</v>
      </c>
      <c r="BH13" s="39">
        <v>7</v>
      </c>
      <c r="BI13" s="41">
        <v>11</v>
      </c>
      <c r="BK13" s="37" t="s">
        <v>24</v>
      </c>
      <c r="BL13" s="38">
        <v>2</v>
      </c>
      <c r="BM13" s="39">
        <v>2</v>
      </c>
      <c r="BN13" s="39">
        <v>12.5</v>
      </c>
      <c r="BO13" s="39">
        <v>12.5</v>
      </c>
      <c r="BP13" s="39">
        <v>9.1999999999999993</v>
      </c>
      <c r="BQ13" s="39">
        <v>6</v>
      </c>
      <c r="BR13" s="41">
        <v>19</v>
      </c>
      <c r="BT13" s="37" t="s">
        <v>47</v>
      </c>
      <c r="BU13" s="38">
        <v>1</v>
      </c>
      <c r="BV13" s="39">
        <v>1</v>
      </c>
      <c r="BW13" s="39">
        <v>9</v>
      </c>
      <c r="BX13" s="39">
        <v>9</v>
      </c>
      <c r="BY13" s="39" t="s">
        <v>87</v>
      </c>
      <c r="BZ13" s="39">
        <v>9</v>
      </c>
      <c r="CA13" s="41">
        <v>9</v>
      </c>
      <c r="CC13" s="37" t="s">
        <v>43</v>
      </c>
      <c r="CD13" s="38">
        <v>1</v>
      </c>
      <c r="CE13" s="39">
        <v>1</v>
      </c>
      <c r="CF13" s="39">
        <v>11</v>
      </c>
      <c r="CG13" s="39">
        <v>11</v>
      </c>
      <c r="CH13" s="39" t="s">
        <v>87</v>
      </c>
      <c r="CI13" s="39">
        <v>11</v>
      </c>
      <c r="CJ13" s="41">
        <v>11</v>
      </c>
      <c r="CL13" s="37" t="s">
        <v>13</v>
      </c>
      <c r="CM13" s="38">
        <v>2</v>
      </c>
      <c r="CN13" s="39">
        <v>2</v>
      </c>
      <c r="CO13" s="39">
        <v>20.5</v>
      </c>
      <c r="CP13" s="39">
        <v>20.5</v>
      </c>
      <c r="CQ13" s="39">
        <v>17.7</v>
      </c>
      <c r="CR13" s="39">
        <v>8</v>
      </c>
      <c r="CS13" s="41">
        <v>33</v>
      </c>
      <c r="CU13" s="37" t="s">
        <v>51</v>
      </c>
      <c r="CV13" s="38">
        <v>1</v>
      </c>
      <c r="CW13" s="39">
        <v>1</v>
      </c>
      <c r="CX13" s="39">
        <v>2</v>
      </c>
      <c r="CY13" s="39">
        <v>2</v>
      </c>
      <c r="CZ13" s="39" t="s">
        <v>87</v>
      </c>
      <c r="DA13" s="39">
        <v>2</v>
      </c>
      <c r="DB13" s="41">
        <v>2</v>
      </c>
      <c r="DD13" s="37" t="s">
        <v>48</v>
      </c>
      <c r="DE13" s="38">
        <v>1</v>
      </c>
      <c r="DF13" s="39">
        <v>1</v>
      </c>
      <c r="DG13" s="39">
        <v>2</v>
      </c>
      <c r="DH13" s="39">
        <v>2</v>
      </c>
      <c r="DI13" s="39" t="s">
        <v>87</v>
      </c>
      <c r="DJ13" s="39">
        <v>2</v>
      </c>
      <c r="DK13" s="41">
        <v>2</v>
      </c>
      <c r="DM13" s="37" t="s">
        <v>18</v>
      </c>
      <c r="DN13" s="38">
        <v>2</v>
      </c>
      <c r="DO13" s="39">
        <v>2</v>
      </c>
      <c r="DP13" s="39">
        <v>18.5</v>
      </c>
      <c r="DQ13" s="39">
        <v>18.5</v>
      </c>
      <c r="DR13" s="39">
        <v>4.9000000000000004</v>
      </c>
      <c r="DS13" s="39">
        <v>15</v>
      </c>
      <c r="DT13" s="41">
        <v>22</v>
      </c>
    </row>
    <row r="14" spans="1:124" x14ac:dyDescent="0.2">
      <c r="B14" s="146" t="s">
        <v>24</v>
      </c>
      <c r="C14" s="209">
        <v>1</v>
      </c>
      <c r="D14" s="38">
        <f t="shared" si="29"/>
        <v>1</v>
      </c>
      <c r="E14" s="38">
        <f t="shared" si="30"/>
        <v>0</v>
      </c>
      <c r="F14" s="215">
        <v>2</v>
      </c>
      <c r="G14" s="216">
        <v>12.5</v>
      </c>
      <c r="H14" s="217">
        <v>9.1999999999999993</v>
      </c>
      <c r="I14" s="218">
        <f t="shared" si="0"/>
        <v>1</v>
      </c>
      <c r="J14" s="218">
        <f t="shared" si="1"/>
        <v>6</v>
      </c>
      <c r="K14" s="219" t="str">
        <f t="shared" si="2"/>
        <v>.</v>
      </c>
      <c r="L14" s="218">
        <f t="shared" si="3"/>
        <v>1</v>
      </c>
      <c r="M14" s="218">
        <f t="shared" si="4"/>
        <v>6</v>
      </c>
      <c r="N14" s="219" t="str">
        <f t="shared" si="5"/>
        <v>.</v>
      </c>
      <c r="O14" s="218">
        <f t="shared" si="6"/>
        <v>2</v>
      </c>
      <c r="P14" s="218">
        <f t="shared" si="7"/>
        <v>12.5</v>
      </c>
      <c r="Q14" s="219">
        <f t="shared" si="8"/>
        <v>9.1999999999999993</v>
      </c>
      <c r="R14" s="218">
        <f t="shared" si="9"/>
        <v>2</v>
      </c>
      <c r="S14" s="218">
        <f t="shared" si="10"/>
        <v>12.5</v>
      </c>
      <c r="T14" s="219">
        <f t="shared" si="11"/>
        <v>9.1999999999999993</v>
      </c>
      <c r="U14" s="218">
        <f t="shared" si="12"/>
        <v>1</v>
      </c>
      <c r="V14" s="218">
        <f t="shared" si="13"/>
        <v>6</v>
      </c>
      <c r="W14" s="219" t="str">
        <f t="shared" si="14"/>
        <v>.</v>
      </c>
      <c r="X14" s="218">
        <f t="shared" si="15"/>
        <v>1</v>
      </c>
      <c r="Y14" s="218">
        <f t="shared" si="16"/>
        <v>6</v>
      </c>
      <c r="Z14" s="219" t="str">
        <f t="shared" si="17"/>
        <v>.</v>
      </c>
      <c r="AA14" s="218">
        <f t="shared" si="18"/>
        <v>2</v>
      </c>
      <c r="AB14" s="218">
        <f t="shared" si="19"/>
        <v>12.5</v>
      </c>
      <c r="AC14" s="219">
        <f t="shared" si="20"/>
        <v>9.1999999999999993</v>
      </c>
      <c r="AD14" s="6"/>
      <c r="AE14" s="151">
        <v>14.1</v>
      </c>
      <c r="AF14" s="5">
        <v>19.5</v>
      </c>
      <c r="AG14" s="42">
        <v>24.6</v>
      </c>
      <c r="AH14" s="176">
        <f t="shared" si="21"/>
        <v>1</v>
      </c>
      <c r="AI14" s="177">
        <f t="shared" si="22"/>
        <v>6</v>
      </c>
      <c r="AJ14" s="64">
        <f t="shared" si="23"/>
        <v>-8.1</v>
      </c>
      <c r="AK14" s="64">
        <f t="shared" si="24"/>
        <v>-13.5</v>
      </c>
      <c r="AL14" s="156">
        <f t="shared" si="25"/>
        <v>-18.600000000000001</v>
      </c>
      <c r="AO14" s="166">
        <f>VLOOKUP(B14,Coûts!$C$10:$G$57,5,FALSE)</f>
        <v>6994.66</v>
      </c>
      <c r="AP14" s="167">
        <f t="shared" si="26"/>
        <v>496.07517730496454</v>
      </c>
      <c r="AQ14" s="167">
        <f t="shared" si="27"/>
        <v>358.70051282051281</v>
      </c>
      <c r="AR14" s="168">
        <f t="shared" si="28"/>
        <v>284.33577235772356</v>
      </c>
      <c r="AS14" s="6"/>
      <c r="AT14" s="166">
        <f>Coûts!$I$5-AE14*Coûts!$I$3</f>
        <v>4320.5520000000006</v>
      </c>
      <c r="AU14" s="167">
        <f>Coûts!$I$5-AF14*Coûts!$I$3</f>
        <v>4281.2400000000007</v>
      </c>
      <c r="AV14" s="168">
        <f>Coûts!$I$5-AG14*Coûts!$I$3</f>
        <v>4244.112000000001</v>
      </c>
      <c r="AW14" s="6"/>
      <c r="AX14" s="166">
        <f>Coûts!$I$5-AE14*Coûts!$I$4</f>
        <v>3788.7000000000007</v>
      </c>
      <c r="AY14" s="167">
        <f>Coûts!$I$5-AF14*Coûts!$I$4</f>
        <v>3545.7000000000007</v>
      </c>
      <c r="AZ14" s="168">
        <f>Coûts!$I$5-AG14*Coûts!$I$4</f>
        <v>3316.2000000000007</v>
      </c>
      <c r="BA14" s="6"/>
      <c r="BB14" s="37" t="s">
        <v>24</v>
      </c>
      <c r="BC14" s="38">
        <v>2</v>
      </c>
      <c r="BD14" s="39">
        <v>2</v>
      </c>
      <c r="BE14" s="39">
        <v>12.5</v>
      </c>
      <c r="BF14" s="39">
        <v>12.5</v>
      </c>
      <c r="BG14" s="39">
        <v>9.1999999999999993</v>
      </c>
      <c r="BH14" s="39">
        <v>6</v>
      </c>
      <c r="BI14" s="41">
        <v>19</v>
      </c>
      <c r="BK14" s="37" t="s">
        <v>18</v>
      </c>
      <c r="BL14" s="38">
        <v>2</v>
      </c>
      <c r="BM14" s="39">
        <v>2</v>
      </c>
      <c r="BN14" s="39">
        <v>18.5</v>
      </c>
      <c r="BO14" s="39">
        <v>18.5</v>
      </c>
      <c r="BP14" s="39">
        <v>4.9000000000000004</v>
      </c>
      <c r="BQ14" s="39">
        <v>15</v>
      </c>
      <c r="BR14" s="41">
        <v>22</v>
      </c>
      <c r="BT14" s="37" t="s">
        <v>16</v>
      </c>
      <c r="BU14" s="38">
        <v>1</v>
      </c>
      <c r="BV14" s="39">
        <v>1</v>
      </c>
      <c r="BW14" s="39">
        <v>7</v>
      </c>
      <c r="BX14" s="39">
        <v>7</v>
      </c>
      <c r="BY14" s="39" t="s">
        <v>87</v>
      </c>
      <c r="BZ14" s="39">
        <v>7</v>
      </c>
      <c r="CA14" s="41">
        <v>7</v>
      </c>
      <c r="CC14" s="37" t="s">
        <v>24</v>
      </c>
      <c r="CD14" s="38">
        <v>1</v>
      </c>
      <c r="CE14" s="39">
        <v>1</v>
      </c>
      <c r="CF14" s="39">
        <v>6</v>
      </c>
      <c r="CG14" s="39">
        <v>6</v>
      </c>
      <c r="CH14" s="39" t="s">
        <v>87</v>
      </c>
      <c r="CI14" s="39">
        <v>6</v>
      </c>
      <c r="CJ14" s="41">
        <v>6</v>
      </c>
      <c r="CL14" s="37" t="s">
        <v>48</v>
      </c>
      <c r="CM14" s="38">
        <v>1</v>
      </c>
      <c r="CN14" s="39">
        <v>1</v>
      </c>
      <c r="CO14" s="39">
        <v>2</v>
      </c>
      <c r="CP14" s="39">
        <v>2</v>
      </c>
      <c r="CQ14" s="39" t="s">
        <v>87</v>
      </c>
      <c r="CR14" s="39">
        <v>2</v>
      </c>
      <c r="CS14" s="41">
        <v>2</v>
      </c>
      <c r="CU14" s="37" t="s">
        <v>46</v>
      </c>
      <c r="CV14" s="38">
        <v>1</v>
      </c>
      <c r="CW14" s="39">
        <v>1</v>
      </c>
      <c r="CX14" s="39">
        <v>13</v>
      </c>
      <c r="CY14" s="39">
        <v>13</v>
      </c>
      <c r="CZ14" s="39" t="s">
        <v>87</v>
      </c>
      <c r="DA14" s="39">
        <v>13</v>
      </c>
      <c r="DB14" s="41">
        <v>13</v>
      </c>
      <c r="DD14" s="37" t="s">
        <v>28</v>
      </c>
      <c r="DE14" s="38">
        <v>1</v>
      </c>
      <c r="DF14" s="39">
        <v>1</v>
      </c>
      <c r="DG14" s="39">
        <v>2</v>
      </c>
      <c r="DH14" s="39">
        <v>2</v>
      </c>
      <c r="DI14" s="39" t="s">
        <v>87</v>
      </c>
      <c r="DJ14" s="39">
        <v>2</v>
      </c>
      <c r="DK14" s="41">
        <v>2</v>
      </c>
      <c r="DM14" s="37" t="s">
        <v>16</v>
      </c>
      <c r="DN14" s="38">
        <v>2</v>
      </c>
      <c r="DO14" s="39">
        <v>2</v>
      </c>
      <c r="DP14" s="39">
        <v>4.5</v>
      </c>
      <c r="DQ14" s="39">
        <v>4.5</v>
      </c>
      <c r="DR14" s="39">
        <v>3.5</v>
      </c>
      <c r="DS14" s="39">
        <v>2</v>
      </c>
      <c r="DT14" s="41">
        <v>7</v>
      </c>
    </row>
    <row r="15" spans="1:124" x14ac:dyDescent="0.2">
      <c r="A15" s="50" t="s">
        <v>97</v>
      </c>
      <c r="B15" s="146" t="s">
        <v>26</v>
      </c>
      <c r="C15" s="209">
        <v>0</v>
      </c>
      <c r="D15" s="38">
        <f t="shared" si="29"/>
        <v>0</v>
      </c>
      <c r="E15" s="38">
        <f t="shared" si="30"/>
        <v>0</v>
      </c>
      <c r="F15" s="215">
        <v>2</v>
      </c>
      <c r="G15" s="216">
        <v>36</v>
      </c>
      <c r="H15" s="217">
        <v>4.2</v>
      </c>
      <c r="I15" s="218">
        <f t="shared" si="0"/>
        <v>1</v>
      </c>
      <c r="J15" s="218">
        <f t="shared" si="1"/>
        <v>33</v>
      </c>
      <c r="K15" s="219" t="str">
        <f t="shared" si="2"/>
        <v>.</v>
      </c>
      <c r="L15" s="218">
        <f t="shared" si="3"/>
        <v>1</v>
      </c>
      <c r="M15" s="218">
        <f t="shared" si="4"/>
        <v>33</v>
      </c>
      <c r="N15" s="219" t="str">
        <f t="shared" si="5"/>
        <v>.</v>
      </c>
      <c r="O15" s="218">
        <f t="shared" si="6"/>
        <v>1</v>
      </c>
      <c r="P15" s="218">
        <f t="shared" si="7"/>
        <v>33</v>
      </c>
      <c r="Q15" s="219" t="str">
        <f t="shared" si="8"/>
        <v>.</v>
      </c>
      <c r="R15" s="218" t="str">
        <f t="shared" si="9"/>
        <v/>
      </c>
      <c r="S15" s="218" t="str">
        <f t="shared" si="10"/>
        <v/>
      </c>
      <c r="T15" s="219" t="str">
        <f t="shared" si="11"/>
        <v/>
      </c>
      <c r="U15" s="218" t="str">
        <f t="shared" si="12"/>
        <v/>
      </c>
      <c r="V15" s="218" t="str">
        <f t="shared" si="13"/>
        <v/>
      </c>
      <c r="W15" s="219" t="str">
        <f t="shared" si="14"/>
        <v/>
      </c>
      <c r="X15" s="218" t="str">
        <f t="shared" si="15"/>
        <v/>
      </c>
      <c r="Y15" s="218" t="str">
        <f t="shared" si="16"/>
        <v/>
      </c>
      <c r="Z15" s="219" t="str">
        <f t="shared" si="17"/>
        <v/>
      </c>
      <c r="AA15" s="218" t="str">
        <f t="shared" si="18"/>
        <v/>
      </c>
      <c r="AB15" s="218" t="str">
        <f t="shared" si="19"/>
        <v/>
      </c>
      <c r="AC15" s="219" t="str">
        <f t="shared" si="20"/>
        <v/>
      </c>
      <c r="AD15" s="6"/>
      <c r="AE15" s="151">
        <v>0</v>
      </c>
      <c r="AF15" s="5"/>
      <c r="AG15" s="42"/>
      <c r="AH15" s="176" t="str">
        <f t="shared" si="21"/>
        <v/>
      </c>
      <c r="AI15" s="177" t="str">
        <f t="shared" si="22"/>
        <v/>
      </c>
      <c r="AJ15" s="64" t="str">
        <f t="shared" si="23"/>
        <v/>
      </c>
      <c r="AK15" s="64" t="str">
        <f t="shared" si="24"/>
        <v/>
      </c>
      <c r="AL15" s="156" t="str">
        <f t="shared" si="25"/>
        <v/>
      </c>
      <c r="AO15" s="166">
        <f>VLOOKUP(B15,Coûts!$C$10:$G$57,5,FALSE)</f>
        <v>813.21</v>
      </c>
      <c r="AP15" s="167" t="str">
        <f t="shared" si="26"/>
        <v/>
      </c>
      <c r="AQ15" s="167" t="str">
        <f t="shared" si="27"/>
        <v/>
      </c>
      <c r="AR15" s="168" t="str">
        <f t="shared" si="28"/>
        <v/>
      </c>
      <c r="AS15" s="6"/>
      <c r="AT15" s="166">
        <f>Coûts!$I$5-AE15*Coûts!$I$3</f>
        <v>4423.2000000000007</v>
      </c>
      <c r="AU15" s="167">
        <f>Coûts!$I$5-AF15*Coûts!$I$3</f>
        <v>4423.2000000000007</v>
      </c>
      <c r="AV15" s="168">
        <f>Coûts!$I$5-AG15*Coûts!$I$3</f>
        <v>4423.2000000000007</v>
      </c>
      <c r="AW15" s="6"/>
      <c r="AX15" s="166">
        <f>Coûts!$I$5-AE15*Coûts!$I$4</f>
        <v>4423.2000000000007</v>
      </c>
      <c r="AY15" s="167">
        <f>Coûts!$I$5-AF15*Coûts!$I$4</f>
        <v>4423.2000000000007</v>
      </c>
      <c r="AZ15" s="168">
        <f>Coûts!$I$5-AG15*Coûts!$I$4</f>
        <v>4423.2000000000007</v>
      </c>
      <c r="BA15" s="6"/>
      <c r="BB15" s="37" t="s">
        <v>26</v>
      </c>
      <c r="BC15" s="38">
        <v>2</v>
      </c>
      <c r="BD15" s="39">
        <v>2</v>
      </c>
      <c r="BE15" s="39">
        <v>36</v>
      </c>
      <c r="BF15" s="39">
        <v>36</v>
      </c>
      <c r="BG15" s="39">
        <v>4.2</v>
      </c>
      <c r="BH15" s="39">
        <v>33</v>
      </c>
      <c r="BI15" s="41">
        <v>39</v>
      </c>
      <c r="BK15" s="37" t="s">
        <v>48</v>
      </c>
      <c r="BL15" s="38">
        <v>1</v>
      </c>
      <c r="BM15" s="39">
        <v>1</v>
      </c>
      <c r="BN15" s="39">
        <v>2</v>
      </c>
      <c r="BO15" s="39">
        <v>2</v>
      </c>
      <c r="BP15" s="39" t="s">
        <v>87</v>
      </c>
      <c r="BQ15" s="39">
        <v>2</v>
      </c>
      <c r="BR15" s="41">
        <v>2</v>
      </c>
      <c r="BT15" s="37" t="s">
        <v>13</v>
      </c>
      <c r="BU15" s="38">
        <v>1</v>
      </c>
      <c r="BV15" s="39">
        <v>1</v>
      </c>
      <c r="BW15" s="39">
        <v>8</v>
      </c>
      <c r="BX15" s="39">
        <v>8</v>
      </c>
      <c r="BY15" s="39" t="s">
        <v>87</v>
      </c>
      <c r="BZ15" s="39">
        <v>8</v>
      </c>
      <c r="CA15" s="41">
        <v>8</v>
      </c>
      <c r="CC15" s="37" t="s">
        <v>47</v>
      </c>
      <c r="CD15" s="38">
        <v>1</v>
      </c>
      <c r="CE15" s="39">
        <v>1</v>
      </c>
      <c r="CF15" s="39">
        <v>9</v>
      </c>
      <c r="CG15" s="39">
        <v>9</v>
      </c>
      <c r="CH15" s="39" t="s">
        <v>87</v>
      </c>
      <c r="CI15" s="39">
        <v>9</v>
      </c>
      <c r="CJ15" s="41">
        <v>9</v>
      </c>
      <c r="CL15" s="37" t="s">
        <v>33</v>
      </c>
      <c r="CM15" s="38">
        <v>1</v>
      </c>
      <c r="CN15" s="39">
        <v>1</v>
      </c>
      <c r="CO15" s="39">
        <v>41</v>
      </c>
      <c r="CP15" s="39">
        <v>41</v>
      </c>
      <c r="CQ15" s="39" t="s">
        <v>87</v>
      </c>
      <c r="CR15" s="39">
        <v>41</v>
      </c>
      <c r="CS15" s="41">
        <v>41</v>
      </c>
      <c r="CU15" s="37" t="s">
        <v>15</v>
      </c>
      <c r="CV15" s="38">
        <v>1</v>
      </c>
      <c r="CW15" s="39">
        <v>1</v>
      </c>
      <c r="CX15" s="39">
        <v>9</v>
      </c>
      <c r="CY15" s="39">
        <v>9</v>
      </c>
      <c r="CZ15" s="39" t="s">
        <v>87</v>
      </c>
      <c r="DA15" s="39">
        <v>9</v>
      </c>
      <c r="DB15" s="41">
        <v>9</v>
      </c>
      <c r="DD15" s="37" t="s">
        <v>21</v>
      </c>
      <c r="DE15" s="38">
        <v>1</v>
      </c>
      <c r="DF15" s="39">
        <v>1</v>
      </c>
      <c r="DG15" s="39">
        <v>21</v>
      </c>
      <c r="DH15" s="39">
        <v>21</v>
      </c>
      <c r="DI15" s="39" t="s">
        <v>87</v>
      </c>
      <c r="DJ15" s="39">
        <v>21</v>
      </c>
      <c r="DK15" s="41">
        <v>21</v>
      </c>
      <c r="DM15" s="37" t="s">
        <v>13</v>
      </c>
      <c r="DN15" s="38">
        <v>2</v>
      </c>
      <c r="DO15" s="39">
        <v>2</v>
      </c>
      <c r="DP15" s="39">
        <v>20.5</v>
      </c>
      <c r="DQ15" s="39">
        <v>20.5</v>
      </c>
      <c r="DR15" s="39">
        <v>17.7</v>
      </c>
      <c r="DS15" s="39">
        <v>8</v>
      </c>
      <c r="DT15" s="41">
        <v>33</v>
      </c>
    </row>
    <row r="16" spans="1:124" x14ac:dyDescent="0.2">
      <c r="A16" s="50" t="s">
        <v>98</v>
      </c>
      <c r="B16" s="146" t="s">
        <v>18</v>
      </c>
      <c r="C16" s="209">
        <v>0</v>
      </c>
      <c r="D16" s="38">
        <f t="shared" si="29"/>
        <v>0</v>
      </c>
      <c r="E16" s="38">
        <f t="shared" si="30"/>
        <v>0</v>
      </c>
      <c r="F16" s="215">
        <v>2</v>
      </c>
      <c r="G16" s="216">
        <v>18.5</v>
      </c>
      <c r="H16" s="217">
        <v>4.9000000000000004</v>
      </c>
      <c r="I16" s="218" t="str">
        <f t="shared" si="0"/>
        <v/>
      </c>
      <c r="J16" s="218" t="str">
        <f t="shared" si="1"/>
        <v/>
      </c>
      <c r="K16" s="219" t="str">
        <f t="shared" si="2"/>
        <v/>
      </c>
      <c r="L16" s="218" t="str">
        <f t="shared" si="3"/>
        <v/>
      </c>
      <c r="M16" s="218" t="str">
        <f t="shared" si="4"/>
        <v/>
      </c>
      <c r="N16" s="219" t="str">
        <f t="shared" si="5"/>
        <v/>
      </c>
      <c r="O16" s="218">
        <f t="shared" si="6"/>
        <v>2</v>
      </c>
      <c r="P16" s="218">
        <f t="shared" si="7"/>
        <v>18.5</v>
      </c>
      <c r="Q16" s="219">
        <f t="shared" si="8"/>
        <v>4.9000000000000004</v>
      </c>
      <c r="R16" s="218">
        <f t="shared" si="9"/>
        <v>2</v>
      </c>
      <c r="S16" s="218">
        <f t="shared" si="10"/>
        <v>18.5</v>
      </c>
      <c r="T16" s="219">
        <f t="shared" si="11"/>
        <v>4.9000000000000004</v>
      </c>
      <c r="U16" s="218" t="str">
        <f t="shared" si="12"/>
        <v/>
      </c>
      <c r="V16" s="218" t="str">
        <f t="shared" si="13"/>
        <v/>
      </c>
      <c r="W16" s="219" t="str">
        <f t="shared" si="14"/>
        <v/>
      </c>
      <c r="X16" s="218" t="str">
        <f t="shared" si="15"/>
        <v/>
      </c>
      <c r="Y16" s="218" t="str">
        <f t="shared" si="16"/>
        <v/>
      </c>
      <c r="Z16" s="219" t="str">
        <f t="shared" si="17"/>
        <v/>
      </c>
      <c r="AA16" s="218">
        <f t="shared" si="18"/>
        <v>2</v>
      </c>
      <c r="AB16" s="218">
        <f t="shared" si="19"/>
        <v>18.5</v>
      </c>
      <c r="AC16" s="219">
        <f t="shared" si="20"/>
        <v>4.9000000000000004</v>
      </c>
      <c r="AD16" s="6"/>
      <c r="AE16" s="151">
        <v>0</v>
      </c>
      <c r="AF16" s="5"/>
      <c r="AG16" s="42"/>
      <c r="AH16" s="176" t="str">
        <f t="shared" si="21"/>
        <v/>
      </c>
      <c r="AI16" s="177" t="str">
        <f t="shared" si="22"/>
        <v/>
      </c>
      <c r="AJ16" s="64" t="str">
        <f t="shared" si="23"/>
        <v/>
      </c>
      <c r="AK16" s="64" t="str">
        <f t="shared" si="24"/>
        <v/>
      </c>
      <c r="AL16" s="156" t="str">
        <f t="shared" si="25"/>
        <v/>
      </c>
      <c r="AO16" s="166">
        <f>VLOOKUP(B16,Coûts!$C$10:$G$57,5,FALSE)</f>
        <v>335.02</v>
      </c>
      <c r="AP16" s="167" t="str">
        <f t="shared" si="26"/>
        <v/>
      </c>
      <c r="AQ16" s="167" t="str">
        <f t="shared" si="27"/>
        <v/>
      </c>
      <c r="AR16" s="168" t="str">
        <f t="shared" si="28"/>
        <v/>
      </c>
      <c r="AS16" s="6"/>
      <c r="AT16" s="166">
        <f>Coûts!$I$5-AE16*Coûts!$I$3</f>
        <v>4423.2000000000007</v>
      </c>
      <c r="AU16" s="167">
        <f>Coûts!$I$5-AF16*Coûts!$I$3</f>
        <v>4423.2000000000007</v>
      </c>
      <c r="AV16" s="168">
        <f>Coûts!$I$5-AG16*Coûts!$I$3</f>
        <v>4423.2000000000007</v>
      </c>
      <c r="AW16" s="6"/>
      <c r="AX16" s="166">
        <f>Coûts!$I$5-AE16*Coûts!$I$4</f>
        <v>4423.2000000000007</v>
      </c>
      <c r="AY16" s="167">
        <f>Coûts!$I$5-AF16*Coûts!$I$4</f>
        <v>4423.2000000000007</v>
      </c>
      <c r="AZ16" s="168">
        <f>Coûts!$I$5-AG16*Coûts!$I$4</f>
        <v>4423.2000000000007</v>
      </c>
      <c r="BA16" s="6"/>
      <c r="BB16" s="37" t="s">
        <v>18</v>
      </c>
      <c r="BC16" s="38">
        <v>2</v>
      </c>
      <c r="BD16" s="39">
        <v>2</v>
      </c>
      <c r="BE16" s="39">
        <v>18.5</v>
      </c>
      <c r="BF16" s="39">
        <v>18.5</v>
      </c>
      <c r="BG16" s="39">
        <v>4.9000000000000004</v>
      </c>
      <c r="BH16" s="39">
        <v>15</v>
      </c>
      <c r="BI16" s="41">
        <v>22</v>
      </c>
      <c r="BK16" s="37" t="s">
        <v>33</v>
      </c>
      <c r="BL16" s="38">
        <v>1</v>
      </c>
      <c r="BM16" s="39">
        <v>1</v>
      </c>
      <c r="BN16" s="39">
        <v>41</v>
      </c>
      <c r="BO16" s="39">
        <v>41</v>
      </c>
      <c r="BP16" s="39" t="s">
        <v>87</v>
      </c>
      <c r="BQ16" s="39">
        <v>41</v>
      </c>
      <c r="BR16" s="41">
        <v>41</v>
      </c>
      <c r="BT16" s="142" t="s">
        <v>53</v>
      </c>
      <c r="BU16" s="143">
        <v>1</v>
      </c>
      <c r="BV16" s="144">
        <v>1</v>
      </c>
      <c r="BW16" s="144">
        <v>6</v>
      </c>
      <c r="BX16" s="144">
        <v>6</v>
      </c>
      <c r="BY16" s="144" t="s">
        <v>87</v>
      </c>
      <c r="BZ16" s="144">
        <v>6</v>
      </c>
      <c r="CA16" s="145">
        <v>6</v>
      </c>
      <c r="CC16" s="37" t="s">
        <v>16</v>
      </c>
      <c r="CD16" s="38">
        <v>1</v>
      </c>
      <c r="CE16" s="39">
        <v>1</v>
      </c>
      <c r="CF16" s="39">
        <v>7</v>
      </c>
      <c r="CG16" s="39">
        <v>7</v>
      </c>
      <c r="CH16" s="39" t="s">
        <v>87</v>
      </c>
      <c r="CI16" s="39">
        <v>7</v>
      </c>
      <c r="CJ16" s="41">
        <v>7</v>
      </c>
      <c r="CL16" s="37" t="s">
        <v>46</v>
      </c>
      <c r="CM16" s="38">
        <v>1</v>
      </c>
      <c r="CN16" s="39">
        <v>1</v>
      </c>
      <c r="CO16" s="39">
        <v>13</v>
      </c>
      <c r="CP16" s="39">
        <v>13</v>
      </c>
      <c r="CQ16" s="39" t="s">
        <v>87</v>
      </c>
      <c r="CR16" s="39">
        <v>13</v>
      </c>
      <c r="CS16" s="41">
        <v>13</v>
      </c>
      <c r="CU16" s="37" t="s">
        <v>23</v>
      </c>
      <c r="CV16" s="38">
        <v>1</v>
      </c>
      <c r="CW16" s="39">
        <v>1</v>
      </c>
      <c r="CX16" s="39">
        <v>7</v>
      </c>
      <c r="CY16" s="39">
        <v>7</v>
      </c>
      <c r="CZ16" s="39" t="s">
        <v>87</v>
      </c>
      <c r="DA16" s="39">
        <v>7</v>
      </c>
      <c r="DB16" s="41">
        <v>7</v>
      </c>
      <c r="DD16" s="37" t="s">
        <v>50</v>
      </c>
      <c r="DE16" s="38">
        <v>1</v>
      </c>
      <c r="DF16" s="39">
        <v>1</v>
      </c>
      <c r="DG16" s="39">
        <v>14</v>
      </c>
      <c r="DH16" s="39">
        <v>14</v>
      </c>
      <c r="DI16" s="39" t="s">
        <v>87</v>
      </c>
      <c r="DJ16" s="39">
        <v>14</v>
      </c>
      <c r="DK16" s="41">
        <v>14</v>
      </c>
      <c r="DM16" s="37" t="s">
        <v>38</v>
      </c>
      <c r="DN16" s="38">
        <v>1</v>
      </c>
      <c r="DO16" s="39">
        <v>1</v>
      </c>
      <c r="DP16" s="39">
        <v>10</v>
      </c>
      <c r="DQ16" s="39">
        <v>10</v>
      </c>
      <c r="DR16" s="39" t="s">
        <v>87</v>
      </c>
      <c r="DS16" s="39">
        <v>10</v>
      </c>
      <c r="DT16" s="41">
        <v>10</v>
      </c>
    </row>
    <row r="17" spans="1:124" x14ac:dyDescent="0.2">
      <c r="B17" s="146" t="s">
        <v>27</v>
      </c>
      <c r="C17" s="209">
        <v>1</v>
      </c>
      <c r="D17" s="38">
        <f t="shared" si="29"/>
        <v>0</v>
      </c>
      <c r="E17" s="38">
        <f t="shared" si="30"/>
        <v>1</v>
      </c>
      <c r="F17" s="215">
        <v>2</v>
      </c>
      <c r="G17" s="216">
        <v>52.5</v>
      </c>
      <c r="H17" s="217">
        <v>14.8</v>
      </c>
      <c r="I17" s="218" t="str">
        <f t="shared" si="0"/>
        <v/>
      </c>
      <c r="J17" s="218" t="str">
        <f t="shared" si="1"/>
        <v/>
      </c>
      <c r="K17" s="219" t="str">
        <f t="shared" si="2"/>
        <v/>
      </c>
      <c r="L17" s="218" t="str">
        <f t="shared" si="3"/>
        <v/>
      </c>
      <c r="M17" s="218" t="str">
        <f t="shared" si="4"/>
        <v/>
      </c>
      <c r="N17" s="219" t="str">
        <f t="shared" si="5"/>
        <v/>
      </c>
      <c r="O17" s="218" t="str">
        <f t="shared" si="6"/>
        <v/>
      </c>
      <c r="P17" s="218" t="str">
        <f t="shared" si="7"/>
        <v/>
      </c>
      <c r="Q17" s="219" t="str">
        <f t="shared" si="8"/>
        <v/>
      </c>
      <c r="R17" s="218" t="str">
        <f t="shared" si="9"/>
        <v/>
      </c>
      <c r="S17" s="218" t="str">
        <f t="shared" si="10"/>
        <v/>
      </c>
      <c r="T17" s="219" t="str">
        <f t="shared" si="11"/>
        <v/>
      </c>
      <c r="U17" s="218" t="str">
        <f t="shared" si="12"/>
        <v/>
      </c>
      <c r="V17" s="218" t="str">
        <f t="shared" si="13"/>
        <v/>
      </c>
      <c r="W17" s="219" t="str">
        <f t="shared" si="14"/>
        <v/>
      </c>
      <c r="X17" s="218" t="str">
        <f t="shared" si="15"/>
        <v/>
      </c>
      <c r="Y17" s="218" t="str">
        <f t="shared" si="16"/>
        <v/>
      </c>
      <c r="Z17" s="219" t="str">
        <f t="shared" si="17"/>
        <v/>
      </c>
      <c r="AA17" s="218" t="str">
        <f t="shared" si="18"/>
        <v/>
      </c>
      <c r="AB17" s="218" t="str">
        <f t="shared" si="19"/>
        <v/>
      </c>
      <c r="AC17" s="219" t="str">
        <f t="shared" si="20"/>
        <v/>
      </c>
      <c r="AD17" s="6"/>
      <c r="AE17" s="151">
        <v>17.600000000000001</v>
      </c>
      <c r="AF17" s="5">
        <v>30.2</v>
      </c>
      <c r="AG17" s="42">
        <v>33.200000000000003</v>
      </c>
      <c r="AH17" s="176" t="str">
        <f t="shared" si="21"/>
        <v/>
      </c>
      <c r="AI17" s="177" t="str">
        <f t="shared" si="22"/>
        <v/>
      </c>
      <c r="AJ17" s="64" t="str">
        <f t="shared" si="23"/>
        <v/>
      </c>
      <c r="AK17" s="64" t="str">
        <f t="shared" si="24"/>
        <v/>
      </c>
      <c r="AL17" s="156" t="str">
        <f t="shared" si="25"/>
        <v/>
      </c>
      <c r="AO17" s="166">
        <f>VLOOKUP(B17,Coûts!$C$10:$G$57,5,FALSE)</f>
        <v>8366.4699999999993</v>
      </c>
      <c r="AP17" s="167">
        <f t="shared" si="26"/>
        <v>475.36761363636356</v>
      </c>
      <c r="AQ17" s="167">
        <f t="shared" si="27"/>
        <v>277.03543046357612</v>
      </c>
      <c r="AR17" s="168">
        <f t="shared" si="28"/>
        <v>252.00210843373489</v>
      </c>
      <c r="AS17" s="6"/>
      <c r="AT17" s="166">
        <f>Coûts!$I$5-AE17*Coûts!$I$3</f>
        <v>4295.072000000001</v>
      </c>
      <c r="AU17" s="167">
        <f>Coûts!$I$5-AF17*Coûts!$I$3</f>
        <v>4203.344000000001</v>
      </c>
      <c r="AV17" s="168">
        <f>Coûts!$I$5-AG17*Coûts!$I$3</f>
        <v>4181.5040000000008</v>
      </c>
      <c r="AW17" s="6"/>
      <c r="AX17" s="166">
        <f>Coûts!$I$5-AE17*Coûts!$I$4</f>
        <v>3631.2000000000007</v>
      </c>
      <c r="AY17" s="167">
        <f>Coûts!$I$5-AF17*Coûts!$I$4</f>
        <v>3064.2000000000007</v>
      </c>
      <c r="AZ17" s="168">
        <f>Coûts!$I$5-AG17*Coûts!$I$4</f>
        <v>2929.2000000000007</v>
      </c>
      <c r="BA17" s="6"/>
      <c r="BB17" s="37" t="s">
        <v>27</v>
      </c>
      <c r="BC17" s="38">
        <v>2</v>
      </c>
      <c r="BD17" s="39">
        <v>2</v>
      </c>
      <c r="BE17" s="39">
        <v>52.5</v>
      </c>
      <c r="BF17" s="39">
        <v>52.5</v>
      </c>
      <c r="BG17" s="39">
        <v>14.8</v>
      </c>
      <c r="BH17" s="39">
        <v>42</v>
      </c>
      <c r="BI17" s="41">
        <v>63</v>
      </c>
      <c r="BK17" s="37" t="s">
        <v>54</v>
      </c>
      <c r="BL17" s="38">
        <v>1</v>
      </c>
      <c r="BM17" s="39">
        <v>1</v>
      </c>
      <c r="BN17" s="39">
        <v>105</v>
      </c>
      <c r="BO17" s="39">
        <v>105</v>
      </c>
      <c r="BP17" s="39" t="s">
        <v>87</v>
      </c>
      <c r="BQ17" s="39">
        <v>105</v>
      </c>
      <c r="BR17" s="41">
        <v>105</v>
      </c>
      <c r="CC17" s="37" t="s">
        <v>13</v>
      </c>
      <c r="CD17" s="38">
        <v>1</v>
      </c>
      <c r="CE17" s="39">
        <v>1</v>
      </c>
      <c r="CF17" s="39">
        <v>8</v>
      </c>
      <c r="CG17" s="39">
        <v>8</v>
      </c>
      <c r="CH17" s="39" t="s">
        <v>87</v>
      </c>
      <c r="CI17" s="39">
        <v>8</v>
      </c>
      <c r="CJ17" s="41">
        <v>8</v>
      </c>
      <c r="CL17" s="37" t="s">
        <v>43</v>
      </c>
      <c r="CM17" s="38">
        <v>1</v>
      </c>
      <c r="CN17" s="39">
        <v>1</v>
      </c>
      <c r="CO17" s="39">
        <v>11</v>
      </c>
      <c r="CP17" s="39">
        <v>11</v>
      </c>
      <c r="CQ17" s="39" t="s">
        <v>87</v>
      </c>
      <c r="CR17" s="39">
        <v>11</v>
      </c>
      <c r="CS17" s="41">
        <v>11</v>
      </c>
      <c r="CU17" s="37" t="s">
        <v>36</v>
      </c>
      <c r="CV17" s="38">
        <v>1</v>
      </c>
      <c r="CW17" s="39">
        <v>1</v>
      </c>
      <c r="CX17" s="39">
        <v>8</v>
      </c>
      <c r="CY17" s="39">
        <v>8</v>
      </c>
      <c r="CZ17" s="39" t="s">
        <v>87</v>
      </c>
      <c r="DA17" s="39">
        <v>8</v>
      </c>
      <c r="DB17" s="41">
        <v>8</v>
      </c>
      <c r="DD17" s="37" t="s">
        <v>51</v>
      </c>
      <c r="DE17" s="38">
        <v>1</v>
      </c>
      <c r="DF17" s="39">
        <v>1</v>
      </c>
      <c r="DG17" s="39">
        <v>2</v>
      </c>
      <c r="DH17" s="39">
        <v>2</v>
      </c>
      <c r="DI17" s="39" t="s">
        <v>87</v>
      </c>
      <c r="DJ17" s="39">
        <v>2</v>
      </c>
      <c r="DK17" s="41">
        <v>2</v>
      </c>
      <c r="DM17" s="37" t="s">
        <v>57</v>
      </c>
      <c r="DN17" s="38">
        <v>1</v>
      </c>
      <c r="DO17" s="39">
        <v>1</v>
      </c>
      <c r="DP17" s="39">
        <v>19</v>
      </c>
      <c r="DQ17" s="39">
        <v>19</v>
      </c>
      <c r="DR17" s="39" t="s">
        <v>87</v>
      </c>
      <c r="DS17" s="39">
        <v>19</v>
      </c>
      <c r="DT17" s="41">
        <v>19</v>
      </c>
    </row>
    <row r="18" spans="1:124" x14ac:dyDescent="0.2">
      <c r="A18" s="50" t="s">
        <v>98</v>
      </c>
      <c r="B18" s="146" t="s">
        <v>16</v>
      </c>
      <c r="C18" s="209">
        <v>0</v>
      </c>
      <c r="D18" s="38">
        <f t="shared" si="29"/>
        <v>0</v>
      </c>
      <c r="E18" s="38">
        <f t="shared" si="30"/>
        <v>0</v>
      </c>
      <c r="F18" s="215">
        <v>2</v>
      </c>
      <c r="G18" s="216">
        <v>4.5</v>
      </c>
      <c r="H18" s="217">
        <v>3.5</v>
      </c>
      <c r="I18" s="218">
        <f t="shared" si="0"/>
        <v>2</v>
      </c>
      <c r="J18" s="218">
        <f t="shared" si="1"/>
        <v>4.5</v>
      </c>
      <c r="K18" s="219">
        <f t="shared" si="2"/>
        <v>3.5</v>
      </c>
      <c r="L18" s="218">
        <f t="shared" si="3"/>
        <v>2</v>
      </c>
      <c r="M18" s="218">
        <f t="shared" si="4"/>
        <v>4.5</v>
      </c>
      <c r="N18" s="219">
        <f t="shared" si="5"/>
        <v>3.5</v>
      </c>
      <c r="O18" s="218">
        <f t="shared" si="6"/>
        <v>2</v>
      </c>
      <c r="P18" s="218">
        <f t="shared" si="7"/>
        <v>4.5</v>
      </c>
      <c r="Q18" s="219">
        <f t="shared" si="8"/>
        <v>3.5</v>
      </c>
      <c r="R18" s="218">
        <f t="shared" si="9"/>
        <v>1</v>
      </c>
      <c r="S18" s="218">
        <f t="shared" si="10"/>
        <v>7</v>
      </c>
      <c r="T18" s="219" t="str">
        <f t="shared" si="11"/>
        <v>.</v>
      </c>
      <c r="U18" s="218">
        <f t="shared" si="12"/>
        <v>1</v>
      </c>
      <c r="V18" s="218">
        <f t="shared" si="13"/>
        <v>7</v>
      </c>
      <c r="W18" s="219" t="str">
        <f t="shared" si="14"/>
        <v>.</v>
      </c>
      <c r="X18" s="218">
        <f t="shared" si="15"/>
        <v>1</v>
      </c>
      <c r="Y18" s="218">
        <f t="shared" si="16"/>
        <v>7</v>
      </c>
      <c r="Z18" s="219" t="str">
        <f t="shared" si="17"/>
        <v>.</v>
      </c>
      <c r="AA18" s="218">
        <f t="shared" si="18"/>
        <v>1</v>
      </c>
      <c r="AB18" s="218">
        <f t="shared" si="19"/>
        <v>7</v>
      </c>
      <c r="AC18" s="219" t="str">
        <f t="shared" si="20"/>
        <v>.</v>
      </c>
      <c r="AD18" s="6"/>
      <c r="AE18" s="151">
        <v>0</v>
      </c>
      <c r="AF18" s="5"/>
      <c r="AG18" s="42"/>
      <c r="AH18" s="176">
        <f t="shared" si="21"/>
        <v>1</v>
      </c>
      <c r="AI18" s="177">
        <f t="shared" si="22"/>
        <v>7</v>
      </c>
      <c r="AJ18" s="64">
        <f t="shared" si="23"/>
        <v>7</v>
      </c>
      <c r="AK18" s="64">
        <f t="shared" si="24"/>
        <v>7</v>
      </c>
      <c r="AL18" s="156">
        <f t="shared" si="25"/>
        <v>7</v>
      </c>
      <c r="AO18" s="166">
        <f>VLOOKUP(B18,Coûts!$C$10:$G$57,5,FALSE)</f>
        <v>624.76</v>
      </c>
      <c r="AP18" s="167" t="str">
        <f t="shared" si="26"/>
        <v/>
      </c>
      <c r="AQ18" s="167" t="str">
        <f t="shared" si="27"/>
        <v/>
      </c>
      <c r="AR18" s="168" t="str">
        <f t="shared" si="28"/>
        <v/>
      </c>
      <c r="AS18" s="6"/>
      <c r="AT18" s="166">
        <f>Coûts!$I$5-AE18*Coûts!$I$3</f>
        <v>4423.2000000000007</v>
      </c>
      <c r="AU18" s="167">
        <f>Coûts!$I$5-AF18*Coûts!$I$3</f>
        <v>4423.2000000000007</v>
      </c>
      <c r="AV18" s="168">
        <f>Coûts!$I$5-AG18*Coûts!$I$3</f>
        <v>4423.2000000000007</v>
      </c>
      <c r="AW18" s="6"/>
      <c r="AX18" s="166">
        <f>Coûts!$I$5-AE18*Coûts!$I$4</f>
        <v>4423.2000000000007</v>
      </c>
      <c r="AY18" s="167">
        <f>Coûts!$I$5-AF18*Coûts!$I$4</f>
        <v>4423.2000000000007</v>
      </c>
      <c r="AZ18" s="168">
        <f>Coûts!$I$5-AG18*Coûts!$I$4</f>
        <v>4423.2000000000007</v>
      </c>
      <c r="BA18" s="6"/>
      <c r="BB18" s="37" t="s">
        <v>16</v>
      </c>
      <c r="BC18" s="38">
        <v>2</v>
      </c>
      <c r="BD18" s="39">
        <v>2</v>
      </c>
      <c r="BE18" s="39">
        <v>4.5</v>
      </c>
      <c r="BF18" s="39">
        <v>4.5</v>
      </c>
      <c r="BG18" s="39">
        <v>3.5</v>
      </c>
      <c r="BH18" s="39">
        <v>2</v>
      </c>
      <c r="BI18" s="41">
        <v>7</v>
      </c>
      <c r="BK18" s="37" t="s">
        <v>46</v>
      </c>
      <c r="BL18" s="38">
        <v>1</v>
      </c>
      <c r="BM18" s="39">
        <v>1</v>
      </c>
      <c r="BN18" s="39">
        <v>13</v>
      </c>
      <c r="BO18" s="39">
        <v>13</v>
      </c>
      <c r="BP18" s="39" t="s">
        <v>87</v>
      </c>
      <c r="BQ18" s="39">
        <v>13</v>
      </c>
      <c r="BR18" s="41">
        <v>13</v>
      </c>
      <c r="CC18" s="142" t="s">
        <v>53</v>
      </c>
      <c r="CD18" s="143">
        <v>1</v>
      </c>
      <c r="CE18" s="144">
        <v>1</v>
      </c>
      <c r="CF18" s="144">
        <v>6</v>
      </c>
      <c r="CG18" s="144">
        <v>6</v>
      </c>
      <c r="CH18" s="144" t="s">
        <v>87</v>
      </c>
      <c r="CI18" s="144">
        <v>6</v>
      </c>
      <c r="CJ18" s="145">
        <v>6</v>
      </c>
      <c r="CL18" s="37" t="s">
        <v>47</v>
      </c>
      <c r="CM18" s="38">
        <v>1</v>
      </c>
      <c r="CN18" s="39">
        <v>1</v>
      </c>
      <c r="CO18" s="39">
        <v>9</v>
      </c>
      <c r="CP18" s="39">
        <v>9</v>
      </c>
      <c r="CQ18" s="39" t="s">
        <v>87</v>
      </c>
      <c r="CR18" s="39">
        <v>9</v>
      </c>
      <c r="CS18" s="41">
        <v>9</v>
      </c>
      <c r="CU18" s="37" t="s">
        <v>49</v>
      </c>
      <c r="CV18" s="38">
        <v>1</v>
      </c>
      <c r="CW18" s="39">
        <v>1</v>
      </c>
      <c r="CX18" s="39">
        <v>4</v>
      </c>
      <c r="CY18" s="39">
        <v>4</v>
      </c>
      <c r="CZ18" s="39" t="s">
        <v>87</v>
      </c>
      <c r="DA18" s="39">
        <v>4</v>
      </c>
      <c r="DB18" s="41">
        <v>4</v>
      </c>
      <c r="DD18" s="37" t="s">
        <v>46</v>
      </c>
      <c r="DE18" s="38">
        <v>1</v>
      </c>
      <c r="DF18" s="39">
        <v>1</v>
      </c>
      <c r="DG18" s="39">
        <v>13</v>
      </c>
      <c r="DH18" s="39">
        <v>13</v>
      </c>
      <c r="DI18" s="39" t="s">
        <v>87</v>
      </c>
      <c r="DJ18" s="39">
        <v>13</v>
      </c>
      <c r="DK18" s="41">
        <v>13</v>
      </c>
      <c r="DM18" s="37" t="s">
        <v>48</v>
      </c>
      <c r="DN18" s="38">
        <v>1</v>
      </c>
      <c r="DO18" s="39">
        <v>1</v>
      </c>
      <c r="DP18" s="39">
        <v>2</v>
      </c>
      <c r="DQ18" s="39">
        <v>2</v>
      </c>
      <c r="DR18" s="39" t="s">
        <v>87</v>
      </c>
      <c r="DS18" s="39">
        <v>2</v>
      </c>
      <c r="DT18" s="41">
        <v>2</v>
      </c>
    </row>
    <row r="19" spans="1:124" x14ac:dyDescent="0.2">
      <c r="A19" s="50" t="s">
        <v>96</v>
      </c>
      <c r="B19" s="146" t="s">
        <v>38</v>
      </c>
      <c r="C19" s="209">
        <v>0</v>
      </c>
      <c r="D19" s="38">
        <f t="shared" si="29"/>
        <v>0</v>
      </c>
      <c r="E19" s="38">
        <f t="shared" si="30"/>
        <v>0</v>
      </c>
      <c r="F19" s="215">
        <v>1</v>
      </c>
      <c r="G19" s="216">
        <v>10</v>
      </c>
      <c r="H19" s="217" t="s">
        <v>87</v>
      </c>
      <c r="I19" s="218">
        <f t="shared" si="0"/>
        <v>1</v>
      </c>
      <c r="J19" s="218">
        <f t="shared" si="1"/>
        <v>10</v>
      </c>
      <c r="K19" s="219" t="str">
        <f t="shared" si="2"/>
        <v>.</v>
      </c>
      <c r="L19" s="218">
        <f t="shared" si="3"/>
        <v>1</v>
      </c>
      <c r="M19" s="218">
        <f t="shared" si="4"/>
        <v>10</v>
      </c>
      <c r="N19" s="219" t="str">
        <f t="shared" si="5"/>
        <v>.</v>
      </c>
      <c r="O19" s="218">
        <f t="shared" si="6"/>
        <v>1</v>
      </c>
      <c r="P19" s="218">
        <f t="shared" si="7"/>
        <v>10</v>
      </c>
      <c r="Q19" s="219" t="str">
        <f t="shared" si="8"/>
        <v>.</v>
      </c>
      <c r="R19" s="218" t="str">
        <f t="shared" si="9"/>
        <v/>
      </c>
      <c r="S19" s="218" t="str">
        <f t="shared" si="10"/>
        <v/>
      </c>
      <c r="T19" s="219" t="str">
        <f t="shared" si="11"/>
        <v/>
      </c>
      <c r="U19" s="218" t="str">
        <f t="shared" si="12"/>
        <v/>
      </c>
      <c r="V19" s="218" t="str">
        <f t="shared" si="13"/>
        <v/>
      </c>
      <c r="W19" s="219" t="str">
        <f t="shared" si="14"/>
        <v/>
      </c>
      <c r="X19" s="218" t="str">
        <f t="shared" si="15"/>
        <v/>
      </c>
      <c r="Y19" s="218" t="str">
        <f t="shared" si="16"/>
        <v/>
      </c>
      <c r="Z19" s="219" t="str">
        <f t="shared" si="17"/>
        <v/>
      </c>
      <c r="AA19" s="218" t="str">
        <f t="shared" si="18"/>
        <v/>
      </c>
      <c r="AB19" s="218" t="str">
        <f t="shared" si="19"/>
        <v/>
      </c>
      <c r="AC19" s="219" t="str">
        <f t="shared" si="20"/>
        <v/>
      </c>
      <c r="AD19" s="6"/>
      <c r="AE19" s="151">
        <v>0</v>
      </c>
      <c r="AF19" s="5"/>
      <c r="AG19" s="42"/>
      <c r="AH19" s="176" t="str">
        <f t="shared" si="21"/>
        <v/>
      </c>
      <c r="AI19" s="177" t="str">
        <f t="shared" si="22"/>
        <v/>
      </c>
      <c r="AJ19" s="64" t="str">
        <f t="shared" si="23"/>
        <v/>
      </c>
      <c r="AK19" s="64" t="str">
        <f t="shared" si="24"/>
        <v/>
      </c>
      <c r="AL19" s="156" t="str">
        <f t="shared" si="25"/>
        <v/>
      </c>
      <c r="AO19" s="166">
        <f>VLOOKUP(B19,Coûts!$C$10:$G$57,5,FALSE)</f>
        <v>0</v>
      </c>
      <c r="AP19" s="167" t="str">
        <f t="shared" si="26"/>
        <v/>
      </c>
      <c r="AQ19" s="167" t="str">
        <f t="shared" si="27"/>
        <v/>
      </c>
      <c r="AR19" s="168" t="str">
        <f t="shared" si="28"/>
        <v/>
      </c>
      <c r="AS19" s="6"/>
      <c r="AT19" s="166">
        <f>Coûts!$I$5-AE19*Coûts!$I$3</f>
        <v>4423.2000000000007</v>
      </c>
      <c r="AU19" s="167">
        <f>Coûts!$I$5-AF19*Coûts!$I$3</f>
        <v>4423.2000000000007</v>
      </c>
      <c r="AV19" s="168">
        <f>Coûts!$I$5-AG19*Coûts!$I$3</f>
        <v>4423.2000000000007</v>
      </c>
      <c r="AW19" s="6"/>
      <c r="AX19" s="166">
        <f>Coûts!$I$5-AE19*Coûts!$I$4</f>
        <v>4423.2000000000007</v>
      </c>
      <c r="AY19" s="167">
        <f>Coûts!$I$5-AF19*Coûts!$I$4</f>
        <v>4423.2000000000007</v>
      </c>
      <c r="AZ19" s="168">
        <f>Coûts!$I$5-AG19*Coûts!$I$4</f>
        <v>4423.2000000000007</v>
      </c>
      <c r="BA19" s="6"/>
      <c r="BB19" s="37" t="s">
        <v>38</v>
      </c>
      <c r="BC19" s="38">
        <v>1</v>
      </c>
      <c r="BD19" s="39">
        <v>1</v>
      </c>
      <c r="BE19" s="39">
        <v>10</v>
      </c>
      <c r="BF19" s="39">
        <v>10</v>
      </c>
      <c r="BG19" s="39" t="s">
        <v>87</v>
      </c>
      <c r="BH19" s="39">
        <v>10</v>
      </c>
      <c r="BI19" s="41">
        <v>10</v>
      </c>
      <c r="BK19" s="37" t="s">
        <v>43</v>
      </c>
      <c r="BL19" s="38">
        <v>1</v>
      </c>
      <c r="BM19" s="39">
        <v>1</v>
      </c>
      <c r="BN19" s="39">
        <v>11</v>
      </c>
      <c r="BO19" s="39">
        <v>11</v>
      </c>
      <c r="BP19" s="39" t="s">
        <v>87</v>
      </c>
      <c r="BQ19" s="39">
        <v>11</v>
      </c>
      <c r="BR19" s="41">
        <v>11</v>
      </c>
      <c r="CL19" s="37" t="s">
        <v>16</v>
      </c>
      <c r="CM19" s="38">
        <v>1</v>
      </c>
      <c r="CN19" s="39">
        <v>1</v>
      </c>
      <c r="CO19" s="39">
        <v>7</v>
      </c>
      <c r="CP19" s="39">
        <v>7</v>
      </c>
      <c r="CQ19" s="39" t="s">
        <v>87</v>
      </c>
      <c r="CR19" s="39">
        <v>7</v>
      </c>
      <c r="CS19" s="41">
        <v>7</v>
      </c>
      <c r="CU19" s="37" t="s">
        <v>24</v>
      </c>
      <c r="CV19" s="38">
        <v>1</v>
      </c>
      <c r="CW19" s="39">
        <v>1</v>
      </c>
      <c r="CX19" s="39">
        <v>6</v>
      </c>
      <c r="CY19" s="39">
        <v>6</v>
      </c>
      <c r="CZ19" s="39" t="s">
        <v>87</v>
      </c>
      <c r="DA19" s="39">
        <v>6</v>
      </c>
      <c r="DB19" s="41">
        <v>6</v>
      </c>
      <c r="DD19" s="37" t="s">
        <v>43</v>
      </c>
      <c r="DE19" s="38">
        <v>1</v>
      </c>
      <c r="DF19" s="39">
        <v>1</v>
      </c>
      <c r="DG19" s="39">
        <v>11</v>
      </c>
      <c r="DH19" s="39">
        <v>11</v>
      </c>
      <c r="DI19" s="39" t="s">
        <v>87</v>
      </c>
      <c r="DJ19" s="39">
        <v>11</v>
      </c>
      <c r="DK19" s="41">
        <v>11</v>
      </c>
      <c r="DM19" s="37" t="s">
        <v>28</v>
      </c>
      <c r="DN19" s="38">
        <v>1</v>
      </c>
      <c r="DO19" s="39">
        <v>1</v>
      </c>
      <c r="DP19" s="39">
        <v>2</v>
      </c>
      <c r="DQ19" s="39">
        <v>2</v>
      </c>
      <c r="DR19" s="39" t="s">
        <v>87</v>
      </c>
      <c r="DS19" s="39">
        <v>2</v>
      </c>
      <c r="DT19" s="41">
        <v>2</v>
      </c>
    </row>
    <row r="20" spans="1:124" x14ac:dyDescent="0.2">
      <c r="A20" s="50" t="s">
        <v>96</v>
      </c>
      <c r="B20" s="146" t="s">
        <v>57</v>
      </c>
      <c r="C20" s="209">
        <v>0</v>
      </c>
      <c r="D20" s="38">
        <f t="shared" si="29"/>
        <v>0</v>
      </c>
      <c r="E20" s="38">
        <f t="shared" si="30"/>
        <v>0</v>
      </c>
      <c r="F20" s="215">
        <v>1</v>
      </c>
      <c r="G20" s="216">
        <v>19</v>
      </c>
      <c r="H20" s="217" t="s">
        <v>87</v>
      </c>
      <c r="I20" s="218" t="str">
        <f t="shared" si="0"/>
        <v/>
      </c>
      <c r="J20" s="218" t="str">
        <f t="shared" si="1"/>
        <v/>
      </c>
      <c r="K20" s="219" t="str">
        <f t="shared" si="2"/>
        <v/>
      </c>
      <c r="L20" s="218" t="str">
        <f t="shared" si="3"/>
        <v/>
      </c>
      <c r="M20" s="218" t="str">
        <f t="shared" si="4"/>
        <v/>
      </c>
      <c r="N20" s="219" t="str">
        <f t="shared" si="5"/>
        <v/>
      </c>
      <c r="O20" s="218">
        <f t="shared" si="6"/>
        <v>1</v>
      </c>
      <c r="P20" s="218">
        <f t="shared" si="7"/>
        <v>19</v>
      </c>
      <c r="Q20" s="219" t="str">
        <f t="shared" si="8"/>
        <v>.</v>
      </c>
      <c r="R20" s="218" t="str">
        <f t="shared" si="9"/>
        <v/>
      </c>
      <c r="S20" s="218" t="str">
        <f t="shared" si="10"/>
        <v/>
      </c>
      <c r="T20" s="219" t="str">
        <f t="shared" si="11"/>
        <v/>
      </c>
      <c r="U20" s="218" t="str">
        <f t="shared" si="12"/>
        <v/>
      </c>
      <c r="V20" s="218" t="str">
        <f t="shared" si="13"/>
        <v/>
      </c>
      <c r="W20" s="219" t="str">
        <f t="shared" si="14"/>
        <v/>
      </c>
      <c r="X20" s="218" t="str">
        <f t="shared" si="15"/>
        <v/>
      </c>
      <c r="Y20" s="218" t="str">
        <f t="shared" si="16"/>
        <v/>
      </c>
      <c r="Z20" s="219" t="str">
        <f t="shared" si="17"/>
        <v/>
      </c>
      <c r="AA20" s="218" t="str">
        <f t="shared" si="18"/>
        <v/>
      </c>
      <c r="AB20" s="218" t="str">
        <f t="shared" si="19"/>
        <v/>
      </c>
      <c r="AC20" s="219" t="str">
        <f t="shared" si="20"/>
        <v/>
      </c>
      <c r="AD20" s="6"/>
      <c r="AE20" s="151">
        <v>0</v>
      </c>
      <c r="AF20" s="5"/>
      <c r="AG20" s="42"/>
      <c r="AH20" s="176" t="str">
        <f t="shared" si="21"/>
        <v/>
      </c>
      <c r="AI20" s="177" t="str">
        <f t="shared" si="22"/>
        <v/>
      </c>
      <c r="AJ20" s="64" t="str">
        <f t="shared" si="23"/>
        <v/>
      </c>
      <c r="AK20" s="64" t="str">
        <f t="shared" si="24"/>
        <v/>
      </c>
      <c r="AL20" s="156" t="str">
        <f t="shared" si="25"/>
        <v/>
      </c>
      <c r="AO20" s="166">
        <f>VLOOKUP(B20,Coûts!$C$10:$G$57,5,FALSE)</f>
        <v>0</v>
      </c>
      <c r="AP20" s="167" t="str">
        <f t="shared" si="26"/>
        <v/>
      </c>
      <c r="AQ20" s="167" t="str">
        <f t="shared" si="27"/>
        <v/>
      </c>
      <c r="AR20" s="168" t="str">
        <f t="shared" si="28"/>
        <v/>
      </c>
      <c r="AS20" s="6"/>
      <c r="AT20" s="166">
        <f>Coûts!$I$5-AE20*Coûts!$I$3</f>
        <v>4423.2000000000007</v>
      </c>
      <c r="AU20" s="167">
        <f>Coûts!$I$5-AF20*Coûts!$I$3</f>
        <v>4423.2000000000007</v>
      </c>
      <c r="AV20" s="168">
        <f>Coûts!$I$5-AG20*Coûts!$I$3</f>
        <v>4423.2000000000007</v>
      </c>
      <c r="AW20" s="6"/>
      <c r="AX20" s="166">
        <f>Coûts!$I$5-AE20*Coûts!$I$4</f>
        <v>4423.2000000000007</v>
      </c>
      <c r="AY20" s="167">
        <f>Coûts!$I$5-AF20*Coûts!$I$4</f>
        <v>4423.2000000000007</v>
      </c>
      <c r="AZ20" s="168">
        <f>Coûts!$I$5-AG20*Coûts!$I$4</f>
        <v>4423.2000000000007</v>
      </c>
      <c r="BA20" s="6"/>
      <c r="BB20" s="37" t="s">
        <v>57</v>
      </c>
      <c r="BC20" s="38">
        <v>1</v>
      </c>
      <c r="BD20" s="39">
        <v>1</v>
      </c>
      <c r="BE20" s="39">
        <v>19</v>
      </c>
      <c r="BF20" s="39">
        <v>19</v>
      </c>
      <c r="BG20" s="39" t="s">
        <v>87</v>
      </c>
      <c r="BH20" s="39">
        <v>19</v>
      </c>
      <c r="BI20" s="41">
        <v>19</v>
      </c>
      <c r="BK20" s="37" t="s">
        <v>47</v>
      </c>
      <c r="BL20" s="38">
        <v>1</v>
      </c>
      <c r="BM20" s="39">
        <v>1</v>
      </c>
      <c r="BN20" s="39">
        <v>9</v>
      </c>
      <c r="BO20" s="39">
        <v>9</v>
      </c>
      <c r="BP20" s="39" t="s">
        <v>87</v>
      </c>
      <c r="BQ20" s="39">
        <v>9</v>
      </c>
      <c r="BR20" s="41">
        <v>9</v>
      </c>
      <c r="CL20" s="37" t="s">
        <v>19</v>
      </c>
      <c r="CM20" s="38">
        <v>1</v>
      </c>
      <c r="CN20" s="39">
        <v>1</v>
      </c>
      <c r="CO20" s="39">
        <v>34</v>
      </c>
      <c r="CP20" s="39">
        <v>34</v>
      </c>
      <c r="CQ20" s="39" t="s">
        <v>87</v>
      </c>
      <c r="CR20" s="39">
        <v>34</v>
      </c>
      <c r="CS20" s="41">
        <v>34</v>
      </c>
      <c r="CU20" s="37" t="s">
        <v>26</v>
      </c>
      <c r="CV20" s="38">
        <v>1</v>
      </c>
      <c r="CW20" s="39">
        <v>1</v>
      </c>
      <c r="CX20" s="39">
        <v>33</v>
      </c>
      <c r="CY20" s="39">
        <v>33</v>
      </c>
      <c r="CZ20" s="39" t="s">
        <v>87</v>
      </c>
      <c r="DA20" s="39">
        <v>33</v>
      </c>
      <c r="DB20" s="41">
        <v>33</v>
      </c>
      <c r="DD20" s="37" t="s">
        <v>36</v>
      </c>
      <c r="DE20" s="38">
        <v>1</v>
      </c>
      <c r="DF20" s="39">
        <v>1</v>
      </c>
      <c r="DG20" s="39">
        <v>8</v>
      </c>
      <c r="DH20" s="39">
        <v>8</v>
      </c>
      <c r="DI20" s="39" t="s">
        <v>87</v>
      </c>
      <c r="DJ20" s="39">
        <v>8</v>
      </c>
      <c r="DK20" s="41">
        <v>8</v>
      </c>
      <c r="DM20" s="37" t="s">
        <v>50</v>
      </c>
      <c r="DN20" s="38">
        <v>1</v>
      </c>
      <c r="DO20" s="39">
        <v>1</v>
      </c>
      <c r="DP20" s="39">
        <v>14</v>
      </c>
      <c r="DQ20" s="39">
        <v>14</v>
      </c>
      <c r="DR20" s="39" t="s">
        <v>87</v>
      </c>
      <c r="DS20" s="39">
        <v>14</v>
      </c>
      <c r="DT20" s="41">
        <v>14</v>
      </c>
    </row>
    <row r="21" spans="1:124" x14ac:dyDescent="0.2">
      <c r="A21" s="50" t="s">
        <v>97</v>
      </c>
      <c r="B21" s="146" t="s">
        <v>48</v>
      </c>
      <c r="C21" s="209">
        <v>0</v>
      </c>
      <c r="D21" s="38">
        <f t="shared" si="29"/>
        <v>0</v>
      </c>
      <c r="E21" s="38">
        <f t="shared" si="30"/>
        <v>0</v>
      </c>
      <c r="F21" s="215">
        <v>1</v>
      </c>
      <c r="G21" s="216">
        <v>2</v>
      </c>
      <c r="H21" s="217" t="s">
        <v>87</v>
      </c>
      <c r="I21" s="218">
        <f t="shared" si="0"/>
        <v>1</v>
      </c>
      <c r="J21" s="218">
        <f t="shared" si="1"/>
        <v>2</v>
      </c>
      <c r="K21" s="219" t="str">
        <f t="shared" si="2"/>
        <v>.</v>
      </c>
      <c r="L21" s="218">
        <f t="shared" si="3"/>
        <v>1</v>
      </c>
      <c r="M21" s="218">
        <f t="shared" si="4"/>
        <v>2</v>
      </c>
      <c r="N21" s="219" t="str">
        <f t="shared" si="5"/>
        <v>.</v>
      </c>
      <c r="O21" s="218">
        <f t="shared" si="6"/>
        <v>1</v>
      </c>
      <c r="P21" s="218">
        <f t="shared" si="7"/>
        <v>2</v>
      </c>
      <c r="Q21" s="219" t="str">
        <f t="shared" si="8"/>
        <v>.</v>
      </c>
      <c r="R21" s="218">
        <f t="shared" si="9"/>
        <v>1</v>
      </c>
      <c r="S21" s="218">
        <f t="shared" si="10"/>
        <v>2</v>
      </c>
      <c r="T21" s="219" t="str">
        <f t="shared" si="11"/>
        <v>.</v>
      </c>
      <c r="U21" s="218">
        <f t="shared" si="12"/>
        <v>1</v>
      </c>
      <c r="V21" s="218">
        <f t="shared" si="13"/>
        <v>2</v>
      </c>
      <c r="W21" s="219" t="str">
        <f t="shared" si="14"/>
        <v>.</v>
      </c>
      <c r="X21" s="218">
        <f t="shared" si="15"/>
        <v>1</v>
      </c>
      <c r="Y21" s="218">
        <f t="shared" si="16"/>
        <v>2</v>
      </c>
      <c r="Z21" s="219" t="str">
        <f t="shared" si="17"/>
        <v>.</v>
      </c>
      <c r="AA21" s="218">
        <f t="shared" si="18"/>
        <v>1</v>
      </c>
      <c r="AB21" s="218">
        <f t="shared" si="19"/>
        <v>2</v>
      </c>
      <c r="AC21" s="219" t="str">
        <f t="shared" si="20"/>
        <v>.</v>
      </c>
      <c r="AD21" s="6"/>
      <c r="AE21" s="151">
        <v>0</v>
      </c>
      <c r="AF21" s="5"/>
      <c r="AG21" s="42"/>
      <c r="AH21" s="176">
        <f t="shared" si="21"/>
        <v>1</v>
      </c>
      <c r="AI21" s="177">
        <f t="shared" si="22"/>
        <v>2</v>
      </c>
      <c r="AJ21" s="64">
        <f t="shared" si="23"/>
        <v>2</v>
      </c>
      <c r="AK21" s="64">
        <f t="shared" si="24"/>
        <v>2</v>
      </c>
      <c r="AL21" s="156">
        <f t="shared" si="25"/>
        <v>2</v>
      </c>
      <c r="AO21" s="166">
        <f>VLOOKUP(B21,Coûts!$C$10:$G$57,5,FALSE)</f>
        <v>1054.04</v>
      </c>
      <c r="AP21" s="167" t="str">
        <f t="shared" si="26"/>
        <v/>
      </c>
      <c r="AQ21" s="167" t="str">
        <f t="shared" si="27"/>
        <v/>
      </c>
      <c r="AR21" s="168" t="str">
        <f t="shared" si="28"/>
        <v/>
      </c>
      <c r="AS21" s="6"/>
      <c r="AT21" s="166">
        <f>Coûts!$I$5-AE21*Coûts!$I$3</f>
        <v>4423.2000000000007</v>
      </c>
      <c r="AU21" s="167">
        <f>Coûts!$I$5-AF21*Coûts!$I$3</f>
        <v>4423.2000000000007</v>
      </c>
      <c r="AV21" s="168">
        <f>Coûts!$I$5-AG21*Coûts!$I$3</f>
        <v>4423.2000000000007</v>
      </c>
      <c r="AW21" s="6"/>
      <c r="AX21" s="166">
        <f>Coûts!$I$5-AE21*Coûts!$I$4</f>
        <v>4423.2000000000007</v>
      </c>
      <c r="AY21" s="167">
        <f>Coûts!$I$5-AF21*Coûts!$I$4</f>
        <v>4423.2000000000007</v>
      </c>
      <c r="AZ21" s="168">
        <f>Coûts!$I$5-AG21*Coûts!$I$4</f>
        <v>4423.2000000000007</v>
      </c>
      <c r="BA21" s="6"/>
      <c r="BB21" s="37" t="s">
        <v>48</v>
      </c>
      <c r="BC21" s="38">
        <v>1</v>
      </c>
      <c r="BD21" s="39">
        <v>1</v>
      </c>
      <c r="BE21" s="39">
        <v>2</v>
      </c>
      <c r="BF21" s="39">
        <v>2</v>
      </c>
      <c r="BG21" s="39" t="s">
        <v>87</v>
      </c>
      <c r="BH21" s="39">
        <v>2</v>
      </c>
      <c r="BI21" s="41">
        <v>2</v>
      </c>
      <c r="BK21" s="37" t="s">
        <v>37</v>
      </c>
      <c r="BL21" s="38">
        <v>1</v>
      </c>
      <c r="BM21" s="39">
        <v>1</v>
      </c>
      <c r="BN21" s="39">
        <v>101</v>
      </c>
      <c r="BO21" s="39">
        <v>101</v>
      </c>
      <c r="BP21" s="39" t="s">
        <v>87</v>
      </c>
      <c r="BQ21" s="39">
        <v>101</v>
      </c>
      <c r="BR21" s="41">
        <v>101</v>
      </c>
      <c r="CL21" s="142" t="s">
        <v>53</v>
      </c>
      <c r="CM21" s="143">
        <v>1</v>
      </c>
      <c r="CN21" s="144">
        <v>1</v>
      </c>
      <c r="CO21" s="144">
        <v>6</v>
      </c>
      <c r="CP21" s="144">
        <v>6</v>
      </c>
      <c r="CQ21" s="144" t="s">
        <v>87</v>
      </c>
      <c r="CR21" s="144">
        <v>6</v>
      </c>
      <c r="CS21" s="145">
        <v>6</v>
      </c>
      <c r="CU21" s="37" t="s">
        <v>47</v>
      </c>
      <c r="CV21" s="38">
        <v>1</v>
      </c>
      <c r="CW21" s="39">
        <v>1</v>
      </c>
      <c r="CX21" s="39">
        <v>9</v>
      </c>
      <c r="CY21" s="39">
        <v>9</v>
      </c>
      <c r="CZ21" s="39" t="s">
        <v>87</v>
      </c>
      <c r="DA21" s="39">
        <v>9</v>
      </c>
      <c r="DB21" s="41">
        <v>9</v>
      </c>
      <c r="DD21" s="37" t="s">
        <v>49</v>
      </c>
      <c r="DE21" s="38">
        <v>1</v>
      </c>
      <c r="DF21" s="39">
        <v>1</v>
      </c>
      <c r="DG21" s="39">
        <v>4</v>
      </c>
      <c r="DH21" s="39">
        <v>4</v>
      </c>
      <c r="DI21" s="39" t="s">
        <v>87</v>
      </c>
      <c r="DJ21" s="39">
        <v>4</v>
      </c>
      <c r="DK21" s="41">
        <v>4</v>
      </c>
      <c r="DM21" s="37" t="s">
        <v>33</v>
      </c>
      <c r="DN21" s="38">
        <v>1</v>
      </c>
      <c r="DO21" s="39">
        <v>1</v>
      </c>
      <c r="DP21" s="39">
        <v>41</v>
      </c>
      <c r="DQ21" s="39">
        <v>41</v>
      </c>
      <c r="DR21" s="39" t="s">
        <v>87</v>
      </c>
      <c r="DS21" s="39">
        <v>41</v>
      </c>
      <c r="DT21" s="41">
        <v>41</v>
      </c>
    </row>
    <row r="22" spans="1:124" x14ac:dyDescent="0.2">
      <c r="A22" s="50" t="s">
        <v>97</v>
      </c>
      <c r="B22" s="146" t="s">
        <v>28</v>
      </c>
      <c r="C22" s="209">
        <v>0</v>
      </c>
      <c r="D22" s="38">
        <f t="shared" si="29"/>
        <v>0</v>
      </c>
      <c r="E22" s="38">
        <f t="shared" si="30"/>
        <v>0</v>
      </c>
      <c r="F22" s="215">
        <v>1</v>
      </c>
      <c r="G22" s="216">
        <v>2</v>
      </c>
      <c r="H22" s="217" t="s">
        <v>87</v>
      </c>
      <c r="I22" s="218">
        <f t="shared" si="0"/>
        <v>1</v>
      </c>
      <c r="J22" s="218">
        <f t="shared" si="1"/>
        <v>2</v>
      </c>
      <c r="K22" s="219" t="str">
        <f t="shared" si="2"/>
        <v>.</v>
      </c>
      <c r="L22" s="218">
        <f t="shared" si="3"/>
        <v>1</v>
      </c>
      <c r="M22" s="218">
        <f t="shared" si="4"/>
        <v>2</v>
      </c>
      <c r="N22" s="219" t="str">
        <f t="shared" si="5"/>
        <v>.</v>
      </c>
      <c r="O22" s="218">
        <f t="shared" si="6"/>
        <v>1</v>
      </c>
      <c r="P22" s="218">
        <f t="shared" si="7"/>
        <v>2</v>
      </c>
      <c r="Q22" s="219" t="str">
        <f t="shared" si="8"/>
        <v>.</v>
      </c>
      <c r="R22" s="218" t="str">
        <f t="shared" si="9"/>
        <v/>
      </c>
      <c r="S22" s="218" t="str">
        <f t="shared" si="10"/>
        <v/>
      </c>
      <c r="T22" s="219" t="str">
        <f t="shared" si="11"/>
        <v/>
      </c>
      <c r="U22" s="218" t="str">
        <f t="shared" si="12"/>
        <v/>
      </c>
      <c r="V22" s="218" t="str">
        <f t="shared" si="13"/>
        <v/>
      </c>
      <c r="W22" s="219" t="str">
        <f t="shared" si="14"/>
        <v/>
      </c>
      <c r="X22" s="218" t="str">
        <f t="shared" si="15"/>
        <v/>
      </c>
      <c r="Y22" s="218" t="str">
        <f t="shared" si="16"/>
        <v/>
      </c>
      <c r="Z22" s="219" t="str">
        <f t="shared" si="17"/>
        <v/>
      </c>
      <c r="AA22" s="218" t="str">
        <f t="shared" si="18"/>
        <v/>
      </c>
      <c r="AB22" s="218" t="str">
        <f t="shared" si="19"/>
        <v/>
      </c>
      <c r="AC22" s="219" t="str">
        <f t="shared" si="20"/>
        <v/>
      </c>
      <c r="AD22" s="6"/>
      <c r="AE22" s="151">
        <v>0</v>
      </c>
      <c r="AF22" s="5"/>
      <c r="AG22" s="42"/>
      <c r="AH22" s="176" t="str">
        <f t="shared" si="21"/>
        <v/>
      </c>
      <c r="AI22" s="177" t="str">
        <f t="shared" si="22"/>
        <v/>
      </c>
      <c r="AJ22" s="64" t="str">
        <f t="shared" si="23"/>
        <v/>
      </c>
      <c r="AK22" s="64" t="str">
        <f t="shared" si="24"/>
        <v/>
      </c>
      <c r="AL22" s="156" t="str">
        <f t="shared" si="25"/>
        <v/>
      </c>
      <c r="AO22" s="166">
        <f>VLOOKUP(B22,Coûts!$C$10:$G$57,5,FALSE)</f>
        <v>1017.89</v>
      </c>
      <c r="AP22" s="167" t="str">
        <f t="shared" si="26"/>
        <v/>
      </c>
      <c r="AQ22" s="167" t="str">
        <f t="shared" si="27"/>
        <v/>
      </c>
      <c r="AR22" s="168" t="str">
        <f t="shared" si="28"/>
        <v/>
      </c>
      <c r="AS22" s="6"/>
      <c r="AT22" s="166">
        <f>Coûts!$I$5-AE22*Coûts!$I$3</f>
        <v>4423.2000000000007</v>
      </c>
      <c r="AU22" s="167">
        <f>Coûts!$I$5-AF22*Coûts!$I$3</f>
        <v>4423.2000000000007</v>
      </c>
      <c r="AV22" s="168">
        <f>Coûts!$I$5-AG22*Coûts!$I$3</f>
        <v>4423.2000000000007</v>
      </c>
      <c r="AW22" s="6"/>
      <c r="AX22" s="166">
        <f>Coûts!$I$5-AE22*Coûts!$I$4</f>
        <v>4423.2000000000007</v>
      </c>
      <c r="AY22" s="167">
        <f>Coûts!$I$5-AF22*Coûts!$I$4</f>
        <v>4423.2000000000007</v>
      </c>
      <c r="AZ22" s="168">
        <f>Coûts!$I$5-AG22*Coûts!$I$4</f>
        <v>4423.2000000000007</v>
      </c>
      <c r="BA22" s="6"/>
      <c r="BB22" s="37" t="s">
        <v>28</v>
      </c>
      <c r="BC22" s="38">
        <v>1</v>
      </c>
      <c r="BD22" s="39">
        <v>1</v>
      </c>
      <c r="BE22" s="39">
        <v>2</v>
      </c>
      <c r="BF22" s="39">
        <v>2</v>
      </c>
      <c r="BG22" s="39" t="s">
        <v>87</v>
      </c>
      <c r="BH22" s="39">
        <v>2</v>
      </c>
      <c r="BI22" s="41">
        <v>2</v>
      </c>
      <c r="BK22" s="37" t="s">
        <v>16</v>
      </c>
      <c r="BL22" s="38">
        <v>1</v>
      </c>
      <c r="BM22" s="39">
        <v>1</v>
      </c>
      <c r="BN22" s="39">
        <v>7</v>
      </c>
      <c r="BO22" s="39">
        <v>7</v>
      </c>
      <c r="BP22" s="39" t="s">
        <v>87</v>
      </c>
      <c r="BQ22" s="39">
        <v>7</v>
      </c>
      <c r="BR22" s="41">
        <v>7</v>
      </c>
      <c r="CU22" s="37" t="s">
        <v>41</v>
      </c>
      <c r="CV22" s="38">
        <v>1</v>
      </c>
      <c r="CW22" s="39">
        <v>1</v>
      </c>
      <c r="CX22" s="39">
        <v>4</v>
      </c>
      <c r="CY22" s="39">
        <v>4</v>
      </c>
      <c r="CZ22" s="39" t="s">
        <v>87</v>
      </c>
      <c r="DA22" s="39">
        <v>4</v>
      </c>
      <c r="DB22" s="41">
        <v>4</v>
      </c>
      <c r="DD22" s="37" t="s">
        <v>24</v>
      </c>
      <c r="DE22" s="38">
        <v>1</v>
      </c>
      <c r="DF22" s="39">
        <v>1</v>
      </c>
      <c r="DG22" s="39">
        <v>6</v>
      </c>
      <c r="DH22" s="39">
        <v>6</v>
      </c>
      <c r="DI22" s="39" t="s">
        <v>87</v>
      </c>
      <c r="DJ22" s="39">
        <v>6</v>
      </c>
      <c r="DK22" s="41">
        <v>6</v>
      </c>
      <c r="DM22" s="37" t="s">
        <v>51</v>
      </c>
      <c r="DN22" s="38">
        <v>1</v>
      </c>
      <c r="DO22" s="39">
        <v>1</v>
      </c>
      <c r="DP22" s="39">
        <v>2</v>
      </c>
      <c r="DQ22" s="39">
        <v>2</v>
      </c>
      <c r="DR22" s="39" t="s">
        <v>87</v>
      </c>
      <c r="DS22" s="39">
        <v>2</v>
      </c>
      <c r="DT22" s="41">
        <v>2</v>
      </c>
    </row>
    <row r="23" spans="1:124" x14ac:dyDescent="0.2">
      <c r="A23" s="50" t="s">
        <v>103</v>
      </c>
      <c r="B23" s="146" t="s">
        <v>50</v>
      </c>
      <c r="C23" s="209">
        <v>1</v>
      </c>
      <c r="D23" s="38">
        <f t="shared" si="29"/>
        <v>0</v>
      </c>
      <c r="E23" s="38">
        <f t="shared" si="30"/>
        <v>1</v>
      </c>
      <c r="F23" s="215">
        <v>1</v>
      </c>
      <c r="G23" s="216">
        <v>14</v>
      </c>
      <c r="H23" s="217" t="s">
        <v>87</v>
      </c>
      <c r="I23" s="218">
        <f t="shared" si="0"/>
        <v>1</v>
      </c>
      <c r="J23" s="218">
        <f t="shared" si="1"/>
        <v>14</v>
      </c>
      <c r="K23" s="219" t="str">
        <f t="shared" si="2"/>
        <v>.</v>
      </c>
      <c r="L23" s="218">
        <f t="shared" si="3"/>
        <v>1</v>
      </c>
      <c r="M23" s="218">
        <f t="shared" si="4"/>
        <v>14</v>
      </c>
      <c r="N23" s="219" t="str">
        <f t="shared" si="5"/>
        <v>.</v>
      </c>
      <c r="O23" s="218">
        <f t="shared" si="6"/>
        <v>1</v>
      </c>
      <c r="P23" s="218">
        <f t="shared" si="7"/>
        <v>14</v>
      </c>
      <c r="Q23" s="219" t="str">
        <f t="shared" si="8"/>
        <v>.</v>
      </c>
      <c r="R23" s="218" t="str">
        <f t="shared" si="9"/>
        <v/>
      </c>
      <c r="S23" s="218" t="str">
        <f t="shared" si="10"/>
        <v/>
      </c>
      <c r="T23" s="219" t="str">
        <f t="shared" si="11"/>
        <v/>
      </c>
      <c r="U23" s="218" t="str">
        <f t="shared" si="12"/>
        <v/>
      </c>
      <c r="V23" s="218" t="str">
        <f t="shared" si="13"/>
        <v/>
      </c>
      <c r="W23" s="219" t="str">
        <f t="shared" si="14"/>
        <v/>
      </c>
      <c r="X23" s="218" t="str">
        <f t="shared" si="15"/>
        <v/>
      </c>
      <c r="Y23" s="218" t="str">
        <f t="shared" si="16"/>
        <v/>
      </c>
      <c r="Z23" s="219" t="str">
        <f t="shared" si="17"/>
        <v/>
      </c>
      <c r="AA23" s="218" t="str">
        <f t="shared" si="18"/>
        <v/>
      </c>
      <c r="AB23" s="218" t="str">
        <f t="shared" si="19"/>
        <v/>
      </c>
      <c r="AC23" s="219" t="str">
        <f t="shared" si="20"/>
        <v/>
      </c>
      <c r="AD23" s="6"/>
      <c r="AE23" s="151">
        <v>16.3</v>
      </c>
      <c r="AF23" s="5">
        <v>21.2</v>
      </c>
      <c r="AG23" s="42">
        <v>25.7</v>
      </c>
      <c r="AH23" s="176" t="str">
        <f t="shared" si="21"/>
        <v/>
      </c>
      <c r="AI23" s="177" t="str">
        <f t="shared" si="22"/>
        <v/>
      </c>
      <c r="AJ23" s="64" t="str">
        <f t="shared" si="23"/>
        <v/>
      </c>
      <c r="AK23" s="64" t="str">
        <f t="shared" si="24"/>
        <v/>
      </c>
      <c r="AL23" s="156" t="str">
        <f t="shared" si="25"/>
        <v/>
      </c>
      <c r="AO23" s="166">
        <f>VLOOKUP(B23,Coûts!$C$10:$G$57,5,FALSE)</f>
        <v>6838.08</v>
      </c>
      <c r="AP23" s="167">
        <f t="shared" si="26"/>
        <v>419.51411042944784</v>
      </c>
      <c r="AQ23" s="167">
        <f t="shared" si="27"/>
        <v>322.55094339622644</v>
      </c>
      <c r="AR23" s="168">
        <f t="shared" si="28"/>
        <v>266.07315175097278</v>
      </c>
      <c r="AS23" s="6"/>
      <c r="AT23" s="166">
        <f>Coûts!$I$5-AE23*Coûts!$I$3</f>
        <v>4304.536000000001</v>
      </c>
      <c r="AU23" s="167">
        <f>Coûts!$I$5-AF23*Coûts!$I$3</f>
        <v>4268.8640000000005</v>
      </c>
      <c r="AV23" s="168">
        <f>Coûts!$I$5-AG23*Coûts!$I$3</f>
        <v>4236.1040000000012</v>
      </c>
      <c r="AW23" s="6"/>
      <c r="AX23" s="166">
        <f>Coûts!$I$5-AE23*Coûts!$I$4</f>
        <v>3689.7000000000007</v>
      </c>
      <c r="AY23" s="167">
        <f>Coûts!$I$5-AF23*Coûts!$I$4</f>
        <v>3469.2000000000007</v>
      </c>
      <c r="AZ23" s="168">
        <f>Coûts!$I$5-AG23*Coûts!$I$4</f>
        <v>3266.7000000000007</v>
      </c>
      <c r="BA23" s="6"/>
      <c r="BB23" s="37" t="s">
        <v>50</v>
      </c>
      <c r="BC23" s="38">
        <v>1</v>
      </c>
      <c r="BD23" s="39">
        <v>1</v>
      </c>
      <c r="BE23" s="39">
        <v>14</v>
      </c>
      <c r="BF23" s="39">
        <v>14</v>
      </c>
      <c r="BG23" s="39" t="s">
        <v>87</v>
      </c>
      <c r="BH23" s="39">
        <v>14</v>
      </c>
      <c r="BI23" s="41">
        <v>14</v>
      </c>
      <c r="BK23" s="37" t="s">
        <v>19</v>
      </c>
      <c r="BL23" s="38">
        <v>1</v>
      </c>
      <c r="BM23" s="39">
        <v>1</v>
      </c>
      <c r="BN23" s="39">
        <v>34</v>
      </c>
      <c r="BO23" s="39">
        <v>34</v>
      </c>
      <c r="BP23" s="39" t="s">
        <v>87</v>
      </c>
      <c r="BQ23" s="39">
        <v>34</v>
      </c>
      <c r="BR23" s="41">
        <v>34</v>
      </c>
      <c r="CU23" s="37" t="s">
        <v>52</v>
      </c>
      <c r="CV23" s="38">
        <v>1</v>
      </c>
      <c r="CW23" s="39">
        <v>1</v>
      </c>
      <c r="CX23" s="39">
        <v>5</v>
      </c>
      <c r="CY23" s="39">
        <v>5</v>
      </c>
      <c r="CZ23" s="39" t="s">
        <v>87</v>
      </c>
      <c r="DA23" s="39">
        <v>5</v>
      </c>
      <c r="DB23" s="41">
        <v>5</v>
      </c>
      <c r="DD23" s="37" t="s">
        <v>26</v>
      </c>
      <c r="DE23" s="38">
        <v>1</v>
      </c>
      <c r="DF23" s="39">
        <v>1</v>
      </c>
      <c r="DG23" s="39">
        <v>33</v>
      </c>
      <c r="DH23" s="39">
        <v>33</v>
      </c>
      <c r="DI23" s="39" t="s">
        <v>87</v>
      </c>
      <c r="DJ23" s="39">
        <v>33</v>
      </c>
      <c r="DK23" s="41">
        <v>33</v>
      </c>
      <c r="DM23" s="37" t="s">
        <v>31</v>
      </c>
      <c r="DN23" s="38">
        <v>1</v>
      </c>
      <c r="DO23" s="39">
        <v>1</v>
      </c>
      <c r="DP23" s="39">
        <v>34</v>
      </c>
      <c r="DQ23" s="39">
        <v>34</v>
      </c>
      <c r="DR23" s="39" t="s">
        <v>87</v>
      </c>
      <c r="DS23" s="39">
        <v>34</v>
      </c>
      <c r="DT23" s="41">
        <v>34</v>
      </c>
    </row>
    <row r="24" spans="1:124" x14ac:dyDescent="0.2">
      <c r="B24" s="146" t="s">
        <v>33</v>
      </c>
      <c r="C24" s="209">
        <v>1</v>
      </c>
      <c r="D24" s="38">
        <f t="shared" si="29"/>
        <v>1</v>
      </c>
      <c r="E24" s="38">
        <f t="shared" si="30"/>
        <v>0</v>
      </c>
      <c r="F24" s="215">
        <v>1</v>
      </c>
      <c r="G24" s="216">
        <v>41</v>
      </c>
      <c r="H24" s="217" t="s">
        <v>87</v>
      </c>
      <c r="I24" s="218" t="str">
        <f t="shared" si="0"/>
        <v/>
      </c>
      <c r="J24" s="218" t="str">
        <f t="shared" si="1"/>
        <v/>
      </c>
      <c r="K24" s="219" t="str">
        <f t="shared" si="2"/>
        <v/>
      </c>
      <c r="L24" s="218" t="str">
        <f t="shared" si="3"/>
        <v/>
      </c>
      <c r="M24" s="218" t="str">
        <f t="shared" si="4"/>
        <v/>
      </c>
      <c r="N24" s="219" t="str">
        <f t="shared" si="5"/>
        <v/>
      </c>
      <c r="O24" s="218">
        <f t="shared" si="6"/>
        <v>1</v>
      </c>
      <c r="P24" s="218">
        <f t="shared" si="7"/>
        <v>41</v>
      </c>
      <c r="Q24" s="219" t="str">
        <f t="shared" si="8"/>
        <v>.</v>
      </c>
      <c r="R24" s="218">
        <f t="shared" si="9"/>
        <v>1</v>
      </c>
      <c r="S24" s="218">
        <f t="shared" si="10"/>
        <v>41</v>
      </c>
      <c r="T24" s="219" t="str">
        <f t="shared" si="11"/>
        <v>.</v>
      </c>
      <c r="U24" s="218" t="str">
        <f t="shared" si="12"/>
        <v/>
      </c>
      <c r="V24" s="218" t="str">
        <f t="shared" si="13"/>
        <v/>
      </c>
      <c r="W24" s="219" t="str">
        <f t="shared" si="14"/>
        <v/>
      </c>
      <c r="X24" s="218" t="str">
        <f t="shared" si="15"/>
        <v/>
      </c>
      <c r="Y24" s="218" t="str">
        <f t="shared" si="16"/>
        <v/>
      </c>
      <c r="Z24" s="219" t="str">
        <f t="shared" si="17"/>
        <v/>
      </c>
      <c r="AA24" s="218">
        <f t="shared" si="18"/>
        <v>1</v>
      </c>
      <c r="AB24" s="218">
        <f t="shared" si="19"/>
        <v>41</v>
      </c>
      <c r="AC24" s="219" t="str">
        <f t="shared" si="20"/>
        <v>.</v>
      </c>
      <c r="AD24" s="6"/>
      <c r="AE24" s="151">
        <v>10.210000000000001</v>
      </c>
      <c r="AF24" s="51">
        <v>10.210000000000001</v>
      </c>
      <c r="AG24" s="44">
        <v>10.210000000000001</v>
      </c>
      <c r="AH24" s="176" t="str">
        <f t="shared" si="21"/>
        <v/>
      </c>
      <c r="AI24" s="177" t="str">
        <f t="shared" si="22"/>
        <v/>
      </c>
      <c r="AJ24" s="64" t="str">
        <f t="shared" si="23"/>
        <v/>
      </c>
      <c r="AK24" s="64" t="str">
        <f t="shared" si="24"/>
        <v/>
      </c>
      <c r="AL24" s="156" t="str">
        <f t="shared" si="25"/>
        <v/>
      </c>
      <c r="AO24" s="166">
        <f>VLOOKUP(B24,Coûts!$C$10:$G$57,5,FALSE)</f>
        <v>5506.44</v>
      </c>
      <c r="AP24" s="167">
        <f t="shared" si="26"/>
        <v>539.31831537708126</v>
      </c>
      <c r="AQ24" s="167">
        <f t="shared" si="27"/>
        <v>539.31831537708126</v>
      </c>
      <c r="AR24" s="168">
        <f t="shared" si="28"/>
        <v>539.31831537708126</v>
      </c>
      <c r="AS24" s="6"/>
      <c r="AT24" s="166">
        <f>Coûts!$I$5-AE24*Coûts!$I$3</f>
        <v>4348.8712000000005</v>
      </c>
      <c r="AU24" s="167">
        <f>Coûts!$I$5-AF24*Coûts!$I$3</f>
        <v>4348.8712000000005</v>
      </c>
      <c r="AV24" s="168">
        <f>Coûts!$I$5-AG24*Coûts!$I$3</f>
        <v>4348.8712000000005</v>
      </c>
      <c r="AW24" s="6"/>
      <c r="AX24" s="166">
        <f>Coûts!$I$5-AE24*Coûts!$I$4</f>
        <v>3963.7500000000009</v>
      </c>
      <c r="AY24" s="167">
        <f>Coûts!$I$5-AF24*Coûts!$I$4</f>
        <v>3963.7500000000009</v>
      </c>
      <c r="AZ24" s="168">
        <f>Coûts!$I$5-AG24*Coûts!$I$4</f>
        <v>3963.7500000000009</v>
      </c>
      <c r="BA24" s="6"/>
      <c r="BB24" s="37" t="s">
        <v>33</v>
      </c>
      <c r="BC24" s="38">
        <v>1</v>
      </c>
      <c r="BD24" s="39">
        <v>1</v>
      </c>
      <c r="BE24" s="39">
        <v>41</v>
      </c>
      <c r="BF24" s="39">
        <v>41</v>
      </c>
      <c r="BG24" s="39" t="s">
        <v>87</v>
      </c>
      <c r="BH24" s="39">
        <v>41</v>
      </c>
      <c r="BI24" s="41">
        <v>41</v>
      </c>
      <c r="BK24" s="142" t="s">
        <v>53</v>
      </c>
      <c r="BL24" s="143">
        <v>1</v>
      </c>
      <c r="BM24" s="144">
        <v>1</v>
      </c>
      <c r="BN24" s="144">
        <v>6</v>
      </c>
      <c r="BO24" s="144">
        <v>6</v>
      </c>
      <c r="BP24" s="144" t="s">
        <v>87</v>
      </c>
      <c r="BQ24" s="144">
        <v>6</v>
      </c>
      <c r="BR24" s="145">
        <v>6</v>
      </c>
      <c r="CU24" s="37" t="s">
        <v>35</v>
      </c>
      <c r="CV24" s="38">
        <v>1</v>
      </c>
      <c r="CW24" s="39">
        <v>1</v>
      </c>
      <c r="CX24" s="39">
        <v>3</v>
      </c>
      <c r="CY24" s="39">
        <v>3</v>
      </c>
      <c r="CZ24" s="39" t="s">
        <v>87</v>
      </c>
      <c r="DA24" s="39">
        <v>3</v>
      </c>
      <c r="DB24" s="41">
        <v>3</v>
      </c>
      <c r="DD24" s="37" t="s">
        <v>47</v>
      </c>
      <c r="DE24" s="38">
        <v>1</v>
      </c>
      <c r="DF24" s="39">
        <v>1</v>
      </c>
      <c r="DG24" s="39">
        <v>9</v>
      </c>
      <c r="DH24" s="39">
        <v>9</v>
      </c>
      <c r="DI24" s="39" t="s">
        <v>87</v>
      </c>
      <c r="DJ24" s="39">
        <v>9</v>
      </c>
      <c r="DK24" s="41">
        <v>9</v>
      </c>
      <c r="DM24" s="37" t="s">
        <v>46</v>
      </c>
      <c r="DN24" s="38">
        <v>1</v>
      </c>
      <c r="DO24" s="39">
        <v>1</v>
      </c>
      <c r="DP24" s="39">
        <v>13</v>
      </c>
      <c r="DQ24" s="39">
        <v>13</v>
      </c>
      <c r="DR24" s="39" t="s">
        <v>87</v>
      </c>
      <c r="DS24" s="39">
        <v>13</v>
      </c>
      <c r="DT24" s="41">
        <v>13</v>
      </c>
    </row>
    <row r="25" spans="1:124" x14ac:dyDescent="0.2">
      <c r="A25" s="50" t="s">
        <v>97</v>
      </c>
      <c r="B25" s="146" t="s">
        <v>51</v>
      </c>
      <c r="C25" s="209">
        <v>0</v>
      </c>
      <c r="D25" s="38">
        <f t="shared" si="29"/>
        <v>0</v>
      </c>
      <c r="E25" s="38">
        <f t="shared" si="30"/>
        <v>0</v>
      </c>
      <c r="F25" s="215">
        <v>1</v>
      </c>
      <c r="G25" s="216">
        <v>2</v>
      </c>
      <c r="H25" s="217" t="s">
        <v>87</v>
      </c>
      <c r="I25" s="218">
        <f t="shared" si="0"/>
        <v>1</v>
      </c>
      <c r="J25" s="218">
        <f t="shared" si="1"/>
        <v>2</v>
      </c>
      <c r="K25" s="219" t="str">
        <f t="shared" si="2"/>
        <v>.</v>
      </c>
      <c r="L25" s="218">
        <f t="shared" si="3"/>
        <v>1</v>
      </c>
      <c r="M25" s="218">
        <f t="shared" si="4"/>
        <v>2</v>
      </c>
      <c r="N25" s="219" t="str">
        <f t="shared" si="5"/>
        <v>.</v>
      </c>
      <c r="O25" s="218">
        <f t="shared" si="6"/>
        <v>1</v>
      </c>
      <c r="P25" s="218">
        <f t="shared" si="7"/>
        <v>2</v>
      </c>
      <c r="Q25" s="219" t="str">
        <f t="shared" si="8"/>
        <v>.</v>
      </c>
      <c r="R25" s="218" t="str">
        <f t="shared" si="9"/>
        <v/>
      </c>
      <c r="S25" s="218" t="str">
        <f t="shared" si="10"/>
        <v/>
      </c>
      <c r="T25" s="219" t="str">
        <f t="shared" si="11"/>
        <v/>
      </c>
      <c r="U25" s="218" t="str">
        <f t="shared" si="12"/>
        <v/>
      </c>
      <c r="V25" s="218" t="str">
        <f t="shared" si="13"/>
        <v/>
      </c>
      <c r="W25" s="219" t="str">
        <f t="shared" si="14"/>
        <v/>
      </c>
      <c r="X25" s="218" t="str">
        <f t="shared" si="15"/>
        <v/>
      </c>
      <c r="Y25" s="218" t="str">
        <f t="shared" si="16"/>
        <v/>
      </c>
      <c r="Z25" s="219" t="str">
        <f t="shared" si="17"/>
        <v/>
      </c>
      <c r="AA25" s="218" t="str">
        <f t="shared" si="18"/>
        <v/>
      </c>
      <c r="AB25" s="218" t="str">
        <f t="shared" si="19"/>
        <v/>
      </c>
      <c r="AC25" s="219" t="str">
        <f t="shared" si="20"/>
        <v/>
      </c>
      <c r="AD25" s="6"/>
      <c r="AE25" s="151">
        <v>0</v>
      </c>
      <c r="AF25" s="5"/>
      <c r="AG25" s="42"/>
      <c r="AH25" s="176" t="str">
        <f t="shared" si="21"/>
        <v/>
      </c>
      <c r="AI25" s="177" t="str">
        <f t="shared" si="22"/>
        <v/>
      </c>
      <c r="AJ25" s="64" t="str">
        <f t="shared" si="23"/>
        <v/>
      </c>
      <c r="AK25" s="64" t="str">
        <f t="shared" si="24"/>
        <v/>
      </c>
      <c r="AL25" s="156" t="str">
        <f t="shared" si="25"/>
        <v/>
      </c>
      <c r="AO25" s="166">
        <f>VLOOKUP(B25,Coûts!$C$10:$G$57,5,FALSE)</f>
        <v>2042.96</v>
      </c>
      <c r="AP25" s="167" t="str">
        <f t="shared" si="26"/>
        <v/>
      </c>
      <c r="AQ25" s="167" t="str">
        <f t="shared" si="27"/>
        <v/>
      </c>
      <c r="AR25" s="168" t="str">
        <f t="shared" si="28"/>
        <v/>
      </c>
      <c r="AS25" s="6"/>
      <c r="AT25" s="166">
        <f>Coûts!$I$5-AE25*Coûts!$I$3</f>
        <v>4423.2000000000007</v>
      </c>
      <c r="AU25" s="167">
        <f>Coûts!$I$5-AF25*Coûts!$I$3</f>
        <v>4423.2000000000007</v>
      </c>
      <c r="AV25" s="168">
        <f>Coûts!$I$5-AG25*Coûts!$I$3</f>
        <v>4423.2000000000007</v>
      </c>
      <c r="AW25" s="6"/>
      <c r="AX25" s="166">
        <f>Coûts!$I$5-AE25*Coûts!$I$4</f>
        <v>4423.2000000000007</v>
      </c>
      <c r="AY25" s="167">
        <f>Coûts!$I$5-AF25*Coûts!$I$4</f>
        <v>4423.2000000000007</v>
      </c>
      <c r="AZ25" s="168">
        <f>Coûts!$I$5-AG25*Coûts!$I$4</f>
        <v>4423.2000000000007</v>
      </c>
      <c r="BA25" s="6"/>
      <c r="BB25" s="37" t="s">
        <v>51</v>
      </c>
      <c r="BC25" s="38">
        <v>1</v>
      </c>
      <c r="BD25" s="39">
        <v>1</v>
      </c>
      <c r="BE25" s="39">
        <v>2</v>
      </c>
      <c r="BF25" s="39">
        <v>2</v>
      </c>
      <c r="BG25" s="39" t="s">
        <v>87</v>
      </c>
      <c r="BH25" s="39">
        <v>2</v>
      </c>
      <c r="BI25" s="41">
        <v>2</v>
      </c>
      <c r="CU25" s="37" t="s">
        <v>13</v>
      </c>
      <c r="CV25" s="38">
        <v>1</v>
      </c>
      <c r="CW25" s="39">
        <v>1</v>
      </c>
      <c r="CX25" s="39">
        <v>8</v>
      </c>
      <c r="CY25" s="39">
        <v>8</v>
      </c>
      <c r="CZ25" s="39" t="s">
        <v>87</v>
      </c>
      <c r="DA25" s="39">
        <v>8</v>
      </c>
      <c r="DB25" s="41">
        <v>8</v>
      </c>
      <c r="DD25" s="37" t="s">
        <v>41</v>
      </c>
      <c r="DE25" s="38">
        <v>1</v>
      </c>
      <c r="DF25" s="39">
        <v>1</v>
      </c>
      <c r="DG25" s="39">
        <v>4</v>
      </c>
      <c r="DH25" s="39">
        <v>4</v>
      </c>
      <c r="DI25" s="39" t="s">
        <v>87</v>
      </c>
      <c r="DJ25" s="39">
        <v>4</v>
      </c>
      <c r="DK25" s="41">
        <v>4</v>
      </c>
      <c r="DM25" s="37" t="s">
        <v>43</v>
      </c>
      <c r="DN25" s="38">
        <v>1</v>
      </c>
      <c r="DO25" s="39">
        <v>1</v>
      </c>
      <c r="DP25" s="39">
        <v>11</v>
      </c>
      <c r="DQ25" s="39">
        <v>11</v>
      </c>
      <c r="DR25" s="39" t="s">
        <v>87</v>
      </c>
      <c r="DS25" s="39">
        <v>11</v>
      </c>
      <c r="DT25" s="41">
        <v>11</v>
      </c>
    </row>
    <row r="26" spans="1:124" x14ac:dyDescent="0.2">
      <c r="A26" s="50" t="s">
        <v>172</v>
      </c>
      <c r="B26" s="146" t="s">
        <v>42</v>
      </c>
      <c r="C26" s="209">
        <v>0</v>
      </c>
      <c r="D26" s="38">
        <f t="shared" si="29"/>
        <v>0</v>
      </c>
      <c r="E26" s="38">
        <f t="shared" si="30"/>
        <v>0</v>
      </c>
      <c r="F26" s="215">
        <v>1</v>
      </c>
      <c r="G26" s="216">
        <v>49</v>
      </c>
      <c r="H26" s="217" t="s">
        <v>87</v>
      </c>
      <c r="I26" s="218" t="str">
        <f t="shared" si="0"/>
        <v/>
      </c>
      <c r="J26" s="218" t="str">
        <f t="shared" si="1"/>
        <v/>
      </c>
      <c r="K26" s="219" t="str">
        <f t="shared" si="2"/>
        <v/>
      </c>
      <c r="L26" s="218" t="str">
        <f t="shared" si="3"/>
        <v/>
      </c>
      <c r="M26" s="218" t="str">
        <f t="shared" si="4"/>
        <v/>
      </c>
      <c r="N26" s="219" t="str">
        <f t="shared" si="5"/>
        <v/>
      </c>
      <c r="O26" s="218" t="str">
        <f t="shared" si="6"/>
        <v/>
      </c>
      <c r="P26" s="218" t="str">
        <f t="shared" si="7"/>
        <v/>
      </c>
      <c r="Q26" s="219" t="str">
        <f t="shared" si="8"/>
        <v/>
      </c>
      <c r="R26" s="218" t="str">
        <f t="shared" si="9"/>
        <v/>
      </c>
      <c r="S26" s="218" t="str">
        <f t="shared" si="10"/>
        <v/>
      </c>
      <c r="T26" s="219" t="str">
        <f t="shared" si="11"/>
        <v/>
      </c>
      <c r="U26" s="218" t="str">
        <f t="shared" si="12"/>
        <v/>
      </c>
      <c r="V26" s="218" t="str">
        <f t="shared" si="13"/>
        <v/>
      </c>
      <c r="W26" s="219" t="str">
        <f t="shared" si="14"/>
        <v/>
      </c>
      <c r="X26" s="218" t="str">
        <f t="shared" si="15"/>
        <v/>
      </c>
      <c r="Y26" s="218" t="str">
        <f t="shared" si="16"/>
        <v/>
      </c>
      <c r="Z26" s="219" t="str">
        <f t="shared" si="17"/>
        <v/>
      </c>
      <c r="AA26" s="218" t="str">
        <f t="shared" si="18"/>
        <v/>
      </c>
      <c r="AB26" s="218" t="str">
        <f t="shared" si="19"/>
        <v/>
      </c>
      <c r="AC26" s="219" t="str">
        <f t="shared" si="20"/>
        <v/>
      </c>
      <c r="AD26" s="6"/>
      <c r="AE26" s="151">
        <v>8.19</v>
      </c>
      <c r="AF26" s="5">
        <v>12.03</v>
      </c>
      <c r="AG26" s="42">
        <v>12</v>
      </c>
      <c r="AH26" s="176" t="str">
        <f t="shared" si="21"/>
        <v/>
      </c>
      <c r="AI26" s="177" t="str">
        <f t="shared" si="22"/>
        <v/>
      </c>
      <c r="AJ26" s="64" t="str">
        <f t="shared" si="23"/>
        <v/>
      </c>
      <c r="AK26" s="64" t="str">
        <f t="shared" si="24"/>
        <v/>
      </c>
      <c r="AL26" s="156" t="str">
        <f t="shared" si="25"/>
        <v/>
      </c>
      <c r="AO26" s="166">
        <f>VLOOKUP(B26,Coûts!$C$10:$G$57,5,FALSE)</f>
        <v>4682.88</v>
      </c>
      <c r="AP26" s="167">
        <f t="shared" si="26"/>
        <v>571.7802197802198</v>
      </c>
      <c r="AQ26" s="167">
        <f t="shared" si="27"/>
        <v>389.26683291770576</v>
      </c>
      <c r="AR26" s="168">
        <f t="shared" si="28"/>
        <v>390.24</v>
      </c>
      <c r="AS26" s="6"/>
      <c r="AT26" s="166">
        <f>Coûts!$I$5-AE26*Coûts!$I$3</f>
        <v>4363.5768000000007</v>
      </c>
      <c r="AU26" s="167">
        <f>Coûts!$I$5-AF26*Coûts!$I$3</f>
        <v>4335.6216000000004</v>
      </c>
      <c r="AV26" s="168">
        <f>Coûts!$I$5-AG26*Coûts!$I$3</f>
        <v>4335.8400000000011</v>
      </c>
      <c r="AW26" s="6"/>
      <c r="AX26" s="166">
        <f>Coûts!$I$5-AE26*Coûts!$I$4</f>
        <v>4054.6500000000005</v>
      </c>
      <c r="AY26" s="167">
        <f>Coûts!$I$5-AF26*Coûts!$I$4</f>
        <v>3881.8500000000008</v>
      </c>
      <c r="AZ26" s="168">
        <f>Coûts!$I$5-AG26*Coûts!$I$4</f>
        <v>3883.2000000000007</v>
      </c>
      <c r="BA26" s="6"/>
      <c r="BB26" s="37" t="s">
        <v>42</v>
      </c>
      <c r="BC26" s="38">
        <v>1</v>
      </c>
      <c r="BD26" s="39">
        <v>1</v>
      </c>
      <c r="BE26" s="39">
        <v>49</v>
      </c>
      <c r="BF26" s="39">
        <v>49</v>
      </c>
      <c r="BG26" s="39" t="s">
        <v>87</v>
      </c>
      <c r="BH26" s="39">
        <v>49</v>
      </c>
      <c r="BI26" s="41">
        <v>49</v>
      </c>
      <c r="CU26" s="142" t="s">
        <v>53</v>
      </c>
      <c r="CV26" s="143">
        <v>1</v>
      </c>
      <c r="CW26" s="144">
        <v>1</v>
      </c>
      <c r="CX26" s="144">
        <v>6</v>
      </c>
      <c r="CY26" s="144">
        <v>6</v>
      </c>
      <c r="CZ26" s="144" t="s">
        <v>87</v>
      </c>
      <c r="DA26" s="144">
        <v>6</v>
      </c>
      <c r="DB26" s="145">
        <v>6</v>
      </c>
      <c r="DD26" s="37" t="s">
        <v>52</v>
      </c>
      <c r="DE26" s="38">
        <v>1</v>
      </c>
      <c r="DF26" s="39">
        <v>1</v>
      </c>
      <c r="DG26" s="39">
        <v>5</v>
      </c>
      <c r="DH26" s="39">
        <v>5</v>
      </c>
      <c r="DI26" s="39" t="s">
        <v>87</v>
      </c>
      <c r="DJ26" s="39">
        <v>5</v>
      </c>
      <c r="DK26" s="41">
        <v>5</v>
      </c>
      <c r="DM26" s="37" t="s">
        <v>36</v>
      </c>
      <c r="DN26" s="38">
        <v>1</v>
      </c>
      <c r="DO26" s="39">
        <v>1</v>
      </c>
      <c r="DP26" s="39">
        <v>8</v>
      </c>
      <c r="DQ26" s="39">
        <v>8</v>
      </c>
      <c r="DR26" s="39" t="s">
        <v>87</v>
      </c>
      <c r="DS26" s="39">
        <v>8</v>
      </c>
      <c r="DT26" s="41">
        <v>8</v>
      </c>
    </row>
    <row r="27" spans="1:124" x14ac:dyDescent="0.2">
      <c r="B27" s="146" t="s">
        <v>54</v>
      </c>
      <c r="C27" s="209">
        <v>1</v>
      </c>
      <c r="D27" s="38">
        <f t="shared" si="29"/>
        <v>0</v>
      </c>
      <c r="E27" s="38">
        <f t="shared" si="30"/>
        <v>1</v>
      </c>
      <c r="F27" s="215">
        <v>1</v>
      </c>
      <c r="G27" s="216">
        <v>105</v>
      </c>
      <c r="H27" s="217" t="s">
        <v>87</v>
      </c>
      <c r="I27" s="218" t="str">
        <f t="shared" si="0"/>
        <v/>
      </c>
      <c r="J27" s="218" t="str">
        <f t="shared" si="1"/>
        <v/>
      </c>
      <c r="K27" s="219" t="str">
        <f t="shared" si="2"/>
        <v/>
      </c>
      <c r="L27" s="218" t="str">
        <f t="shared" si="3"/>
        <v/>
      </c>
      <c r="M27" s="218" t="str">
        <f t="shared" si="4"/>
        <v/>
      </c>
      <c r="N27" s="219" t="str">
        <f t="shared" si="5"/>
        <v/>
      </c>
      <c r="O27" s="218" t="str">
        <f t="shared" si="6"/>
        <v/>
      </c>
      <c r="P27" s="218" t="str">
        <f t="shared" si="7"/>
        <v/>
      </c>
      <c r="Q27" s="219" t="str">
        <f t="shared" si="8"/>
        <v/>
      </c>
      <c r="R27" s="218">
        <f t="shared" si="9"/>
        <v>1</v>
      </c>
      <c r="S27" s="218">
        <f t="shared" si="10"/>
        <v>105</v>
      </c>
      <c r="T27" s="219" t="str">
        <f t="shared" si="11"/>
        <v>.</v>
      </c>
      <c r="U27" s="218" t="str">
        <f t="shared" si="12"/>
        <v/>
      </c>
      <c r="V27" s="218" t="str">
        <f t="shared" si="13"/>
        <v/>
      </c>
      <c r="W27" s="219" t="str">
        <f t="shared" si="14"/>
        <v/>
      </c>
      <c r="X27" s="218" t="str">
        <f t="shared" si="15"/>
        <v/>
      </c>
      <c r="Y27" s="218" t="str">
        <f t="shared" si="16"/>
        <v/>
      </c>
      <c r="Z27" s="219" t="str">
        <f t="shared" si="17"/>
        <v/>
      </c>
      <c r="AA27" s="218" t="str">
        <f t="shared" si="18"/>
        <v/>
      </c>
      <c r="AB27" s="218" t="str">
        <f t="shared" si="19"/>
        <v/>
      </c>
      <c r="AC27" s="219" t="str">
        <f t="shared" si="20"/>
        <v/>
      </c>
      <c r="AD27" s="6"/>
      <c r="AE27" s="151">
        <v>25.5</v>
      </c>
      <c r="AF27" s="5">
        <v>49.25</v>
      </c>
      <c r="AG27" s="42">
        <v>39.409999999999997</v>
      </c>
      <c r="AH27" s="176" t="str">
        <f t="shared" si="21"/>
        <v/>
      </c>
      <c r="AI27" s="177" t="str">
        <f t="shared" si="22"/>
        <v/>
      </c>
      <c r="AJ27" s="64" t="str">
        <f t="shared" si="23"/>
        <v/>
      </c>
      <c r="AK27" s="64" t="str">
        <f t="shared" si="24"/>
        <v/>
      </c>
      <c r="AL27" s="156" t="str">
        <f t="shared" si="25"/>
        <v/>
      </c>
      <c r="AO27" s="166">
        <f>VLOOKUP(B27,Coûts!$C$10:$G$57,5,FALSE)</f>
        <v>18110.04</v>
      </c>
      <c r="AP27" s="167">
        <f t="shared" si="26"/>
        <v>710.19764705882358</v>
      </c>
      <c r="AQ27" s="167">
        <f t="shared" si="27"/>
        <v>367.71654822335029</v>
      </c>
      <c r="AR27" s="168">
        <f t="shared" si="28"/>
        <v>459.52905353971079</v>
      </c>
      <c r="AS27" s="6"/>
      <c r="AT27" s="166">
        <f>Coûts!$I$5-AE27*Coûts!$I$3</f>
        <v>4237.5600000000004</v>
      </c>
      <c r="AU27" s="167">
        <f>Coûts!$I$5-AF27*Coûts!$I$3</f>
        <v>4064.6600000000008</v>
      </c>
      <c r="AV27" s="168">
        <f>Coûts!$I$5-AG27*Coûts!$I$3</f>
        <v>4136.2952000000005</v>
      </c>
      <c r="AW27" s="6"/>
      <c r="AX27" s="166">
        <f>Coûts!$I$5-AE27*Coûts!$I$4</f>
        <v>3275.7000000000007</v>
      </c>
      <c r="AY27" s="167">
        <f>Coûts!$I$5-AF27*Coûts!$I$4</f>
        <v>2206.9500000000007</v>
      </c>
      <c r="AZ27" s="168">
        <f>Coûts!$I$5-AG27*Coûts!$I$4</f>
        <v>2649.7500000000009</v>
      </c>
      <c r="BA27" s="6"/>
      <c r="BB27" s="37" t="s">
        <v>54</v>
      </c>
      <c r="BC27" s="38">
        <v>1</v>
      </c>
      <c r="BD27" s="39">
        <v>1</v>
      </c>
      <c r="BE27" s="39">
        <v>105</v>
      </c>
      <c r="BF27" s="39">
        <v>105</v>
      </c>
      <c r="BG27" s="39" t="s">
        <v>87</v>
      </c>
      <c r="BH27" s="39">
        <v>105</v>
      </c>
      <c r="BI27" s="41">
        <v>105</v>
      </c>
      <c r="DD27" s="37" t="s">
        <v>32</v>
      </c>
      <c r="DE27" s="38">
        <v>1</v>
      </c>
      <c r="DF27" s="39">
        <v>1</v>
      </c>
      <c r="DG27" s="39">
        <v>11</v>
      </c>
      <c r="DH27" s="39">
        <v>11</v>
      </c>
      <c r="DI27" s="39" t="s">
        <v>87</v>
      </c>
      <c r="DJ27" s="39">
        <v>11</v>
      </c>
      <c r="DK27" s="41">
        <v>11</v>
      </c>
      <c r="DM27" s="37" t="s">
        <v>29</v>
      </c>
      <c r="DN27" s="38">
        <v>1</v>
      </c>
      <c r="DO27" s="39">
        <v>1</v>
      </c>
      <c r="DP27" s="39">
        <v>18</v>
      </c>
      <c r="DQ27" s="39">
        <v>18</v>
      </c>
      <c r="DR27" s="39" t="s">
        <v>87</v>
      </c>
      <c r="DS27" s="39">
        <v>18</v>
      </c>
      <c r="DT27" s="41">
        <v>18</v>
      </c>
    </row>
    <row r="28" spans="1:124" x14ac:dyDescent="0.2">
      <c r="B28" s="146" t="s">
        <v>44</v>
      </c>
      <c r="C28" s="209">
        <v>1</v>
      </c>
      <c r="D28" s="38">
        <f t="shared" si="29"/>
        <v>0</v>
      </c>
      <c r="E28" s="38">
        <f t="shared" si="30"/>
        <v>1</v>
      </c>
      <c r="F28" s="215">
        <v>1</v>
      </c>
      <c r="G28" s="216">
        <v>38</v>
      </c>
      <c r="H28" s="217" t="s">
        <v>87</v>
      </c>
      <c r="I28" s="218" t="str">
        <f t="shared" si="0"/>
        <v/>
      </c>
      <c r="J28" s="218" t="str">
        <f t="shared" si="1"/>
        <v/>
      </c>
      <c r="K28" s="219" t="str">
        <f t="shared" si="2"/>
        <v/>
      </c>
      <c r="L28" s="218" t="str">
        <f t="shared" si="3"/>
        <v/>
      </c>
      <c r="M28" s="218" t="str">
        <f t="shared" si="4"/>
        <v/>
      </c>
      <c r="N28" s="219" t="str">
        <f t="shared" si="5"/>
        <v/>
      </c>
      <c r="O28" s="218" t="str">
        <f t="shared" si="6"/>
        <v/>
      </c>
      <c r="P28" s="218" t="str">
        <f t="shared" si="7"/>
        <v/>
      </c>
      <c r="Q28" s="219" t="str">
        <f t="shared" si="8"/>
        <v/>
      </c>
      <c r="R28" s="218" t="str">
        <f t="shared" si="9"/>
        <v/>
      </c>
      <c r="S28" s="218" t="str">
        <f t="shared" si="10"/>
        <v/>
      </c>
      <c r="T28" s="219" t="str">
        <f t="shared" si="11"/>
        <v/>
      </c>
      <c r="U28" s="218" t="str">
        <f t="shared" si="12"/>
        <v/>
      </c>
      <c r="V28" s="218" t="str">
        <f t="shared" si="13"/>
        <v/>
      </c>
      <c r="W28" s="219" t="str">
        <f t="shared" si="14"/>
        <v/>
      </c>
      <c r="X28" s="218" t="str">
        <f t="shared" si="15"/>
        <v/>
      </c>
      <c r="Y28" s="218" t="str">
        <f t="shared" si="16"/>
        <v/>
      </c>
      <c r="Z28" s="219" t="str">
        <f t="shared" si="17"/>
        <v/>
      </c>
      <c r="AA28" s="218" t="str">
        <f t="shared" si="18"/>
        <v/>
      </c>
      <c r="AB28" s="218" t="str">
        <f t="shared" si="19"/>
        <v/>
      </c>
      <c r="AC28" s="219" t="str">
        <f t="shared" si="20"/>
        <v/>
      </c>
      <c r="AD28" s="6"/>
      <c r="AE28" s="151">
        <v>18.45</v>
      </c>
      <c r="AF28" s="5">
        <v>21.7</v>
      </c>
      <c r="AG28" s="42">
        <v>24.1</v>
      </c>
      <c r="AH28" s="176" t="str">
        <f t="shared" si="21"/>
        <v/>
      </c>
      <c r="AI28" s="177" t="str">
        <f t="shared" si="22"/>
        <v/>
      </c>
      <c r="AJ28" s="64" t="str">
        <f t="shared" si="23"/>
        <v/>
      </c>
      <c r="AK28" s="64" t="str">
        <f t="shared" si="24"/>
        <v/>
      </c>
      <c r="AL28" s="156" t="str">
        <f t="shared" si="25"/>
        <v/>
      </c>
      <c r="AO28" s="166">
        <f>VLOOKUP(B28,Coûts!$C$10:$G$57,5,FALSE)</f>
        <v>8191.09</v>
      </c>
      <c r="AP28" s="167">
        <f t="shared" si="26"/>
        <v>443.96151761517615</v>
      </c>
      <c r="AQ28" s="167">
        <f t="shared" si="27"/>
        <v>377.46958525345622</v>
      </c>
      <c r="AR28" s="168">
        <f t="shared" si="28"/>
        <v>339.87925311203315</v>
      </c>
      <c r="AS28" s="6"/>
      <c r="AT28" s="166">
        <f>Coûts!$I$5-AE28*Coûts!$I$3</f>
        <v>4288.8840000000009</v>
      </c>
      <c r="AU28" s="167">
        <f>Coûts!$I$5-AF28*Coûts!$I$3</f>
        <v>4265.2240000000011</v>
      </c>
      <c r="AV28" s="168">
        <f>Coûts!$I$5-AG28*Coûts!$I$3</f>
        <v>4247.7520000000004</v>
      </c>
      <c r="AW28" s="6"/>
      <c r="AX28" s="166">
        <f>Coûts!$I$5-AE28*Coûts!$I$4</f>
        <v>3592.9500000000007</v>
      </c>
      <c r="AY28" s="167">
        <f>Coûts!$I$5-AF28*Coûts!$I$4</f>
        <v>3446.7000000000007</v>
      </c>
      <c r="AZ28" s="168">
        <f>Coûts!$I$5-AG28*Coûts!$I$4</f>
        <v>3338.7000000000007</v>
      </c>
      <c r="BA28" s="6"/>
      <c r="BB28" s="37" t="s">
        <v>44</v>
      </c>
      <c r="BC28" s="38">
        <v>1</v>
      </c>
      <c r="BD28" s="39">
        <v>1</v>
      </c>
      <c r="BE28" s="39">
        <v>38</v>
      </c>
      <c r="BF28" s="39">
        <v>38</v>
      </c>
      <c r="BG28" s="39" t="s">
        <v>87</v>
      </c>
      <c r="BH28" s="39">
        <v>38</v>
      </c>
      <c r="BI28" s="41">
        <v>38</v>
      </c>
      <c r="DD28" s="37" t="s">
        <v>35</v>
      </c>
      <c r="DE28" s="38">
        <v>1</v>
      </c>
      <c r="DF28" s="39">
        <v>1</v>
      </c>
      <c r="DG28" s="39">
        <v>3</v>
      </c>
      <c r="DH28" s="39">
        <v>3</v>
      </c>
      <c r="DI28" s="39" t="s">
        <v>87</v>
      </c>
      <c r="DJ28" s="39">
        <v>3</v>
      </c>
      <c r="DK28" s="41">
        <v>3</v>
      </c>
      <c r="DM28" s="37" t="s">
        <v>49</v>
      </c>
      <c r="DN28" s="38">
        <v>1</v>
      </c>
      <c r="DO28" s="39">
        <v>1</v>
      </c>
      <c r="DP28" s="39">
        <v>4</v>
      </c>
      <c r="DQ28" s="39">
        <v>4</v>
      </c>
      <c r="DR28" s="39" t="s">
        <v>87</v>
      </c>
      <c r="DS28" s="39">
        <v>4</v>
      </c>
      <c r="DT28" s="41">
        <v>4</v>
      </c>
    </row>
    <row r="29" spans="1:124" x14ac:dyDescent="0.2">
      <c r="A29" s="50" t="s">
        <v>102</v>
      </c>
      <c r="B29" s="146" t="s">
        <v>31</v>
      </c>
      <c r="C29" s="209">
        <v>1</v>
      </c>
      <c r="D29" s="38">
        <f t="shared" si="29"/>
        <v>0</v>
      </c>
      <c r="E29" s="38">
        <f t="shared" si="30"/>
        <v>1</v>
      </c>
      <c r="F29" s="215">
        <v>1</v>
      </c>
      <c r="G29" s="216">
        <v>34</v>
      </c>
      <c r="H29" s="217" t="s">
        <v>87</v>
      </c>
      <c r="I29" s="218" t="str">
        <f t="shared" si="0"/>
        <v/>
      </c>
      <c r="J29" s="218" t="str">
        <f t="shared" si="1"/>
        <v/>
      </c>
      <c r="K29" s="219" t="str">
        <f t="shared" si="2"/>
        <v/>
      </c>
      <c r="L29" s="218" t="str">
        <f t="shared" si="3"/>
        <v/>
      </c>
      <c r="M29" s="218" t="str">
        <f t="shared" si="4"/>
        <v/>
      </c>
      <c r="N29" s="219" t="str">
        <f t="shared" si="5"/>
        <v/>
      </c>
      <c r="O29" s="218">
        <f t="shared" si="6"/>
        <v>1</v>
      </c>
      <c r="P29" s="218">
        <f t="shared" si="7"/>
        <v>34</v>
      </c>
      <c r="Q29" s="219" t="str">
        <f t="shared" si="8"/>
        <v>.</v>
      </c>
      <c r="R29" s="218" t="str">
        <f t="shared" si="9"/>
        <v/>
      </c>
      <c r="S29" s="218" t="str">
        <f t="shared" si="10"/>
        <v/>
      </c>
      <c r="T29" s="219" t="str">
        <f t="shared" si="11"/>
        <v/>
      </c>
      <c r="U29" s="218" t="str">
        <f t="shared" si="12"/>
        <v/>
      </c>
      <c r="V29" s="218" t="str">
        <f t="shared" si="13"/>
        <v/>
      </c>
      <c r="W29" s="219" t="str">
        <f t="shared" si="14"/>
        <v/>
      </c>
      <c r="X29" s="218" t="str">
        <f t="shared" si="15"/>
        <v/>
      </c>
      <c r="Y29" s="218" t="str">
        <f t="shared" si="16"/>
        <v/>
      </c>
      <c r="Z29" s="219" t="str">
        <f t="shared" si="17"/>
        <v/>
      </c>
      <c r="AA29" s="218" t="str">
        <f t="shared" si="18"/>
        <v/>
      </c>
      <c r="AB29" s="218" t="str">
        <f t="shared" si="19"/>
        <v/>
      </c>
      <c r="AC29" s="219" t="str">
        <f t="shared" si="20"/>
        <v/>
      </c>
      <c r="AD29" s="6"/>
      <c r="AE29" s="151">
        <v>17.5</v>
      </c>
      <c r="AF29" s="5">
        <v>23.1</v>
      </c>
      <c r="AG29" s="42">
        <v>29.9</v>
      </c>
      <c r="AH29" s="176" t="str">
        <f t="shared" si="21"/>
        <v/>
      </c>
      <c r="AI29" s="177" t="str">
        <f t="shared" si="22"/>
        <v/>
      </c>
      <c r="AJ29" s="64" t="str">
        <f t="shared" si="23"/>
        <v/>
      </c>
      <c r="AK29" s="64" t="str">
        <f t="shared" si="24"/>
        <v/>
      </c>
      <c r="AL29" s="156" t="str">
        <f t="shared" si="25"/>
        <v/>
      </c>
      <c r="AO29" s="166">
        <f>VLOOKUP(B29,Coûts!$C$10:$G$57,5,FALSE)</f>
        <v>6725.45</v>
      </c>
      <c r="AP29" s="167">
        <f t="shared" si="26"/>
        <v>384.31142857142856</v>
      </c>
      <c r="AQ29" s="167">
        <f t="shared" si="27"/>
        <v>291.14502164502164</v>
      </c>
      <c r="AR29" s="168">
        <f t="shared" si="28"/>
        <v>224.9314381270903</v>
      </c>
      <c r="AS29" s="6"/>
      <c r="AT29" s="166">
        <f>Coûts!$I$5-AE29*Coûts!$I$3</f>
        <v>4295.8000000000011</v>
      </c>
      <c r="AU29" s="167">
        <f>Coûts!$I$5-AF29*Coûts!$I$3</f>
        <v>4255.0320000000011</v>
      </c>
      <c r="AV29" s="168">
        <f>Coûts!$I$5-AG29*Coûts!$I$3</f>
        <v>4205.5280000000012</v>
      </c>
      <c r="AW29" s="6"/>
      <c r="AX29" s="166">
        <f>Coûts!$I$5-AE29*Coûts!$I$4</f>
        <v>3635.7000000000007</v>
      </c>
      <c r="AY29" s="167">
        <f>Coûts!$I$5-AF29*Coûts!$I$4</f>
        <v>3383.7000000000007</v>
      </c>
      <c r="AZ29" s="168">
        <f>Coûts!$I$5-AG29*Coûts!$I$4</f>
        <v>3077.7000000000007</v>
      </c>
      <c r="BA29" s="6"/>
      <c r="BB29" s="37" t="s">
        <v>31</v>
      </c>
      <c r="BC29" s="38">
        <v>1</v>
      </c>
      <c r="BD29" s="39">
        <v>1</v>
      </c>
      <c r="BE29" s="39">
        <v>34</v>
      </c>
      <c r="BF29" s="39">
        <v>34</v>
      </c>
      <c r="BG29" s="39" t="s">
        <v>87</v>
      </c>
      <c r="BH29" s="39">
        <v>34</v>
      </c>
      <c r="BI29" s="41">
        <v>34</v>
      </c>
      <c r="DD29" s="37" t="s">
        <v>13</v>
      </c>
      <c r="DE29" s="38">
        <v>1</v>
      </c>
      <c r="DF29" s="39">
        <v>1</v>
      </c>
      <c r="DG29" s="39">
        <v>8</v>
      </c>
      <c r="DH29" s="39">
        <v>8</v>
      </c>
      <c r="DI29" s="39" t="s">
        <v>87</v>
      </c>
      <c r="DJ29" s="39">
        <v>8</v>
      </c>
      <c r="DK29" s="41">
        <v>8</v>
      </c>
      <c r="DM29" s="37" t="s">
        <v>26</v>
      </c>
      <c r="DN29" s="38">
        <v>1</v>
      </c>
      <c r="DO29" s="39">
        <v>1</v>
      </c>
      <c r="DP29" s="39">
        <v>33</v>
      </c>
      <c r="DQ29" s="39">
        <v>33</v>
      </c>
      <c r="DR29" s="39" t="s">
        <v>87</v>
      </c>
      <c r="DS29" s="39">
        <v>33</v>
      </c>
      <c r="DT29" s="41">
        <v>33</v>
      </c>
    </row>
    <row r="30" spans="1:124" x14ac:dyDescent="0.2">
      <c r="A30" s="50" t="s">
        <v>86</v>
      </c>
      <c r="B30" s="146" t="s">
        <v>46</v>
      </c>
      <c r="C30" s="209">
        <v>0</v>
      </c>
      <c r="D30" s="38">
        <f t="shared" si="29"/>
        <v>1</v>
      </c>
      <c r="E30" s="38">
        <f t="shared" si="30"/>
        <v>0</v>
      </c>
      <c r="F30" s="215">
        <v>1</v>
      </c>
      <c r="G30" s="216">
        <v>13</v>
      </c>
      <c r="H30" s="217" t="s">
        <v>87</v>
      </c>
      <c r="I30" s="218">
        <f t="shared" si="0"/>
        <v>1</v>
      </c>
      <c r="J30" s="218">
        <f t="shared" si="1"/>
        <v>13</v>
      </c>
      <c r="K30" s="219" t="str">
        <f t="shared" si="2"/>
        <v>.</v>
      </c>
      <c r="L30" s="218">
        <f t="shared" si="3"/>
        <v>1</v>
      </c>
      <c r="M30" s="218">
        <f t="shared" si="4"/>
        <v>13</v>
      </c>
      <c r="N30" s="219" t="str">
        <f t="shared" si="5"/>
        <v>.</v>
      </c>
      <c r="O30" s="218">
        <f t="shared" si="6"/>
        <v>1</v>
      </c>
      <c r="P30" s="218">
        <f t="shared" si="7"/>
        <v>13</v>
      </c>
      <c r="Q30" s="219" t="str">
        <f t="shared" si="8"/>
        <v>.</v>
      </c>
      <c r="R30" s="218">
        <f t="shared" si="9"/>
        <v>1</v>
      </c>
      <c r="S30" s="218">
        <f t="shared" si="10"/>
        <v>13</v>
      </c>
      <c r="T30" s="219" t="str">
        <f t="shared" si="11"/>
        <v>.</v>
      </c>
      <c r="U30" s="218">
        <f t="shared" si="12"/>
        <v>1</v>
      </c>
      <c r="V30" s="218">
        <f t="shared" si="13"/>
        <v>13</v>
      </c>
      <c r="W30" s="219" t="str">
        <f t="shared" si="14"/>
        <v>.</v>
      </c>
      <c r="X30" s="218">
        <f t="shared" si="15"/>
        <v>1</v>
      </c>
      <c r="Y30" s="218">
        <f t="shared" si="16"/>
        <v>13</v>
      </c>
      <c r="Z30" s="219" t="str">
        <f t="shared" si="17"/>
        <v>.</v>
      </c>
      <c r="AA30" s="218">
        <f t="shared" si="18"/>
        <v>1</v>
      </c>
      <c r="AB30" s="218">
        <f t="shared" si="19"/>
        <v>13</v>
      </c>
      <c r="AC30" s="219" t="str">
        <f t="shared" si="20"/>
        <v>.</v>
      </c>
      <c r="AD30" s="6"/>
      <c r="AE30" s="151">
        <v>13.4</v>
      </c>
      <c r="AF30" s="5">
        <v>20</v>
      </c>
      <c r="AG30" s="42">
        <v>23.4</v>
      </c>
      <c r="AH30" s="176">
        <f t="shared" si="21"/>
        <v>1</v>
      </c>
      <c r="AI30" s="177">
        <f t="shared" si="22"/>
        <v>13</v>
      </c>
      <c r="AJ30" s="64">
        <f t="shared" si="23"/>
        <v>-0.40000000000000036</v>
      </c>
      <c r="AK30" s="64">
        <f t="shared" si="24"/>
        <v>-7</v>
      </c>
      <c r="AL30" s="156">
        <f t="shared" si="25"/>
        <v>-10.399999999999999</v>
      </c>
      <c r="AO30" s="166">
        <f>VLOOKUP(B30,Coûts!$C$10:$G$57,5,FALSE)</f>
        <v>6874.8</v>
      </c>
      <c r="AP30" s="167">
        <f t="shared" si="26"/>
        <v>513.04477611940297</v>
      </c>
      <c r="AQ30" s="167">
        <f t="shared" si="27"/>
        <v>343.74</v>
      </c>
      <c r="AR30" s="168">
        <f t="shared" si="28"/>
        <v>293.79487179487182</v>
      </c>
      <c r="AS30" s="6"/>
      <c r="AT30" s="166">
        <f>Coûts!$I$5-AE30*Coûts!$I$3</f>
        <v>4325.648000000001</v>
      </c>
      <c r="AU30" s="167">
        <f>Coûts!$I$5-AF30*Coûts!$I$3</f>
        <v>4277.6000000000004</v>
      </c>
      <c r="AV30" s="168">
        <f>Coûts!$I$5-AG30*Coûts!$I$3</f>
        <v>4252.8480000000009</v>
      </c>
      <c r="AW30" s="6"/>
      <c r="AX30" s="166">
        <f>Coûts!$I$5-AE30*Coûts!$I$4</f>
        <v>3820.2000000000007</v>
      </c>
      <c r="AY30" s="167">
        <f>Coûts!$I$5-AF30*Coûts!$I$4</f>
        <v>3523.2000000000007</v>
      </c>
      <c r="AZ30" s="168">
        <f>Coûts!$I$5-AG30*Coûts!$I$4</f>
        <v>3370.2000000000007</v>
      </c>
      <c r="BA30" s="6"/>
      <c r="BB30" s="37" t="s">
        <v>46</v>
      </c>
      <c r="BC30" s="38">
        <v>1</v>
      </c>
      <c r="BD30" s="39">
        <v>1</v>
      </c>
      <c r="BE30" s="39">
        <v>13</v>
      </c>
      <c r="BF30" s="39">
        <v>13</v>
      </c>
      <c r="BG30" s="39" t="s">
        <v>87</v>
      </c>
      <c r="BH30" s="39">
        <v>13</v>
      </c>
      <c r="BI30" s="41">
        <v>13</v>
      </c>
      <c r="DD30" s="142" t="s">
        <v>53</v>
      </c>
      <c r="DE30" s="143">
        <v>1</v>
      </c>
      <c r="DF30" s="144">
        <v>1</v>
      </c>
      <c r="DG30" s="144">
        <v>6</v>
      </c>
      <c r="DH30" s="144">
        <v>6</v>
      </c>
      <c r="DI30" s="144" t="s">
        <v>87</v>
      </c>
      <c r="DJ30" s="144">
        <v>6</v>
      </c>
      <c r="DK30" s="145">
        <v>6</v>
      </c>
      <c r="DM30" s="37" t="s">
        <v>47</v>
      </c>
      <c r="DN30" s="38">
        <v>1</v>
      </c>
      <c r="DO30" s="39">
        <v>1</v>
      </c>
      <c r="DP30" s="39">
        <v>9</v>
      </c>
      <c r="DQ30" s="39">
        <v>9</v>
      </c>
      <c r="DR30" s="39" t="s">
        <v>87</v>
      </c>
      <c r="DS30" s="39">
        <v>9</v>
      </c>
      <c r="DT30" s="41">
        <v>9</v>
      </c>
    </row>
    <row r="31" spans="1:124" x14ac:dyDescent="0.2">
      <c r="B31" s="146" t="s">
        <v>43</v>
      </c>
      <c r="C31" s="209">
        <v>1</v>
      </c>
      <c r="D31" s="38">
        <f t="shared" si="29"/>
        <v>1</v>
      </c>
      <c r="E31" s="38">
        <f t="shared" si="30"/>
        <v>0</v>
      </c>
      <c r="F31" s="215">
        <v>1</v>
      </c>
      <c r="G31" s="216">
        <v>11</v>
      </c>
      <c r="H31" s="217" t="s">
        <v>87</v>
      </c>
      <c r="I31" s="218" t="str">
        <f t="shared" si="0"/>
        <v/>
      </c>
      <c r="J31" s="218" t="str">
        <f t="shared" si="1"/>
        <v/>
      </c>
      <c r="K31" s="219" t="str">
        <f t="shared" si="2"/>
        <v/>
      </c>
      <c r="L31" s="218">
        <f t="shared" si="3"/>
        <v>1</v>
      </c>
      <c r="M31" s="218">
        <f t="shared" si="4"/>
        <v>11</v>
      </c>
      <c r="N31" s="219" t="str">
        <f t="shared" si="5"/>
        <v>.</v>
      </c>
      <c r="O31" s="218">
        <f t="shared" si="6"/>
        <v>1</v>
      </c>
      <c r="P31" s="218">
        <f t="shared" si="7"/>
        <v>11</v>
      </c>
      <c r="Q31" s="219" t="str">
        <f t="shared" si="8"/>
        <v>.</v>
      </c>
      <c r="R31" s="218">
        <f t="shared" si="9"/>
        <v>1</v>
      </c>
      <c r="S31" s="218">
        <f t="shared" si="10"/>
        <v>11</v>
      </c>
      <c r="T31" s="219" t="str">
        <f t="shared" si="11"/>
        <v>.</v>
      </c>
      <c r="U31" s="218" t="str">
        <f t="shared" si="12"/>
        <v/>
      </c>
      <c r="V31" s="218" t="str">
        <f t="shared" si="13"/>
        <v/>
      </c>
      <c r="W31" s="219" t="str">
        <f t="shared" si="14"/>
        <v/>
      </c>
      <c r="X31" s="218">
        <f t="shared" si="15"/>
        <v>1</v>
      </c>
      <c r="Y31" s="218">
        <f t="shared" si="16"/>
        <v>11</v>
      </c>
      <c r="Z31" s="219" t="str">
        <f t="shared" si="17"/>
        <v>.</v>
      </c>
      <c r="AA31" s="218">
        <f t="shared" si="18"/>
        <v>1</v>
      </c>
      <c r="AB31" s="218">
        <f t="shared" si="19"/>
        <v>11</v>
      </c>
      <c r="AC31" s="219" t="str">
        <f t="shared" si="20"/>
        <v>.</v>
      </c>
      <c r="AD31" s="6"/>
      <c r="AE31" s="151">
        <v>11.5</v>
      </c>
      <c r="AF31" s="5">
        <v>14.7</v>
      </c>
      <c r="AG31" s="42">
        <v>15.53</v>
      </c>
      <c r="AH31" s="176" t="str">
        <f t="shared" si="21"/>
        <v/>
      </c>
      <c r="AI31" s="177" t="str">
        <f t="shared" si="22"/>
        <v/>
      </c>
      <c r="AJ31" s="64" t="str">
        <f t="shared" si="23"/>
        <v/>
      </c>
      <c r="AK31" s="64" t="str">
        <f t="shared" si="24"/>
        <v/>
      </c>
      <c r="AL31" s="156" t="str">
        <f t="shared" si="25"/>
        <v/>
      </c>
      <c r="AO31" s="166">
        <f>VLOOKUP(B31,Coûts!$C$10:$G$57,5,FALSE)</f>
        <v>5701.26</v>
      </c>
      <c r="AP31" s="167">
        <f t="shared" si="26"/>
        <v>495.76173913043482</v>
      </c>
      <c r="AQ31" s="167">
        <f t="shared" si="27"/>
        <v>387.84081632653067</v>
      </c>
      <c r="AR31" s="168">
        <f t="shared" si="28"/>
        <v>367.11268512556347</v>
      </c>
      <c r="AS31" s="6"/>
      <c r="AT31" s="166">
        <f>Coûts!$I$5-AE31*Coûts!$I$3</f>
        <v>4339.4800000000005</v>
      </c>
      <c r="AU31" s="167">
        <f>Coûts!$I$5-AF31*Coûts!$I$3</f>
        <v>4316.1840000000011</v>
      </c>
      <c r="AV31" s="168">
        <f>Coûts!$I$5-AG31*Coûts!$I$3</f>
        <v>4310.1416000000008</v>
      </c>
      <c r="AW31" s="6"/>
      <c r="AX31" s="166">
        <f>Coûts!$I$5-AE31*Coûts!$I$4</f>
        <v>3905.7000000000007</v>
      </c>
      <c r="AY31" s="167">
        <f>Coûts!$I$5-AF31*Coûts!$I$4</f>
        <v>3761.7000000000007</v>
      </c>
      <c r="AZ31" s="168">
        <f>Coûts!$I$5-AG31*Coûts!$I$4</f>
        <v>3724.3500000000008</v>
      </c>
      <c r="BA31" s="6"/>
      <c r="BB31" s="37" t="s">
        <v>43</v>
      </c>
      <c r="BC31" s="38">
        <v>1</v>
      </c>
      <c r="BD31" s="39">
        <v>1</v>
      </c>
      <c r="BE31" s="39">
        <v>11</v>
      </c>
      <c r="BF31" s="39">
        <v>11</v>
      </c>
      <c r="BG31" s="39" t="s">
        <v>87</v>
      </c>
      <c r="BH31" s="39">
        <v>11</v>
      </c>
      <c r="BI31" s="41">
        <v>11</v>
      </c>
      <c r="DM31" s="37" t="s">
        <v>41</v>
      </c>
      <c r="DN31" s="38">
        <v>1</v>
      </c>
      <c r="DO31" s="39">
        <v>1</v>
      </c>
      <c r="DP31" s="39">
        <v>4</v>
      </c>
      <c r="DQ31" s="39">
        <v>4</v>
      </c>
      <c r="DR31" s="39" t="s">
        <v>87</v>
      </c>
      <c r="DS31" s="39">
        <v>4</v>
      </c>
      <c r="DT31" s="41">
        <v>4</v>
      </c>
    </row>
    <row r="32" spans="1:124" x14ac:dyDescent="0.2">
      <c r="A32" s="50" t="s">
        <v>86</v>
      </c>
      <c r="B32" s="146" t="s">
        <v>36</v>
      </c>
      <c r="C32" s="209">
        <v>0</v>
      </c>
      <c r="D32" s="38">
        <f t="shared" si="29"/>
        <v>1</v>
      </c>
      <c r="E32" s="38">
        <f t="shared" si="30"/>
        <v>0</v>
      </c>
      <c r="F32" s="215">
        <v>1</v>
      </c>
      <c r="G32" s="216">
        <v>8</v>
      </c>
      <c r="H32" s="217" t="s">
        <v>87</v>
      </c>
      <c r="I32" s="218">
        <f t="shared" si="0"/>
        <v>1</v>
      </c>
      <c r="J32" s="218">
        <f t="shared" si="1"/>
        <v>8</v>
      </c>
      <c r="K32" s="219" t="str">
        <f t="shared" si="2"/>
        <v>.</v>
      </c>
      <c r="L32" s="218">
        <f t="shared" si="3"/>
        <v>1</v>
      </c>
      <c r="M32" s="218">
        <f t="shared" si="4"/>
        <v>8</v>
      </c>
      <c r="N32" s="219" t="str">
        <f t="shared" si="5"/>
        <v>.</v>
      </c>
      <c r="O32" s="218">
        <f t="shared" si="6"/>
        <v>1</v>
      </c>
      <c r="P32" s="218">
        <f t="shared" si="7"/>
        <v>8</v>
      </c>
      <c r="Q32" s="219" t="str">
        <f t="shared" si="8"/>
        <v>.</v>
      </c>
      <c r="R32" s="218" t="str">
        <f t="shared" si="9"/>
        <v/>
      </c>
      <c r="S32" s="218" t="str">
        <f t="shared" si="10"/>
        <v/>
      </c>
      <c r="T32" s="219" t="str">
        <f t="shared" si="11"/>
        <v/>
      </c>
      <c r="U32" s="218" t="str">
        <f t="shared" si="12"/>
        <v/>
      </c>
      <c r="V32" s="218" t="str">
        <f t="shared" si="13"/>
        <v/>
      </c>
      <c r="W32" s="219" t="str">
        <f t="shared" si="14"/>
        <v/>
      </c>
      <c r="X32" s="218" t="str">
        <f t="shared" si="15"/>
        <v/>
      </c>
      <c r="Y32" s="218" t="str">
        <f t="shared" si="16"/>
        <v/>
      </c>
      <c r="Z32" s="219" t="str">
        <f t="shared" si="17"/>
        <v/>
      </c>
      <c r="AA32" s="218" t="str">
        <f t="shared" si="18"/>
        <v/>
      </c>
      <c r="AB32" s="218" t="str">
        <f t="shared" si="19"/>
        <v/>
      </c>
      <c r="AC32" s="219" t="str">
        <f t="shared" si="20"/>
        <v/>
      </c>
      <c r="AD32" s="6"/>
      <c r="AE32" s="151">
        <v>0</v>
      </c>
      <c r="AF32" s="5"/>
      <c r="AG32" s="42"/>
      <c r="AH32" s="176" t="str">
        <f t="shared" si="21"/>
        <v/>
      </c>
      <c r="AI32" s="177" t="str">
        <f t="shared" si="22"/>
        <v/>
      </c>
      <c r="AJ32" s="64" t="str">
        <f t="shared" si="23"/>
        <v/>
      </c>
      <c r="AK32" s="64" t="str">
        <f t="shared" si="24"/>
        <v/>
      </c>
      <c r="AL32" s="156" t="str">
        <f t="shared" si="25"/>
        <v/>
      </c>
      <c r="AO32" s="166">
        <f>VLOOKUP(B32,Coûts!$C$10:$G$57,5,FALSE)</f>
        <v>6761.14</v>
      </c>
      <c r="AP32" s="167" t="str">
        <f t="shared" si="26"/>
        <v/>
      </c>
      <c r="AQ32" s="167" t="str">
        <f t="shared" si="27"/>
        <v/>
      </c>
      <c r="AR32" s="168" t="str">
        <f t="shared" si="28"/>
        <v/>
      </c>
      <c r="AS32" s="6"/>
      <c r="AT32" s="166">
        <f>Coûts!$I$5-AE32*Coûts!$I$3</f>
        <v>4423.2000000000007</v>
      </c>
      <c r="AU32" s="167">
        <f>Coûts!$I$5-AF32*Coûts!$I$3</f>
        <v>4423.2000000000007</v>
      </c>
      <c r="AV32" s="168">
        <f>Coûts!$I$5-AG32*Coûts!$I$3</f>
        <v>4423.2000000000007</v>
      </c>
      <c r="AW32" s="6"/>
      <c r="AX32" s="166">
        <f>Coûts!$I$5-AE32*Coûts!$I$4</f>
        <v>4423.2000000000007</v>
      </c>
      <c r="AY32" s="167">
        <f>Coûts!$I$5-AF32*Coûts!$I$4</f>
        <v>4423.2000000000007</v>
      </c>
      <c r="AZ32" s="168">
        <f>Coûts!$I$5-AG32*Coûts!$I$4</f>
        <v>4423.2000000000007</v>
      </c>
      <c r="BA32" s="6"/>
      <c r="BB32" s="37" t="s">
        <v>36</v>
      </c>
      <c r="BC32" s="38">
        <v>1</v>
      </c>
      <c r="BD32" s="39">
        <v>1</v>
      </c>
      <c r="BE32" s="39">
        <v>8</v>
      </c>
      <c r="BF32" s="39">
        <v>8</v>
      </c>
      <c r="BG32" s="39" t="s">
        <v>87</v>
      </c>
      <c r="BH32" s="39">
        <v>8</v>
      </c>
      <c r="BI32" s="41">
        <v>8</v>
      </c>
      <c r="DM32" s="37" t="s">
        <v>52</v>
      </c>
      <c r="DN32" s="38">
        <v>1</v>
      </c>
      <c r="DO32" s="39">
        <v>1</v>
      </c>
      <c r="DP32" s="39">
        <v>5</v>
      </c>
      <c r="DQ32" s="39">
        <v>5</v>
      </c>
      <c r="DR32" s="39" t="s">
        <v>87</v>
      </c>
      <c r="DS32" s="39">
        <v>5</v>
      </c>
      <c r="DT32" s="41">
        <v>5</v>
      </c>
    </row>
    <row r="33" spans="1:124" x14ac:dyDescent="0.2">
      <c r="A33" s="50" t="s">
        <v>100</v>
      </c>
      <c r="B33" s="146" t="s">
        <v>29</v>
      </c>
      <c r="C33" s="209">
        <v>1</v>
      </c>
      <c r="D33" s="38">
        <f t="shared" si="29"/>
        <v>0</v>
      </c>
      <c r="E33" s="38">
        <f t="shared" si="30"/>
        <v>1</v>
      </c>
      <c r="F33" s="215">
        <v>1</v>
      </c>
      <c r="G33" s="216">
        <v>18</v>
      </c>
      <c r="H33" s="217" t="s">
        <v>87</v>
      </c>
      <c r="I33" s="218" t="str">
        <f t="shared" si="0"/>
        <v/>
      </c>
      <c r="J33" s="218" t="str">
        <f t="shared" si="1"/>
        <v/>
      </c>
      <c r="K33" s="219" t="str">
        <f t="shared" si="2"/>
        <v/>
      </c>
      <c r="L33" s="218" t="str">
        <f t="shared" si="3"/>
        <v/>
      </c>
      <c r="M33" s="218" t="str">
        <f t="shared" si="4"/>
        <v/>
      </c>
      <c r="N33" s="219" t="str">
        <f t="shared" si="5"/>
        <v/>
      </c>
      <c r="O33" s="218">
        <f t="shared" si="6"/>
        <v>1</v>
      </c>
      <c r="P33" s="218">
        <f t="shared" si="7"/>
        <v>18</v>
      </c>
      <c r="Q33" s="219" t="str">
        <f t="shared" si="8"/>
        <v>.</v>
      </c>
      <c r="R33" s="218" t="str">
        <f t="shared" si="9"/>
        <v/>
      </c>
      <c r="S33" s="218" t="str">
        <f t="shared" si="10"/>
        <v/>
      </c>
      <c r="T33" s="219" t="str">
        <f t="shared" si="11"/>
        <v/>
      </c>
      <c r="U33" s="218" t="str">
        <f t="shared" si="12"/>
        <v/>
      </c>
      <c r="V33" s="218" t="str">
        <f t="shared" si="13"/>
        <v/>
      </c>
      <c r="W33" s="219" t="str">
        <f t="shared" si="14"/>
        <v/>
      </c>
      <c r="X33" s="218" t="str">
        <f t="shared" si="15"/>
        <v/>
      </c>
      <c r="Y33" s="218" t="str">
        <f t="shared" si="16"/>
        <v/>
      </c>
      <c r="Z33" s="219" t="str">
        <f t="shared" si="17"/>
        <v/>
      </c>
      <c r="AA33" s="218" t="str">
        <f t="shared" si="18"/>
        <v/>
      </c>
      <c r="AB33" s="218" t="str">
        <f t="shared" si="19"/>
        <v/>
      </c>
      <c r="AC33" s="219" t="str">
        <f t="shared" si="20"/>
        <v/>
      </c>
      <c r="AD33" s="6"/>
      <c r="AE33" s="151">
        <v>16.8</v>
      </c>
      <c r="AF33" s="5">
        <v>28.8</v>
      </c>
      <c r="AG33" s="42">
        <v>32.200000000000003</v>
      </c>
      <c r="AH33" s="176" t="str">
        <f t="shared" si="21"/>
        <v/>
      </c>
      <c r="AI33" s="177" t="str">
        <f t="shared" si="22"/>
        <v/>
      </c>
      <c r="AJ33" s="64" t="str">
        <f t="shared" si="23"/>
        <v/>
      </c>
      <c r="AK33" s="64" t="str">
        <f t="shared" si="24"/>
        <v/>
      </c>
      <c r="AL33" s="156" t="str">
        <f t="shared" si="25"/>
        <v/>
      </c>
      <c r="AO33" s="166">
        <f>VLOOKUP(B33,Coûts!$C$10:$G$57,5,FALSE)</f>
        <v>6466.79</v>
      </c>
      <c r="AP33" s="167">
        <f t="shared" si="26"/>
        <v>384.92797619047616</v>
      </c>
      <c r="AQ33" s="167">
        <f t="shared" si="27"/>
        <v>224.54131944444444</v>
      </c>
      <c r="AR33" s="168">
        <f t="shared" si="28"/>
        <v>200.83198757763972</v>
      </c>
      <c r="AS33" s="6"/>
      <c r="AT33" s="166">
        <f>Coûts!$I$5-AE33*Coûts!$I$3</f>
        <v>4300.8960000000006</v>
      </c>
      <c r="AU33" s="167">
        <f>Coûts!$I$5-AF33*Coûts!$I$3</f>
        <v>4213.536000000001</v>
      </c>
      <c r="AV33" s="168">
        <f>Coûts!$I$5-AG33*Coûts!$I$3</f>
        <v>4188.7840000000006</v>
      </c>
      <c r="AW33" s="6"/>
      <c r="AX33" s="166">
        <f>Coûts!$I$5-AE33*Coûts!$I$4</f>
        <v>3667.2000000000007</v>
      </c>
      <c r="AY33" s="167">
        <f>Coûts!$I$5-AF33*Coûts!$I$4</f>
        <v>3127.2000000000007</v>
      </c>
      <c r="AZ33" s="168">
        <f>Coûts!$I$5-AG33*Coûts!$I$4</f>
        <v>2974.2000000000007</v>
      </c>
      <c r="BA33" s="6"/>
      <c r="BB33" s="37" t="s">
        <v>29</v>
      </c>
      <c r="BC33" s="38">
        <v>1</v>
      </c>
      <c r="BD33" s="39">
        <v>1</v>
      </c>
      <c r="BE33" s="39">
        <v>18</v>
      </c>
      <c r="BF33" s="39">
        <v>18</v>
      </c>
      <c r="BG33" s="39" t="s">
        <v>87</v>
      </c>
      <c r="BH33" s="39">
        <v>18</v>
      </c>
      <c r="BI33" s="41">
        <v>18</v>
      </c>
      <c r="DM33" s="37" t="s">
        <v>32</v>
      </c>
      <c r="DN33" s="38">
        <v>1</v>
      </c>
      <c r="DO33" s="39">
        <v>1</v>
      </c>
      <c r="DP33" s="39">
        <v>11</v>
      </c>
      <c r="DQ33" s="39">
        <v>11</v>
      </c>
      <c r="DR33" s="39" t="s">
        <v>87</v>
      </c>
      <c r="DS33" s="39">
        <v>11</v>
      </c>
      <c r="DT33" s="41">
        <v>11</v>
      </c>
    </row>
    <row r="34" spans="1:124" x14ac:dyDescent="0.2">
      <c r="A34" s="50" t="s">
        <v>86</v>
      </c>
      <c r="B34" s="146" t="s">
        <v>49</v>
      </c>
      <c r="C34" s="209">
        <v>0</v>
      </c>
      <c r="D34" s="38">
        <f t="shared" si="29"/>
        <v>1</v>
      </c>
      <c r="E34" s="38">
        <f t="shared" si="30"/>
        <v>0</v>
      </c>
      <c r="F34" s="215">
        <v>1</v>
      </c>
      <c r="G34" s="216">
        <v>4</v>
      </c>
      <c r="H34" s="217" t="s">
        <v>87</v>
      </c>
      <c r="I34" s="218">
        <f t="shared" si="0"/>
        <v>1</v>
      </c>
      <c r="J34" s="218">
        <f t="shared" si="1"/>
        <v>4</v>
      </c>
      <c r="K34" s="219" t="str">
        <f t="shared" si="2"/>
        <v>.</v>
      </c>
      <c r="L34" s="218">
        <f t="shared" si="3"/>
        <v>1</v>
      </c>
      <c r="M34" s="218">
        <f t="shared" si="4"/>
        <v>4</v>
      </c>
      <c r="N34" s="219" t="str">
        <f t="shared" si="5"/>
        <v>.</v>
      </c>
      <c r="O34" s="218">
        <f t="shared" si="6"/>
        <v>1</v>
      </c>
      <c r="P34" s="218">
        <f t="shared" si="7"/>
        <v>4</v>
      </c>
      <c r="Q34" s="219" t="str">
        <f t="shared" si="8"/>
        <v>.</v>
      </c>
      <c r="R34" s="218" t="str">
        <f t="shared" si="9"/>
        <v/>
      </c>
      <c r="S34" s="218" t="str">
        <f t="shared" si="10"/>
        <v/>
      </c>
      <c r="T34" s="219" t="str">
        <f t="shared" si="11"/>
        <v/>
      </c>
      <c r="U34" s="218" t="str">
        <f t="shared" si="12"/>
        <v/>
      </c>
      <c r="V34" s="218" t="str">
        <f t="shared" si="13"/>
        <v/>
      </c>
      <c r="W34" s="219" t="str">
        <f t="shared" si="14"/>
        <v/>
      </c>
      <c r="X34" s="218" t="str">
        <f t="shared" si="15"/>
        <v/>
      </c>
      <c r="Y34" s="218" t="str">
        <f t="shared" si="16"/>
        <v/>
      </c>
      <c r="Z34" s="219" t="str">
        <f t="shared" si="17"/>
        <v/>
      </c>
      <c r="AA34" s="218" t="str">
        <f t="shared" si="18"/>
        <v/>
      </c>
      <c r="AB34" s="218" t="str">
        <f t="shared" si="19"/>
        <v/>
      </c>
      <c r="AC34" s="219" t="str">
        <f t="shared" si="20"/>
        <v/>
      </c>
      <c r="AD34" s="6"/>
      <c r="AE34" s="151">
        <v>0</v>
      </c>
      <c r="AF34" s="5"/>
      <c r="AG34" s="42"/>
      <c r="AH34" s="176" t="str">
        <f t="shared" si="21"/>
        <v/>
      </c>
      <c r="AI34" s="177" t="str">
        <f t="shared" si="22"/>
        <v/>
      </c>
      <c r="AJ34" s="64" t="str">
        <f t="shared" si="23"/>
        <v/>
      </c>
      <c r="AK34" s="64" t="str">
        <f t="shared" si="24"/>
        <v/>
      </c>
      <c r="AL34" s="156" t="str">
        <f t="shared" si="25"/>
        <v/>
      </c>
      <c r="AO34" s="166">
        <f>VLOOKUP(B34,Coûts!$C$10:$G$57,5,FALSE)</f>
        <v>4013.86</v>
      </c>
      <c r="AP34" s="167" t="str">
        <f t="shared" si="26"/>
        <v/>
      </c>
      <c r="AQ34" s="167" t="str">
        <f t="shared" si="27"/>
        <v/>
      </c>
      <c r="AR34" s="168" t="str">
        <f t="shared" si="28"/>
        <v/>
      </c>
      <c r="AS34" s="6"/>
      <c r="AT34" s="166">
        <f>Coûts!$I$5-AE34*Coûts!$I$3</f>
        <v>4423.2000000000007</v>
      </c>
      <c r="AU34" s="167">
        <f>Coûts!$I$5-AF34*Coûts!$I$3</f>
        <v>4423.2000000000007</v>
      </c>
      <c r="AV34" s="168">
        <f>Coûts!$I$5-AG34*Coûts!$I$3</f>
        <v>4423.2000000000007</v>
      </c>
      <c r="AW34" s="6"/>
      <c r="AX34" s="166">
        <f>Coûts!$I$5-AE34*Coûts!$I$4</f>
        <v>4423.2000000000007</v>
      </c>
      <c r="AY34" s="167">
        <f>Coûts!$I$5-AF34*Coûts!$I$4</f>
        <v>4423.2000000000007</v>
      </c>
      <c r="AZ34" s="168">
        <f>Coûts!$I$5-AG34*Coûts!$I$4</f>
        <v>4423.2000000000007</v>
      </c>
      <c r="BA34" s="6"/>
      <c r="BB34" s="37" t="s">
        <v>49</v>
      </c>
      <c r="BC34" s="38">
        <v>1</v>
      </c>
      <c r="BD34" s="39">
        <v>1</v>
      </c>
      <c r="BE34" s="39">
        <v>4</v>
      </c>
      <c r="BF34" s="39">
        <v>4</v>
      </c>
      <c r="BG34" s="39" t="s">
        <v>87</v>
      </c>
      <c r="BH34" s="39">
        <v>4</v>
      </c>
      <c r="BI34" s="41">
        <v>4</v>
      </c>
      <c r="DM34" s="37" t="s">
        <v>19</v>
      </c>
      <c r="DN34" s="38">
        <v>1</v>
      </c>
      <c r="DO34" s="39">
        <v>1</v>
      </c>
      <c r="DP34" s="39">
        <v>34</v>
      </c>
      <c r="DQ34" s="39">
        <v>34</v>
      </c>
      <c r="DR34" s="39" t="s">
        <v>87</v>
      </c>
      <c r="DS34" s="39">
        <v>34</v>
      </c>
      <c r="DT34" s="41">
        <v>34</v>
      </c>
    </row>
    <row r="35" spans="1:124" x14ac:dyDescent="0.2">
      <c r="B35" s="146" t="s">
        <v>39</v>
      </c>
      <c r="C35" s="209">
        <v>1</v>
      </c>
      <c r="D35" s="38">
        <f t="shared" si="29"/>
        <v>0</v>
      </c>
      <c r="E35" s="38">
        <f t="shared" si="30"/>
        <v>1</v>
      </c>
      <c r="F35" s="215">
        <v>1</v>
      </c>
      <c r="G35" s="216">
        <v>90</v>
      </c>
      <c r="H35" s="217" t="s">
        <v>87</v>
      </c>
      <c r="I35" s="218" t="str">
        <f t="shared" si="0"/>
        <v/>
      </c>
      <c r="J35" s="218" t="str">
        <f t="shared" si="1"/>
        <v/>
      </c>
      <c r="K35" s="219" t="str">
        <f t="shared" si="2"/>
        <v/>
      </c>
      <c r="L35" s="218" t="str">
        <f t="shared" si="3"/>
        <v/>
      </c>
      <c r="M35" s="218" t="str">
        <f t="shared" si="4"/>
        <v/>
      </c>
      <c r="N35" s="219" t="str">
        <f t="shared" si="5"/>
        <v/>
      </c>
      <c r="O35" s="218" t="str">
        <f t="shared" si="6"/>
        <v/>
      </c>
      <c r="P35" s="218" t="str">
        <f t="shared" si="7"/>
        <v/>
      </c>
      <c r="Q35" s="219" t="str">
        <f t="shared" si="8"/>
        <v/>
      </c>
      <c r="R35" s="218" t="str">
        <f t="shared" si="9"/>
        <v/>
      </c>
      <c r="S35" s="218" t="str">
        <f t="shared" si="10"/>
        <v/>
      </c>
      <c r="T35" s="219" t="str">
        <f t="shared" si="11"/>
        <v/>
      </c>
      <c r="U35" s="218" t="str">
        <f t="shared" si="12"/>
        <v/>
      </c>
      <c r="V35" s="218" t="str">
        <f t="shared" si="13"/>
        <v/>
      </c>
      <c r="W35" s="219" t="str">
        <f t="shared" si="14"/>
        <v/>
      </c>
      <c r="X35" s="218" t="str">
        <f t="shared" si="15"/>
        <v/>
      </c>
      <c r="Y35" s="218" t="str">
        <f t="shared" si="16"/>
        <v/>
      </c>
      <c r="Z35" s="219" t="str">
        <f t="shared" si="17"/>
        <v/>
      </c>
      <c r="AA35" s="218" t="str">
        <f t="shared" si="18"/>
        <v/>
      </c>
      <c r="AB35" s="218" t="str">
        <f t="shared" si="19"/>
        <v/>
      </c>
      <c r="AC35" s="219" t="str">
        <f t="shared" si="20"/>
        <v/>
      </c>
      <c r="AD35" s="6"/>
      <c r="AE35" s="151">
        <v>17.2</v>
      </c>
      <c r="AF35" s="5">
        <v>23.42</v>
      </c>
      <c r="AG35" s="42">
        <v>23.4</v>
      </c>
      <c r="AH35" s="176" t="str">
        <f t="shared" si="21"/>
        <v/>
      </c>
      <c r="AI35" s="177" t="str">
        <f t="shared" si="22"/>
        <v/>
      </c>
      <c r="AJ35" s="64" t="str">
        <f t="shared" si="23"/>
        <v/>
      </c>
      <c r="AK35" s="64" t="str">
        <f t="shared" si="24"/>
        <v/>
      </c>
      <c r="AL35" s="156" t="str">
        <f t="shared" si="25"/>
        <v/>
      </c>
      <c r="AO35" s="166">
        <f>VLOOKUP(B35,Coûts!$C$10:$G$57,5,FALSE)</f>
        <v>7044.06</v>
      </c>
      <c r="AP35" s="167">
        <f t="shared" si="26"/>
        <v>409.53837209302327</v>
      </c>
      <c r="AQ35" s="167">
        <f t="shared" si="27"/>
        <v>300.77113578138341</v>
      </c>
      <c r="AR35" s="168">
        <f t="shared" si="28"/>
        <v>301.02820512820517</v>
      </c>
      <c r="AS35" s="6"/>
      <c r="AT35" s="166">
        <f>Coûts!$I$5-AE35*Coûts!$I$3</f>
        <v>4297.9840000000004</v>
      </c>
      <c r="AU35" s="167">
        <f>Coûts!$I$5-AF35*Coûts!$I$3</f>
        <v>4252.702400000001</v>
      </c>
      <c r="AV35" s="168">
        <f>Coûts!$I$5-AG35*Coûts!$I$3</f>
        <v>4252.8480000000009</v>
      </c>
      <c r="AW35" s="6"/>
      <c r="AX35" s="166">
        <f>Coûts!$I$5-AE35*Coûts!$I$4</f>
        <v>3649.2000000000007</v>
      </c>
      <c r="AY35" s="167">
        <f>Coûts!$I$5-AF35*Coûts!$I$4</f>
        <v>3369.3000000000006</v>
      </c>
      <c r="AZ35" s="168">
        <f>Coûts!$I$5-AG35*Coûts!$I$4</f>
        <v>3370.2000000000007</v>
      </c>
      <c r="BA35" s="6"/>
      <c r="BB35" s="37" t="s">
        <v>39</v>
      </c>
      <c r="BC35" s="38">
        <v>1</v>
      </c>
      <c r="BD35" s="39">
        <v>1</v>
      </c>
      <c r="BE35" s="39">
        <v>90</v>
      </c>
      <c r="BF35" s="39">
        <v>90</v>
      </c>
      <c r="BG35" s="39" t="s">
        <v>87</v>
      </c>
      <c r="BH35" s="39">
        <v>90</v>
      </c>
      <c r="BI35" s="41">
        <v>90</v>
      </c>
      <c r="DM35" s="37" t="s">
        <v>35</v>
      </c>
      <c r="DN35" s="38">
        <v>1</v>
      </c>
      <c r="DO35" s="39">
        <v>1</v>
      </c>
      <c r="DP35" s="39">
        <v>3</v>
      </c>
      <c r="DQ35" s="39">
        <v>3</v>
      </c>
      <c r="DR35" s="39" t="s">
        <v>87</v>
      </c>
      <c r="DS35" s="39">
        <v>3</v>
      </c>
      <c r="DT35" s="41">
        <v>3</v>
      </c>
    </row>
    <row r="36" spans="1:124" x14ac:dyDescent="0.2">
      <c r="A36" s="50" t="s">
        <v>98</v>
      </c>
      <c r="B36" s="146" t="s">
        <v>47</v>
      </c>
      <c r="C36" s="209">
        <v>0</v>
      </c>
      <c r="D36" s="38">
        <f t="shared" si="29"/>
        <v>0</v>
      </c>
      <c r="E36" s="38">
        <f t="shared" si="30"/>
        <v>0</v>
      </c>
      <c r="F36" s="215">
        <v>1</v>
      </c>
      <c r="G36" s="216">
        <v>9</v>
      </c>
      <c r="H36" s="217" t="s">
        <v>87</v>
      </c>
      <c r="I36" s="218">
        <f t="shared" si="0"/>
        <v>1</v>
      </c>
      <c r="J36" s="218">
        <f t="shared" si="1"/>
        <v>9</v>
      </c>
      <c r="K36" s="219" t="str">
        <f t="shared" si="2"/>
        <v>.</v>
      </c>
      <c r="L36" s="218">
        <f t="shared" si="3"/>
        <v>1</v>
      </c>
      <c r="M36" s="218">
        <f t="shared" si="4"/>
        <v>9</v>
      </c>
      <c r="N36" s="219" t="str">
        <f t="shared" si="5"/>
        <v>.</v>
      </c>
      <c r="O36" s="218">
        <f t="shared" si="6"/>
        <v>1</v>
      </c>
      <c r="P36" s="218">
        <f t="shared" si="7"/>
        <v>9</v>
      </c>
      <c r="Q36" s="219" t="str">
        <f t="shared" si="8"/>
        <v>.</v>
      </c>
      <c r="R36" s="218">
        <f t="shared" si="9"/>
        <v>1</v>
      </c>
      <c r="S36" s="218">
        <f t="shared" si="10"/>
        <v>9</v>
      </c>
      <c r="T36" s="219" t="str">
        <f t="shared" si="11"/>
        <v>.</v>
      </c>
      <c r="U36" s="218">
        <f t="shared" si="12"/>
        <v>1</v>
      </c>
      <c r="V36" s="218">
        <f t="shared" si="13"/>
        <v>9</v>
      </c>
      <c r="W36" s="219" t="str">
        <f t="shared" si="14"/>
        <v>.</v>
      </c>
      <c r="X36" s="218">
        <f t="shared" si="15"/>
        <v>1</v>
      </c>
      <c r="Y36" s="218">
        <f t="shared" si="16"/>
        <v>9</v>
      </c>
      <c r="Z36" s="219" t="str">
        <f t="shared" si="17"/>
        <v>.</v>
      </c>
      <c r="AA36" s="218">
        <f t="shared" si="18"/>
        <v>1</v>
      </c>
      <c r="AB36" s="218">
        <f t="shared" si="19"/>
        <v>9</v>
      </c>
      <c r="AC36" s="219" t="str">
        <f t="shared" si="20"/>
        <v>.</v>
      </c>
      <c r="AD36" s="6"/>
      <c r="AE36" s="151">
        <v>0</v>
      </c>
      <c r="AF36" s="5"/>
      <c r="AG36" s="42"/>
      <c r="AH36" s="176">
        <f t="shared" si="21"/>
        <v>1</v>
      </c>
      <c r="AI36" s="177">
        <f t="shared" si="22"/>
        <v>9</v>
      </c>
      <c r="AJ36" s="64">
        <f t="shared" si="23"/>
        <v>9</v>
      </c>
      <c r="AK36" s="64">
        <f t="shared" si="24"/>
        <v>9</v>
      </c>
      <c r="AL36" s="156">
        <f t="shared" si="25"/>
        <v>9</v>
      </c>
      <c r="AO36" s="166">
        <f>VLOOKUP(B36,Coûts!$C$10:$G$57,5,FALSE)</f>
        <v>496.61</v>
      </c>
      <c r="AP36" s="167" t="str">
        <f t="shared" si="26"/>
        <v/>
      </c>
      <c r="AQ36" s="167" t="str">
        <f t="shared" si="27"/>
        <v/>
      </c>
      <c r="AR36" s="168" t="str">
        <f t="shared" si="28"/>
        <v/>
      </c>
      <c r="AS36" s="6"/>
      <c r="AT36" s="166">
        <f>Coûts!$I$5-AE36*Coûts!$I$3</f>
        <v>4423.2000000000007</v>
      </c>
      <c r="AU36" s="167">
        <f>Coûts!$I$5-AF36*Coûts!$I$3</f>
        <v>4423.2000000000007</v>
      </c>
      <c r="AV36" s="168">
        <f>Coûts!$I$5-AG36*Coûts!$I$3</f>
        <v>4423.2000000000007</v>
      </c>
      <c r="AW36" s="6"/>
      <c r="AX36" s="166">
        <f>Coûts!$I$5-AE36*Coûts!$I$4</f>
        <v>4423.2000000000007</v>
      </c>
      <c r="AY36" s="167">
        <f>Coûts!$I$5-AF36*Coûts!$I$4</f>
        <v>4423.2000000000007</v>
      </c>
      <c r="AZ36" s="168">
        <f>Coûts!$I$5-AG36*Coûts!$I$4</f>
        <v>4423.2000000000007</v>
      </c>
      <c r="BA36" s="6"/>
      <c r="BB36" s="37" t="s">
        <v>47</v>
      </c>
      <c r="BC36" s="38">
        <v>1</v>
      </c>
      <c r="BD36" s="39">
        <v>1</v>
      </c>
      <c r="BE36" s="39">
        <v>9</v>
      </c>
      <c r="BF36" s="39">
        <v>9</v>
      </c>
      <c r="BG36" s="39" t="s">
        <v>87</v>
      </c>
      <c r="BH36" s="39">
        <v>9</v>
      </c>
      <c r="BI36" s="41">
        <v>9</v>
      </c>
      <c r="DM36" s="37" t="s">
        <v>34</v>
      </c>
      <c r="DN36" s="38">
        <v>1</v>
      </c>
      <c r="DO36" s="39">
        <v>1</v>
      </c>
      <c r="DP36" s="39">
        <v>28</v>
      </c>
      <c r="DQ36" s="39">
        <v>28</v>
      </c>
      <c r="DR36" s="39" t="s">
        <v>87</v>
      </c>
      <c r="DS36" s="39">
        <v>28</v>
      </c>
      <c r="DT36" s="41">
        <v>28</v>
      </c>
    </row>
    <row r="37" spans="1:124" x14ac:dyDescent="0.2">
      <c r="A37" s="50" t="s">
        <v>97</v>
      </c>
      <c r="B37" s="146" t="s">
        <v>41</v>
      </c>
      <c r="C37" s="209">
        <v>0</v>
      </c>
      <c r="D37" s="38">
        <f t="shared" si="29"/>
        <v>0</v>
      </c>
      <c r="E37" s="38">
        <f t="shared" si="30"/>
        <v>0</v>
      </c>
      <c r="F37" s="215">
        <v>1</v>
      </c>
      <c r="G37" s="216">
        <v>4</v>
      </c>
      <c r="H37" s="217" t="s">
        <v>87</v>
      </c>
      <c r="I37" s="218">
        <f t="shared" si="0"/>
        <v>1</v>
      </c>
      <c r="J37" s="218">
        <f t="shared" si="1"/>
        <v>4</v>
      </c>
      <c r="K37" s="219" t="str">
        <f t="shared" si="2"/>
        <v>.</v>
      </c>
      <c r="L37" s="218">
        <f t="shared" si="3"/>
        <v>1</v>
      </c>
      <c r="M37" s="218">
        <f t="shared" si="4"/>
        <v>4</v>
      </c>
      <c r="N37" s="219" t="str">
        <f t="shared" si="5"/>
        <v>.</v>
      </c>
      <c r="O37" s="218">
        <f t="shared" si="6"/>
        <v>1</v>
      </c>
      <c r="P37" s="218">
        <f t="shared" si="7"/>
        <v>4</v>
      </c>
      <c r="Q37" s="219" t="str">
        <f t="shared" si="8"/>
        <v>.</v>
      </c>
      <c r="R37" s="218" t="str">
        <f t="shared" si="9"/>
        <v/>
      </c>
      <c r="S37" s="218" t="str">
        <f t="shared" si="10"/>
        <v/>
      </c>
      <c r="T37" s="219" t="str">
        <f t="shared" si="11"/>
        <v/>
      </c>
      <c r="U37" s="218" t="str">
        <f t="shared" si="12"/>
        <v/>
      </c>
      <c r="V37" s="218" t="str">
        <f t="shared" si="13"/>
        <v/>
      </c>
      <c r="W37" s="219" t="str">
        <f t="shared" si="14"/>
        <v/>
      </c>
      <c r="X37" s="218" t="str">
        <f t="shared" si="15"/>
        <v/>
      </c>
      <c r="Y37" s="218" t="str">
        <f t="shared" si="16"/>
        <v/>
      </c>
      <c r="Z37" s="219" t="str">
        <f t="shared" si="17"/>
        <v/>
      </c>
      <c r="AA37" s="218" t="str">
        <f t="shared" si="18"/>
        <v/>
      </c>
      <c r="AB37" s="218" t="str">
        <f t="shared" si="19"/>
        <v/>
      </c>
      <c r="AC37" s="219" t="str">
        <f t="shared" si="20"/>
        <v/>
      </c>
      <c r="AD37" s="6"/>
      <c r="AE37" s="151">
        <v>4.5</v>
      </c>
      <c r="AF37" s="5">
        <v>4.5</v>
      </c>
      <c r="AG37" s="42">
        <v>4.5</v>
      </c>
      <c r="AH37" s="176" t="str">
        <f t="shared" si="21"/>
        <v/>
      </c>
      <c r="AI37" s="177" t="str">
        <f t="shared" si="22"/>
        <v/>
      </c>
      <c r="AJ37" s="64" t="str">
        <f t="shared" si="23"/>
        <v/>
      </c>
      <c r="AK37" s="64" t="str">
        <f t="shared" si="24"/>
        <v/>
      </c>
      <c r="AL37" s="156" t="str">
        <f t="shared" si="25"/>
        <v/>
      </c>
      <c r="AO37" s="166">
        <f>VLOOKUP(B37,Coûts!$C$10:$G$57,5,FALSE)</f>
        <v>3049.24</v>
      </c>
      <c r="AP37" s="167">
        <f t="shared" si="26"/>
        <v>677.60888888888883</v>
      </c>
      <c r="AQ37" s="167">
        <f t="shared" si="27"/>
        <v>677.60888888888883</v>
      </c>
      <c r="AR37" s="168">
        <f t="shared" si="28"/>
        <v>677.60888888888883</v>
      </c>
      <c r="AS37" s="6"/>
      <c r="AT37" s="166">
        <f>Coûts!$I$5-AE37*Coûts!$I$3</f>
        <v>4390.4400000000005</v>
      </c>
      <c r="AU37" s="167">
        <f>Coûts!$I$5-AF37*Coûts!$I$3</f>
        <v>4390.4400000000005</v>
      </c>
      <c r="AV37" s="168">
        <f>Coûts!$I$5-AG37*Coûts!$I$3</f>
        <v>4390.4400000000005</v>
      </c>
      <c r="AW37" s="6"/>
      <c r="AX37" s="166">
        <f>Coûts!$I$5-AE37*Coûts!$I$4</f>
        <v>4220.7000000000007</v>
      </c>
      <c r="AY37" s="167">
        <f>Coûts!$I$5-AF37*Coûts!$I$4</f>
        <v>4220.7000000000007</v>
      </c>
      <c r="AZ37" s="168">
        <f>Coûts!$I$5-AG37*Coûts!$I$4</f>
        <v>4220.7000000000007</v>
      </c>
      <c r="BA37" s="6"/>
      <c r="BB37" s="37" t="s">
        <v>41</v>
      </c>
      <c r="BC37" s="38">
        <v>1</v>
      </c>
      <c r="BD37" s="39">
        <v>1</v>
      </c>
      <c r="BE37" s="39">
        <v>4</v>
      </c>
      <c r="BF37" s="39">
        <v>4</v>
      </c>
      <c r="BG37" s="39" t="s">
        <v>87</v>
      </c>
      <c r="BH37" s="39">
        <v>4</v>
      </c>
      <c r="BI37" s="41">
        <v>4</v>
      </c>
      <c r="DM37" s="142" t="s">
        <v>53</v>
      </c>
      <c r="DN37" s="143">
        <v>1</v>
      </c>
      <c r="DO37" s="144">
        <v>1</v>
      </c>
      <c r="DP37" s="144">
        <v>6</v>
      </c>
      <c r="DQ37" s="144">
        <v>6</v>
      </c>
      <c r="DR37" s="144" t="s">
        <v>87</v>
      </c>
      <c r="DS37" s="144">
        <v>6</v>
      </c>
      <c r="DT37" s="145">
        <v>6</v>
      </c>
    </row>
    <row r="38" spans="1:124" x14ac:dyDescent="0.2">
      <c r="A38" s="50" t="s">
        <v>98</v>
      </c>
      <c r="B38" s="146" t="s">
        <v>45</v>
      </c>
      <c r="C38" s="209">
        <v>0</v>
      </c>
      <c r="D38" s="38">
        <f t="shared" si="29"/>
        <v>0</v>
      </c>
      <c r="E38" s="38">
        <f t="shared" si="30"/>
        <v>0</v>
      </c>
      <c r="F38" s="215">
        <v>1</v>
      </c>
      <c r="G38" s="216">
        <v>31</v>
      </c>
      <c r="H38" s="217" t="s">
        <v>87</v>
      </c>
      <c r="I38" s="218" t="str">
        <f t="shared" si="0"/>
        <v/>
      </c>
      <c r="J38" s="218" t="str">
        <f t="shared" si="1"/>
        <v/>
      </c>
      <c r="K38" s="219" t="str">
        <f t="shared" si="2"/>
        <v/>
      </c>
      <c r="L38" s="218" t="str">
        <f t="shared" si="3"/>
        <v/>
      </c>
      <c r="M38" s="218" t="str">
        <f t="shared" si="4"/>
        <v/>
      </c>
      <c r="N38" s="219" t="str">
        <f t="shared" si="5"/>
        <v/>
      </c>
      <c r="O38" s="218" t="str">
        <f t="shared" si="6"/>
        <v/>
      </c>
      <c r="P38" s="218" t="str">
        <f t="shared" si="7"/>
        <v/>
      </c>
      <c r="Q38" s="219" t="str">
        <f t="shared" si="8"/>
        <v/>
      </c>
      <c r="R38" s="218" t="str">
        <f t="shared" si="9"/>
        <v/>
      </c>
      <c r="S38" s="218" t="str">
        <f t="shared" si="10"/>
        <v/>
      </c>
      <c r="T38" s="219" t="str">
        <f t="shared" si="11"/>
        <v/>
      </c>
      <c r="U38" s="218" t="str">
        <f t="shared" si="12"/>
        <v/>
      </c>
      <c r="V38" s="218" t="str">
        <f t="shared" si="13"/>
        <v/>
      </c>
      <c r="W38" s="219" t="str">
        <f t="shared" si="14"/>
        <v/>
      </c>
      <c r="X38" s="218" t="str">
        <f t="shared" si="15"/>
        <v/>
      </c>
      <c r="Y38" s="218" t="str">
        <f t="shared" si="16"/>
        <v/>
      </c>
      <c r="Z38" s="219" t="str">
        <f t="shared" si="17"/>
        <v/>
      </c>
      <c r="AA38" s="218" t="str">
        <f t="shared" si="18"/>
        <v/>
      </c>
      <c r="AB38" s="218" t="str">
        <f t="shared" si="19"/>
        <v/>
      </c>
      <c r="AC38" s="219" t="str">
        <f t="shared" si="20"/>
        <v/>
      </c>
      <c r="AD38" s="6"/>
      <c r="AE38" s="151">
        <v>0</v>
      </c>
      <c r="AF38" s="5"/>
      <c r="AG38" s="42"/>
      <c r="AH38" s="176" t="str">
        <f t="shared" si="21"/>
        <v/>
      </c>
      <c r="AI38" s="177" t="str">
        <f t="shared" si="22"/>
        <v/>
      </c>
      <c r="AJ38" s="64" t="str">
        <f t="shared" si="23"/>
        <v/>
      </c>
      <c r="AK38" s="64" t="str">
        <f t="shared" si="24"/>
        <v/>
      </c>
      <c r="AL38" s="156" t="str">
        <f t="shared" si="25"/>
        <v/>
      </c>
      <c r="AO38" s="166">
        <f>VLOOKUP(B38,Coûts!$C$10:$G$57,5,FALSE)</f>
        <v>640.97</v>
      </c>
      <c r="AP38" s="167" t="str">
        <f t="shared" si="26"/>
        <v/>
      </c>
      <c r="AQ38" s="167" t="str">
        <f t="shared" si="27"/>
        <v/>
      </c>
      <c r="AR38" s="168" t="str">
        <f t="shared" si="28"/>
        <v/>
      </c>
      <c r="AS38" s="6"/>
      <c r="AT38" s="166">
        <f>Coûts!$I$5-AE38*Coûts!$I$3</f>
        <v>4423.2000000000007</v>
      </c>
      <c r="AU38" s="167">
        <f>Coûts!$I$5-AF38*Coûts!$I$3</f>
        <v>4423.2000000000007</v>
      </c>
      <c r="AV38" s="168">
        <f>Coûts!$I$5-AG38*Coûts!$I$3</f>
        <v>4423.2000000000007</v>
      </c>
      <c r="AW38" s="6"/>
      <c r="AX38" s="166">
        <f>Coûts!$I$5-AE38*Coûts!$I$4</f>
        <v>4423.2000000000007</v>
      </c>
      <c r="AY38" s="167">
        <f>Coûts!$I$5-AF38*Coûts!$I$4</f>
        <v>4423.2000000000007</v>
      </c>
      <c r="AZ38" s="168">
        <f>Coûts!$I$5-AG38*Coûts!$I$4</f>
        <v>4423.2000000000007</v>
      </c>
      <c r="BA38" s="6"/>
      <c r="BB38" s="37" t="s">
        <v>45</v>
      </c>
      <c r="BC38" s="38">
        <v>1</v>
      </c>
      <c r="BD38" s="39">
        <v>1</v>
      </c>
      <c r="BE38" s="39">
        <v>31</v>
      </c>
      <c r="BF38" s="39">
        <v>31</v>
      </c>
      <c r="BG38" s="39" t="s">
        <v>87</v>
      </c>
      <c r="BH38" s="39">
        <v>31</v>
      </c>
      <c r="BI38" s="41">
        <v>31</v>
      </c>
    </row>
    <row r="39" spans="1:124" x14ac:dyDescent="0.2">
      <c r="A39" s="50" t="s">
        <v>101</v>
      </c>
      <c r="B39" s="146" t="s">
        <v>52</v>
      </c>
      <c r="C39" s="209">
        <v>1</v>
      </c>
      <c r="D39" s="38">
        <f t="shared" si="29"/>
        <v>1</v>
      </c>
      <c r="E39" s="38">
        <f t="shared" si="30"/>
        <v>0</v>
      </c>
      <c r="F39" s="215">
        <v>1</v>
      </c>
      <c r="G39" s="216">
        <v>5</v>
      </c>
      <c r="H39" s="217" t="s">
        <v>87</v>
      </c>
      <c r="I39" s="218">
        <f t="shared" si="0"/>
        <v>1</v>
      </c>
      <c r="J39" s="218">
        <f t="shared" si="1"/>
        <v>5</v>
      </c>
      <c r="K39" s="219" t="str">
        <f t="shared" si="2"/>
        <v>.</v>
      </c>
      <c r="L39" s="218">
        <f t="shared" si="3"/>
        <v>1</v>
      </c>
      <c r="M39" s="218">
        <f t="shared" si="4"/>
        <v>5</v>
      </c>
      <c r="N39" s="219" t="str">
        <f t="shared" si="5"/>
        <v>.</v>
      </c>
      <c r="O39" s="218">
        <f t="shared" si="6"/>
        <v>1</v>
      </c>
      <c r="P39" s="218">
        <f t="shared" si="7"/>
        <v>5</v>
      </c>
      <c r="Q39" s="219" t="str">
        <f t="shared" si="8"/>
        <v>.</v>
      </c>
      <c r="R39" s="218" t="str">
        <f t="shared" si="9"/>
        <v/>
      </c>
      <c r="S39" s="218" t="str">
        <f t="shared" si="10"/>
        <v/>
      </c>
      <c r="T39" s="219" t="str">
        <f t="shared" si="11"/>
        <v/>
      </c>
      <c r="U39" s="218" t="str">
        <f t="shared" si="12"/>
        <v/>
      </c>
      <c r="V39" s="218" t="str">
        <f t="shared" si="13"/>
        <v/>
      </c>
      <c r="W39" s="219" t="str">
        <f t="shared" si="14"/>
        <v/>
      </c>
      <c r="X39" s="218" t="str">
        <f t="shared" si="15"/>
        <v/>
      </c>
      <c r="Y39" s="218" t="str">
        <f t="shared" si="16"/>
        <v/>
      </c>
      <c r="Z39" s="219" t="str">
        <f t="shared" si="17"/>
        <v/>
      </c>
      <c r="AA39" s="218" t="str">
        <f t="shared" si="18"/>
        <v/>
      </c>
      <c r="AB39" s="218" t="str">
        <f t="shared" si="19"/>
        <v/>
      </c>
      <c r="AC39" s="219" t="str">
        <f t="shared" si="20"/>
        <v/>
      </c>
      <c r="AD39" s="6"/>
      <c r="AE39" s="151">
        <v>13.6</v>
      </c>
      <c r="AF39" s="5">
        <v>17.7</v>
      </c>
      <c r="AG39" s="42">
        <v>20.8</v>
      </c>
      <c r="AH39" s="176" t="str">
        <f t="shared" si="21"/>
        <v/>
      </c>
      <c r="AI39" s="177" t="str">
        <f t="shared" si="22"/>
        <v/>
      </c>
      <c r="AJ39" s="64" t="str">
        <f t="shared" si="23"/>
        <v/>
      </c>
      <c r="AK39" s="64" t="str">
        <f t="shared" si="24"/>
        <v/>
      </c>
      <c r="AL39" s="156" t="str">
        <f t="shared" si="25"/>
        <v/>
      </c>
      <c r="AO39" s="166">
        <f>VLOOKUP(B39,Coûts!$C$10:$G$57,5,FALSE)</f>
        <v>7016.11</v>
      </c>
      <c r="AP39" s="167">
        <f t="shared" si="26"/>
        <v>515.89044117647063</v>
      </c>
      <c r="AQ39" s="167">
        <f t="shared" si="27"/>
        <v>396.390395480226</v>
      </c>
      <c r="AR39" s="168">
        <f t="shared" si="28"/>
        <v>337.31298076923076</v>
      </c>
      <c r="AS39" s="6"/>
      <c r="AT39" s="166">
        <f>Coûts!$I$5-AE39*Coûts!$I$3</f>
        <v>4324.1920000000009</v>
      </c>
      <c r="AU39" s="167">
        <f>Coûts!$I$5-AF39*Coûts!$I$3</f>
        <v>4294.344000000001</v>
      </c>
      <c r="AV39" s="168">
        <f>Coûts!$I$5-AG39*Coûts!$I$3</f>
        <v>4271.7760000000007</v>
      </c>
      <c r="AW39" s="6"/>
      <c r="AX39" s="166">
        <f>Coûts!$I$5-AE39*Coûts!$I$4</f>
        <v>3811.2000000000007</v>
      </c>
      <c r="AY39" s="167">
        <f>Coûts!$I$5-AF39*Coûts!$I$4</f>
        <v>3626.7000000000007</v>
      </c>
      <c r="AZ39" s="168">
        <f>Coûts!$I$5-AG39*Coûts!$I$4</f>
        <v>3487.2000000000007</v>
      </c>
      <c r="BA39" s="6"/>
      <c r="BB39" s="37" t="s">
        <v>52</v>
      </c>
      <c r="BC39" s="38">
        <v>1</v>
      </c>
      <c r="BD39" s="39">
        <v>1</v>
      </c>
      <c r="BE39" s="39">
        <v>5</v>
      </c>
      <c r="BF39" s="39">
        <v>5</v>
      </c>
      <c r="BG39" s="39" t="s">
        <v>87</v>
      </c>
      <c r="BH39" s="39">
        <v>5</v>
      </c>
      <c r="BI39" s="41">
        <v>5</v>
      </c>
    </row>
    <row r="40" spans="1:124" x14ac:dyDescent="0.2">
      <c r="B40" s="146" t="s">
        <v>37</v>
      </c>
      <c r="C40" s="209">
        <v>1</v>
      </c>
      <c r="D40" s="38">
        <f t="shared" si="29"/>
        <v>0</v>
      </c>
      <c r="E40" s="38">
        <f t="shared" si="30"/>
        <v>1</v>
      </c>
      <c r="F40" s="215">
        <v>1</v>
      </c>
      <c r="G40" s="216">
        <v>101</v>
      </c>
      <c r="H40" s="217" t="s">
        <v>87</v>
      </c>
      <c r="I40" s="218" t="str">
        <f t="shared" si="0"/>
        <v/>
      </c>
      <c r="J40" s="218" t="str">
        <f t="shared" si="1"/>
        <v/>
      </c>
      <c r="K40" s="219" t="str">
        <f t="shared" si="2"/>
        <v/>
      </c>
      <c r="L40" s="218" t="str">
        <f t="shared" si="3"/>
        <v/>
      </c>
      <c r="M40" s="218" t="str">
        <f t="shared" si="4"/>
        <v/>
      </c>
      <c r="N40" s="219" t="str">
        <f t="shared" si="5"/>
        <v/>
      </c>
      <c r="O40" s="218" t="str">
        <f t="shared" si="6"/>
        <v/>
      </c>
      <c r="P40" s="218" t="str">
        <f t="shared" si="7"/>
        <v/>
      </c>
      <c r="Q40" s="219" t="str">
        <f t="shared" si="8"/>
        <v/>
      </c>
      <c r="R40" s="218">
        <f t="shared" si="9"/>
        <v>1</v>
      </c>
      <c r="S40" s="218">
        <f t="shared" si="10"/>
        <v>101</v>
      </c>
      <c r="T40" s="219" t="str">
        <f t="shared" si="11"/>
        <v>.</v>
      </c>
      <c r="U40" s="218" t="str">
        <f t="shared" si="12"/>
        <v/>
      </c>
      <c r="V40" s="218" t="str">
        <f t="shared" si="13"/>
        <v/>
      </c>
      <c r="W40" s="219" t="str">
        <f t="shared" si="14"/>
        <v/>
      </c>
      <c r="X40" s="218" t="str">
        <f t="shared" si="15"/>
        <v/>
      </c>
      <c r="Y40" s="218" t="str">
        <f t="shared" si="16"/>
        <v/>
      </c>
      <c r="Z40" s="219" t="str">
        <f t="shared" si="17"/>
        <v/>
      </c>
      <c r="AA40" s="218" t="str">
        <f t="shared" si="18"/>
        <v/>
      </c>
      <c r="AB40" s="218" t="str">
        <f t="shared" si="19"/>
        <v/>
      </c>
      <c r="AC40" s="219" t="str">
        <f t="shared" si="20"/>
        <v/>
      </c>
      <c r="AD40" s="6"/>
      <c r="AE40" s="151">
        <v>18.3</v>
      </c>
      <c r="AF40" s="5">
        <v>31.54</v>
      </c>
      <c r="AG40" s="42">
        <v>31.54</v>
      </c>
      <c r="AH40" s="176" t="str">
        <f t="shared" si="21"/>
        <v/>
      </c>
      <c r="AI40" s="177" t="str">
        <f t="shared" si="22"/>
        <v/>
      </c>
      <c r="AJ40" s="64" t="str">
        <f t="shared" si="23"/>
        <v/>
      </c>
      <c r="AK40" s="64" t="str">
        <f t="shared" si="24"/>
        <v/>
      </c>
      <c r="AL40" s="156" t="str">
        <f t="shared" si="25"/>
        <v/>
      </c>
      <c r="AO40" s="169">
        <f>VLOOKUP(B40,Coûts!$C$10:$G$57,5,FALSE)</f>
        <v>9877.43</v>
      </c>
      <c r="AP40" s="170">
        <f t="shared" si="26"/>
        <v>539.75027322404367</v>
      </c>
      <c r="AQ40" s="170">
        <f t="shared" si="27"/>
        <v>313.17152821813573</v>
      </c>
      <c r="AR40" s="171">
        <f t="shared" si="28"/>
        <v>313.17152821813573</v>
      </c>
      <c r="AS40" s="6"/>
      <c r="AT40" s="166">
        <f>Coûts!$I$5-AE40*Coûts!$I$3</f>
        <v>4289.9760000000006</v>
      </c>
      <c r="AU40" s="167">
        <f>Coûts!$I$5-AF40*Coûts!$I$3</f>
        <v>4193.5888000000004</v>
      </c>
      <c r="AV40" s="168">
        <f>Coûts!$I$5-AG40*Coûts!$I$3</f>
        <v>4193.5888000000004</v>
      </c>
      <c r="AW40" s="6"/>
      <c r="AX40" s="166">
        <f>Coûts!$I$5-AE40*Coûts!$I$4</f>
        <v>3599.7000000000007</v>
      </c>
      <c r="AY40" s="167">
        <f>Coûts!$I$5-AF40*Coûts!$I$4</f>
        <v>3003.9000000000005</v>
      </c>
      <c r="AZ40" s="168">
        <f>Coûts!$I$5-AG40*Coûts!$I$4</f>
        <v>3003.9000000000005</v>
      </c>
      <c r="BA40" s="6"/>
      <c r="BB40" s="37" t="s">
        <v>37</v>
      </c>
      <c r="BC40" s="38">
        <v>1</v>
      </c>
      <c r="BD40" s="39">
        <v>1</v>
      </c>
      <c r="BE40" s="39">
        <v>101</v>
      </c>
      <c r="BF40" s="39">
        <v>101</v>
      </c>
      <c r="BG40" s="39" t="s">
        <v>87</v>
      </c>
      <c r="BH40" s="39">
        <v>101</v>
      </c>
      <c r="BI40" s="41">
        <v>101</v>
      </c>
    </row>
    <row r="41" spans="1:124" x14ac:dyDescent="0.2">
      <c r="A41" s="50" t="s">
        <v>100</v>
      </c>
      <c r="B41" s="146" t="s">
        <v>99</v>
      </c>
      <c r="C41" s="209">
        <v>1</v>
      </c>
      <c r="D41" s="38">
        <f t="shared" si="29"/>
        <v>1</v>
      </c>
      <c r="E41" s="38">
        <f t="shared" si="30"/>
        <v>0</v>
      </c>
      <c r="F41" s="215">
        <v>1</v>
      </c>
      <c r="G41" s="216">
        <v>11</v>
      </c>
      <c r="H41" s="217" t="s">
        <v>87</v>
      </c>
      <c r="I41" s="218" t="str">
        <f t="shared" si="0"/>
        <v/>
      </c>
      <c r="J41" s="218" t="str">
        <f t="shared" si="1"/>
        <v/>
      </c>
      <c r="K41" s="219" t="str">
        <f t="shared" si="2"/>
        <v/>
      </c>
      <c r="L41" s="218" t="str">
        <f t="shared" si="3"/>
        <v/>
      </c>
      <c r="M41" s="218" t="str">
        <f t="shared" si="4"/>
        <v/>
      </c>
      <c r="N41" s="219" t="str">
        <f t="shared" si="5"/>
        <v/>
      </c>
      <c r="O41" s="218" t="str">
        <f t="shared" si="6"/>
        <v/>
      </c>
      <c r="P41" s="218" t="str">
        <f t="shared" si="7"/>
        <v/>
      </c>
      <c r="Q41" s="219" t="str">
        <f t="shared" si="8"/>
        <v/>
      </c>
      <c r="R41" s="218" t="str">
        <f t="shared" si="9"/>
        <v/>
      </c>
      <c r="S41" s="218" t="str">
        <f t="shared" si="10"/>
        <v/>
      </c>
      <c r="T41" s="219" t="str">
        <f t="shared" si="11"/>
        <v/>
      </c>
      <c r="U41" s="218" t="str">
        <f t="shared" si="12"/>
        <v/>
      </c>
      <c r="V41" s="218" t="str">
        <f t="shared" si="13"/>
        <v/>
      </c>
      <c r="W41" s="219" t="str">
        <f t="shared" si="14"/>
        <v/>
      </c>
      <c r="X41" s="218" t="str">
        <f t="shared" si="15"/>
        <v/>
      </c>
      <c r="Y41" s="218" t="str">
        <f t="shared" si="16"/>
        <v/>
      </c>
      <c r="Z41" s="219" t="str">
        <f t="shared" si="17"/>
        <v/>
      </c>
      <c r="AA41" s="218" t="str">
        <f t="shared" si="18"/>
        <v/>
      </c>
      <c r="AB41" s="218" t="str">
        <f t="shared" si="19"/>
        <v/>
      </c>
      <c r="AC41" s="219" t="str">
        <f t="shared" si="20"/>
        <v/>
      </c>
      <c r="AD41" s="6"/>
      <c r="AE41" s="151">
        <v>12.7</v>
      </c>
      <c r="AF41" s="5">
        <v>18.5</v>
      </c>
      <c r="AG41" s="42">
        <v>12.1</v>
      </c>
      <c r="AH41" s="176" t="str">
        <f t="shared" si="21"/>
        <v/>
      </c>
      <c r="AI41" s="177" t="str">
        <f t="shared" si="22"/>
        <v/>
      </c>
      <c r="AJ41" s="64" t="str">
        <f t="shared" si="23"/>
        <v/>
      </c>
      <c r="AK41" s="64" t="str">
        <f t="shared" si="24"/>
        <v/>
      </c>
      <c r="AL41" s="156" t="str">
        <f t="shared" si="25"/>
        <v/>
      </c>
      <c r="AO41" s="182"/>
      <c r="AP41" s="183"/>
      <c r="AQ41" s="183"/>
      <c r="AR41" s="184"/>
      <c r="AS41" s="6"/>
      <c r="AT41" s="166">
        <f>Coûts!$I$5-AE41*Coûts!$I$3</f>
        <v>4330.7440000000006</v>
      </c>
      <c r="AU41" s="167">
        <f>Coûts!$I$5-AF41*Coûts!$I$3</f>
        <v>4288.5200000000004</v>
      </c>
      <c r="AV41" s="168">
        <f>Coûts!$I$5-AG41*Coûts!$I$3</f>
        <v>4335.112000000001</v>
      </c>
      <c r="AW41" s="6"/>
      <c r="AX41" s="166">
        <f>Coûts!$I$5-AE41*Coûts!$I$4</f>
        <v>3851.7000000000007</v>
      </c>
      <c r="AY41" s="167">
        <f>Coûts!$I$5-AF41*Coûts!$I$4</f>
        <v>3590.7000000000007</v>
      </c>
      <c r="AZ41" s="168">
        <f>Coûts!$I$5-AG41*Coûts!$I$4</f>
        <v>3878.7000000000007</v>
      </c>
      <c r="BA41" s="6"/>
      <c r="BB41" s="37" t="s">
        <v>32</v>
      </c>
      <c r="BC41" s="38">
        <v>1</v>
      </c>
      <c r="BD41" s="39">
        <v>1</v>
      </c>
      <c r="BE41" s="39">
        <v>11</v>
      </c>
      <c r="BF41" s="39">
        <v>11</v>
      </c>
      <c r="BG41" s="39" t="s">
        <v>87</v>
      </c>
      <c r="BH41" s="39">
        <v>11</v>
      </c>
      <c r="BI41" s="41">
        <v>11</v>
      </c>
    </row>
    <row r="42" spans="1:124" x14ac:dyDescent="0.2">
      <c r="A42" s="50" t="s">
        <v>100</v>
      </c>
      <c r="B42" s="146" t="s">
        <v>19</v>
      </c>
      <c r="C42" s="209">
        <v>1</v>
      </c>
      <c r="D42" s="38">
        <f t="shared" si="29"/>
        <v>0</v>
      </c>
      <c r="E42" s="38">
        <f t="shared" si="30"/>
        <v>1</v>
      </c>
      <c r="F42" s="215">
        <v>1</v>
      </c>
      <c r="G42" s="216">
        <v>34</v>
      </c>
      <c r="H42" s="217" t="s">
        <v>87</v>
      </c>
      <c r="I42" s="218" t="str">
        <f t="shared" si="0"/>
        <v/>
      </c>
      <c r="J42" s="218" t="str">
        <f t="shared" si="1"/>
        <v/>
      </c>
      <c r="K42" s="219" t="str">
        <f t="shared" si="2"/>
        <v/>
      </c>
      <c r="L42" s="218" t="str">
        <f t="shared" si="3"/>
        <v/>
      </c>
      <c r="M42" s="218" t="str">
        <f t="shared" si="4"/>
        <v/>
      </c>
      <c r="N42" s="219" t="str">
        <f t="shared" si="5"/>
        <v/>
      </c>
      <c r="O42" s="218">
        <f t="shared" si="6"/>
        <v>1</v>
      </c>
      <c r="P42" s="218">
        <f t="shared" si="7"/>
        <v>34</v>
      </c>
      <c r="Q42" s="219" t="str">
        <f t="shared" si="8"/>
        <v>.</v>
      </c>
      <c r="R42" s="218">
        <f t="shared" si="9"/>
        <v>1</v>
      </c>
      <c r="S42" s="218">
        <f t="shared" si="10"/>
        <v>34</v>
      </c>
      <c r="T42" s="219" t="str">
        <f t="shared" si="11"/>
        <v>.</v>
      </c>
      <c r="U42" s="218" t="str">
        <f t="shared" si="12"/>
        <v/>
      </c>
      <c r="V42" s="218" t="str">
        <f t="shared" si="13"/>
        <v/>
      </c>
      <c r="W42" s="219" t="str">
        <f t="shared" si="14"/>
        <v/>
      </c>
      <c r="X42" s="218" t="str">
        <f t="shared" si="15"/>
        <v/>
      </c>
      <c r="Y42" s="218" t="str">
        <f t="shared" si="16"/>
        <v/>
      </c>
      <c r="Z42" s="219" t="str">
        <f t="shared" si="17"/>
        <v/>
      </c>
      <c r="AA42" s="218">
        <f t="shared" si="18"/>
        <v>1</v>
      </c>
      <c r="AB42" s="218">
        <f t="shared" si="19"/>
        <v>34</v>
      </c>
      <c r="AC42" s="219" t="str">
        <f t="shared" si="20"/>
        <v>.</v>
      </c>
      <c r="AD42" s="6"/>
      <c r="AE42" s="151">
        <v>19.2</v>
      </c>
      <c r="AF42" s="5">
        <v>29.7</v>
      </c>
      <c r="AG42" s="42">
        <v>26</v>
      </c>
      <c r="AH42" s="176" t="str">
        <f t="shared" si="21"/>
        <v/>
      </c>
      <c r="AI42" s="177" t="str">
        <f t="shared" si="22"/>
        <v/>
      </c>
      <c r="AJ42" s="64" t="str">
        <f t="shared" si="23"/>
        <v/>
      </c>
      <c r="AK42" s="64" t="str">
        <f t="shared" si="24"/>
        <v/>
      </c>
      <c r="AL42" s="156" t="str">
        <f t="shared" si="25"/>
        <v/>
      </c>
      <c r="AO42" s="166">
        <f>VLOOKUP(B42,Coûts!$C$10:$G$57,5,FALSE)</f>
        <v>10323.65</v>
      </c>
      <c r="AP42" s="167">
        <f t="shared" ref="AP42:AR45" si="31">IF(AE42&lt;&gt;0,$AO42/AE42,"")</f>
        <v>537.69010416666663</v>
      </c>
      <c r="AQ42" s="167">
        <f t="shared" si="31"/>
        <v>347.59764309764307</v>
      </c>
      <c r="AR42" s="168">
        <f t="shared" si="31"/>
        <v>397.06346153846152</v>
      </c>
      <c r="AS42" s="6"/>
      <c r="AT42" s="166">
        <f>Coûts!$I$5-AE42*Coûts!$I$3</f>
        <v>4283.4240000000009</v>
      </c>
      <c r="AU42" s="167">
        <f>Coûts!$I$5-AF42*Coûts!$I$3</f>
        <v>4206.9840000000004</v>
      </c>
      <c r="AV42" s="168">
        <f>Coûts!$I$5-AG42*Coûts!$I$3</f>
        <v>4233.920000000001</v>
      </c>
      <c r="AW42" s="6"/>
      <c r="AX42" s="166">
        <f>Coûts!$I$5-AE42*Coûts!$I$4</f>
        <v>3559.2000000000007</v>
      </c>
      <c r="AY42" s="167">
        <f>Coûts!$I$5-AF42*Coûts!$I$4</f>
        <v>3086.7000000000007</v>
      </c>
      <c r="AZ42" s="168">
        <f>Coûts!$I$5-AG42*Coûts!$I$4</f>
        <v>3253.2000000000007</v>
      </c>
      <c r="BA42" s="6"/>
      <c r="BB42" s="37" t="s">
        <v>19</v>
      </c>
      <c r="BC42" s="38">
        <v>1</v>
      </c>
      <c r="BD42" s="39">
        <v>1</v>
      </c>
      <c r="BE42" s="39">
        <v>34</v>
      </c>
      <c r="BF42" s="39">
        <v>34</v>
      </c>
      <c r="BG42" s="39" t="s">
        <v>87</v>
      </c>
      <c r="BH42" s="39">
        <v>34</v>
      </c>
      <c r="BI42" s="41">
        <v>34</v>
      </c>
    </row>
    <row r="43" spans="1:124" x14ac:dyDescent="0.2">
      <c r="B43" s="146" t="s">
        <v>35</v>
      </c>
      <c r="C43" s="209">
        <v>1</v>
      </c>
      <c r="D43" s="38">
        <f t="shared" si="29"/>
        <v>1</v>
      </c>
      <c r="E43" s="38">
        <f t="shared" si="30"/>
        <v>0</v>
      </c>
      <c r="F43" s="215">
        <v>1</v>
      </c>
      <c r="G43" s="216">
        <v>3</v>
      </c>
      <c r="H43" s="217" t="s">
        <v>87</v>
      </c>
      <c r="I43" s="218">
        <f t="shared" si="0"/>
        <v>1</v>
      </c>
      <c r="J43" s="218">
        <f t="shared" si="1"/>
        <v>3</v>
      </c>
      <c r="K43" s="219" t="str">
        <f t="shared" si="2"/>
        <v>.</v>
      </c>
      <c r="L43" s="218">
        <f t="shared" si="3"/>
        <v>1</v>
      </c>
      <c r="M43" s="218">
        <f t="shared" si="4"/>
        <v>3</v>
      </c>
      <c r="N43" s="219" t="str">
        <f t="shared" si="5"/>
        <v>.</v>
      </c>
      <c r="O43" s="218">
        <f t="shared" si="6"/>
        <v>1</v>
      </c>
      <c r="P43" s="218">
        <f t="shared" si="7"/>
        <v>3</v>
      </c>
      <c r="Q43" s="219" t="str">
        <f t="shared" si="8"/>
        <v>.</v>
      </c>
      <c r="R43" s="218" t="str">
        <f t="shared" si="9"/>
        <v/>
      </c>
      <c r="S43" s="218" t="str">
        <f t="shared" si="10"/>
        <v/>
      </c>
      <c r="T43" s="219" t="str">
        <f t="shared" si="11"/>
        <v/>
      </c>
      <c r="U43" s="218" t="str">
        <f t="shared" si="12"/>
        <v/>
      </c>
      <c r="V43" s="218" t="str">
        <f t="shared" si="13"/>
        <v/>
      </c>
      <c r="W43" s="219" t="str">
        <f t="shared" si="14"/>
        <v/>
      </c>
      <c r="X43" s="218" t="str">
        <f t="shared" si="15"/>
        <v/>
      </c>
      <c r="Y43" s="218" t="str">
        <f t="shared" si="16"/>
        <v/>
      </c>
      <c r="Z43" s="219" t="str">
        <f t="shared" si="17"/>
        <v/>
      </c>
      <c r="AA43" s="218" t="str">
        <f t="shared" si="18"/>
        <v/>
      </c>
      <c r="AB43" s="218" t="str">
        <f t="shared" si="19"/>
        <v/>
      </c>
      <c r="AC43" s="219" t="str">
        <f t="shared" si="20"/>
        <v/>
      </c>
      <c r="AD43" s="6"/>
      <c r="AE43" s="151">
        <v>12.9</v>
      </c>
      <c r="AF43" s="5">
        <v>24.34</v>
      </c>
      <c r="AG43" s="42">
        <v>24.34</v>
      </c>
      <c r="AH43" s="176" t="str">
        <f t="shared" si="21"/>
        <v/>
      </c>
      <c r="AI43" s="177" t="str">
        <f t="shared" si="22"/>
        <v/>
      </c>
      <c r="AJ43" s="64" t="str">
        <f t="shared" si="23"/>
        <v/>
      </c>
      <c r="AK43" s="64" t="str">
        <f t="shared" si="24"/>
        <v/>
      </c>
      <c r="AL43" s="156" t="str">
        <f t="shared" si="25"/>
        <v/>
      </c>
      <c r="AO43" s="166">
        <f>VLOOKUP(B43,Coûts!$C$10:$G$57,5,FALSE)</f>
        <v>8148.05</v>
      </c>
      <c r="AP43" s="167">
        <f t="shared" si="31"/>
        <v>631.6317829457364</v>
      </c>
      <c r="AQ43" s="167">
        <f t="shared" si="31"/>
        <v>334.7596548890715</v>
      </c>
      <c r="AR43" s="168">
        <f t="shared" si="31"/>
        <v>334.7596548890715</v>
      </c>
      <c r="AS43" s="6"/>
      <c r="AT43" s="166">
        <f>Coûts!$I$5-AE43*Coûts!$I$3</f>
        <v>4329.2880000000005</v>
      </c>
      <c r="AU43" s="167">
        <f>Coûts!$I$5-AF43*Coûts!$I$3</f>
        <v>4246.0048000000006</v>
      </c>
      <c r="AV43" s="168">
        <f>Coûts!$I$5-AG43*Coûts!$I$3</f>
        <v>4246.0048000000006</v>
      </c>
      <c r="AW43" s="6"/>
      <c r="AX43" s="166">
        <f>Coûts!$I$5-AE43*Coûts!$I$4</f>
        <v>3842.7000000000007</v>
      </c>
      <c r="AY43" s="167">
        <f>Coûts!$I$5-AF43*Coûts!$I$4</f>
        <v>3327.9000000000005</v>
      </c>
      <c r="AZ43" s="168">
        <f>Coûts!$I$5-AG43*Coûts!$I$4</f>
        <v>3327.9000000000005</v>
      </c>
      <c r="BA43" s="6"/>
      <c r="BB43" s="37" t="s">
        <v>35</v>
      </c>
      <c r="BC43" s="38">
        <v>1</v>
      </c>
      <c r="BD43" s="39">
        <v>1</v>
      </c>
      <c r="BE43" s="39">
        <v>3</v>
      </c>
      <c r="BF43" s="39">
        <v>3</v>
      </c>
      <c r="BG43" s="39" t="s">
        <v>87</v>
      </c>
      <c r="BH43" s="39">
        <v>3</v>
      </c>
      <c r="BI43" s="41">
        <v>3</v>
      </c>
    </row>
    <row r="44" spans="1:124" x14ac:dyDescent="0.2">
      <c r="A44" s="50" t="s">
        <v>97</v>
      </c>
      <c r="B44" s="146" t="s">
        <v>34</v>
      </c>
      <c r="C44" s="209">
        <v>0</v>
      </c>
      <c r="D44" s="38">
        <f t="shared" si="29"/>
        <v>0</v>
      </c>
      <c r="E44" s="38">
        <f t="shared" si="30"/>
        <v>0</v>
      </c>
      <c r="F44" s="215">
        <v>1</v>
      </c>
      <c r="G44" s="216">
        <v>28</v>
      </c>
      <c r="H44" s="217" t="s">
        <v>87</v>
      </c>
      <c r="I44" s="218" t="str">
        <f t="shared" si="0"/>
        <v/>
      </c>
      <c r="J44" s="218" t="str">
        <f t="shared" si="1"/>
        <v/>
      </c>
      <c r="K44" s="219" t="str">
        <f t="shared" si="2"/>
        <v/>
      </c>
      <c r="L44" s="218" t="str">
        <f t="shared" si="3"/>
        <v/>
      </c>
      <c r="M44" s="218" t="str">
        <f t="shared" si="4"/>
        <v/>
      </c>
      <c r="N44" s="219" t="str">
        <f t="shared" si="5"/>
        <v/>
      </c>
      <c r="O44" s="218">
        <f t="shared" si="6"/>
        <v>1</v>
      </c>
      <c r="P44" s="218">
        <f t="shared" si="7"/>
        <v>28</v>
      </c>
      <c r="Q44" s="219" t="str">
        <f t="shared" si="8"/>
        <v>.</v>
      </c>
      <c r="R44" s="218" t="str">
        <f t="shared" si="9"/>
        <v/>
      </c>
      <c r="S44" s="218" t="str">
        <f t="shared" si="10"/>
        <v/>
      </c>
      <c r="T44" s="219" t="str">
        <f t="shared" si="11"/>
        <v/>
      </c>
      <c r="U44" s="218" t="str">
        <f t="shared" si="12"/>
        <v/>
      </c>
      <c r="V44" s="218" t="str">
        <f t="shared" si="13"/>
        <v/>
      </c>
      <c r="W44" s="219" t="str">
        <f t="shared" si="14"/>
        <v/>
      </c>
      <c r="X44" s="218" t="str">
        <f t="shared" si="15"/>
        <v/>
      </c>
      <c r="Y44" s="218" t="str">
        <f t="shared" si="16"/>
        <v/>
      </c>
      <c r="Z44" s="219" t="str">
        <f t="shared" si="17"/>
        <v/>
      </c>
      <c r="AA44" s="218" t="str">
        <f t="shared" si="18"/>
        <v/>
      </c>
      <c r="AB44" s="218" t="str">
        <f t="shared" si="19"/>
        <v/>
      </c>
      <c r="AC44" s="219" t="str">
        <f t="shared" si="20"/>
        <v/>
      </c>
      <c r="AD44" s="6"/>
      <c r="AE44" s="151">
        <v>5.5</v>
      </c>
      <c r="AF44" s="5">
        <v>9</v>
      </c>
      <c r="AG44" s="42">
        <v>9</v>
      </c>
      <c r="AH44" s="176" t="str">
        <f t="shared" si="21"/>
        <v/>
      </c>
      <c r="AI44" s="177" t="str">
        <f t="shared" si="22"/>
        <v/>
      </c>
      <c r="AJ44" s="64" t="str">
        <f t="shared" si="23"/>
        <v/>
      </c>
      <c r="AK44" s="64" t="str">
        <f t="shared" si="24"/>
        <v/>
      </c>
      <c r="AL44" s="156" t="str">
        <f t="shared" si="25"/>
        <v/>
      </c>
      <c r="AO44" s="166">
        <f>VLOOKUP(B44,Coûts!$C$10:$G$57,5,FALSE)</f>
        <v>6611.42</v>
      </c>
      <c r="AP44" s="167">
        <f t="shared" si="31"/>
        <v>1202.0763636363636</v>
      </c>
      <c r="AQ44" s="167">
        <f t="shared" si="31"/>
        <v>734.60222222222228</v>
      </c>
      <c r="AR44" s="168">
        <f t="shared" si="31"/>
        <v>734.60222222222228</v>
      </c>
      <c r="AS44" s="6"/>
      <c r="AT44" s="166">
        <f>Coûts!$I$5-AE44*Coûts!$I$3</f>
        <v>4383.1600000000008</v>
      </c>
      <c r="AU44" s="167">
        <f>Coûts!$I$5-AF44*Coûts!$I$3</f>
        <v>4357.68</v>
      </c>
      <c r="AV44" s="168">
        <f>Coûts!$I$5-AG44*Coûts!$I$3</f>
        <v>4357.68</v>
      </c>
      <c r="AW44" s="6"/>
      <c r="AX44" s="166">
        <f>Coûts!$I$5-AE44*Coûts!$I$4</f>
        <v>4175.7000000000007</v>
      </c>
      <c r="AY44" s="167">
        <f>Coûts!$I$5-AF44*Coûts!$I$4</f>
        <v>4018.2000000000007</v>
      </c>
      <c r="AZ44" s="168">
        <f>Coûts!$I$5-AG44*Coûts!$I$4</f>
        <v>4018.2000000000007</v>
      </c>
      <c r="BA44" s="6"/>
      <c r="BB44" s="37" t="s">
        <v>34</v>
      </c>
      <c r="BC44" s="38">
        <v>1</v>
      </c>
      <c r="BD44" s="39">
        <v>1</v>
      </c>
      <c r="BE44" s="39">
        <v>28</v>
      </c>
      <c r="BF44" s="39">
        <v>28</v>
      </c>
      <c r="BG44" s="39" t="s">
        <v>87</v>
      </c>
      <c r="BH44" s="39">
        <v>28</v>
      </c>
      <c r="BI44" s="41">
        <v>28</v>
      </c>
    </row>
    <row r="45" spans="1:124" x14ac:dyDescent="0.2">
      <c r="B45" s="147" t="s">
        <v>53</v>
      </c>
      <c r="C45" s="210">
        <v>1</v>
      </c>
      <c r="D45" s="143">
        <f t="shared" si="29"/>
        <v>1</v>
      </c>
      <c r="E45" s="143">
        <f t="shared" si="30"/>
        <v>0</v>
      </c>
      <c r="F45" s="220">
        <v>1</v>
      </c>
      <c r="G45" s="221">
        <v>6</v>
      </c>
      <c r="H45" s="222" t="s">
        <v>87</v>
      </c>
      <c r="I45" s="223">
        <f t="shared" si="0"/>
        <v>1</v>
      </c>
      <c r="J45" s="223">
        <f t="shared" si="1"/>
        <v>6</v>
      </c>
      <c r="K45" s="212" t="str">
        <f t="shared" si="2"/>
        <v>.</v>
      </c>
      <c r="L45" s="223">
        <f t="shared" si="3"/>
        <v>1</v>
      </c>
      <c r="M45" s="223">
        <f t="shared" si="4"/>
        <v>6</v>
      </c>
      <c r="N45" s="212" t="str">
        <f t="shared" si="5"/>
        <v>.</v>
      </c>
      <c r="O45" s="223">
        <f t="shared" si="6"/>
        <v>1</v>
      </c>
      <c r="P45" s="223">
        <f t="shared" si="7"/>
        <v>6</v>
      </c>
      <c r="Q45" s="212" t="str">
        <f t="shared" si="8"/>
        <v>.</v>
      </c>
      <c r="R45" s="223">
        <f t="shared" si="9"/>
        <v>1</v>
      </c>
      <c r="S45" s="223">
        <f t="shared" si="10"/>
        <v>6</v>
      </c>
      <c r="T45" s="212" t="str">
        <f t="shared" si="11"/>
        <v>.</v>
      </c>
      <c r="U45" s="223">
        <f t="shared" si="12"/>
        <v>1</v>
      </c>
      <c r="V45" s="223">
        <f t="shared" si="13"/>
        <v>6</v>
      </c>
      <c r="W45" s="212" t="str">
        <f t="shared" si="14"/>
        <v>.</v>
      </c>
      <c r="X45" s="223">
        <f t="shared" si="15"/>
        <v>1</v>
      </c>
      <c r="Y45" s="223">
        <f t="shared" si="16"/>
        <v>6</v>
      </c>
      <c r="Z45" s="212" t="str">
        <f t="shared" si="17"/>
        <v>.</v>
      </c>
      <c r="AA45" s="223">
        <f t="shared" si="18"/>
        <v>1</v>
      </c>
      <c r="AB45" s="223">
        <f t="shared" si="19"/>
        <v>6</v>
      </c>
      <c r="AC45" s="212" t="str">
        <f t="shared" si="20"/>
        <v>.</v>
      </c>
      <c r="AD45" s="6"/>
      <c r="AE45" s="152">
        <v>12.56</v>
      </c>
      <c r="AF45" s="125">
        <v>17.100000000000001</v>
      </c>
      <c r="AG45" s="126">
        <v>19.75</v>
      </c>
      <c r="AH45" s="178">
        <f t="shared" si="21"/>
        <v>1</v>
      </c>
      <c r="AI45" s="179">
        <f t="shared" si="22"/>
        <v>6</v>
      </c>
      <c r="AJ45" s="157">
        <f t="shared" si="23"/>
        <v>-6.5600000000000005</v>
      </c>
      <c r="AK45" s="157">
        <f t="shared" si="24"/>
        <v>-11.100000000000001</v>
      </c>
      <c r="AL45" s="158">
        <f t="shared" si="25"/>
        <v>-13.75</v>
      </c>
      <c r="AO45" s="169">
        <f>VLOOKUP(B45,Coûts!$C$10:$G$57,5,FALSE)</f>
        <v>8575.82</v>
      </c>
      <c r="AP45" s="170">
        <f t="shared" si="31"/>
        <v>682.78821656050945</v>
      </c>
      <c r="AQ45" s="170">
        <f t="shared" si="31"/>
        <v>501.50994152046781</v>
      </c>
      <c r="AR45" s="171">
        <f t="shared" si="31"/>
        <v>434.2187341772152</v>
      </c>
      <c r="AS45" s="6"/>
      <c r="AT45" s="169">
        <f>Coûts!$I$5-AE45*Coûts!$I$3</f>
        <v>4331.7632000000003</v>
      </c>
      <c r="AU45" s="170">
        <f>Coûts!$I$5-AF45*Coûts!$I$3</f>
        <v>4298.7120000000004</v>
      </c>
      <c r="AV45" s="171">
        <f>Coûts!$I$5-AG45*Coûts!$I$3</f>
        <v>4279.420000000001</v>
      </c>
      <c r="AW45" s="6"/>
      <c r="AX45" s="169">
        <f>Coûts!$I$5-AE45*Coûts!$I$4</f>
        <v>3858.0000000000009</v>
      </c>
      <c r="AY45" s="170">
        <f>Coûts!$I$5-AF45*Coûts!$I$4</f>
        <v>3653.7000000000007</v>
      </c>
      <c r="AZ45" s="171">
        <f>Coûts!$I$5-AG45*Coûts!$I$4</f>
        <v>3534.4500000000007</v>
      </c>
      <c r="BA45" s="6"/>
      <c r="BB45" s="142" t="s">
        <v>53</v>
      </c>
      <c r="BC45" s="143">
        <v>1</v>
      </c>
      <c r="BD45" s="144">
        <v>1</v>
      </c>
      <c r="BE45" s="144">
        <v>6</v>
      </c>
      <c r="BF45" s="144">
        <v>6</v>
      </c>
      <c r="BG45" s="144" t="s">
        <v>87</v>
      </c>
      <c r="BH45" s="144">
        <v>6</v>
      </c>
      <c r="BI45" s="145">
        <v>6</v>
      </c>
    </row>
    <row r="47" spans="1:124" x14ac:dyDescent="0.2">
      <c r="B47" s="136" t="s">
        <v>95</v>
      </c>
      <c r="C47" s="211">
        <f>SUM(C3:C45)</f>
        <v>23</v>
      </c>
      <c r="F47" s="148">
        <f>SUMPRODUCT(C4:C45,F4:F45)</f>
        <v>60</v>
      </c>
      <c r="AD47" s="61" t="s">
        <v>62</v>
      </c>
      <c r="AE47" s="67">
        <f>SUMPRODUCT($C$4:$C$45,$AH$4:$AH$45,AE4:AE45)/SUM($AH$4:$AH$45)</f>
        <v>13.598000000000003</v>
      </c>
      <c r="AF47" s="67">
        <f>SUMPRODUCT($C$4:$C$45,$AH$4:$AH$45,AF4:AF45)/SUM($AH$4:$AH$45)</f>
        <v>18.080000000000002</v>
      </c>
      <c r="AG47" s="67">
        <f>SUMPRODUCT($C$4:$C$45,$AH$4:$AH$45,AG4:AG45)/SUM($AH$4:$AH$45)</f>
        <v>19.688499999999998</v>
      </c>
      <c r="AH47" s="67" t="str">
        <f>SUMPRODUCT($C$4:$C$45,$AH$4:$AH$45)&amp;" ("&amp;ROUND(SUMPRODUCT($C$4:$C$45,$AH$4:$AH$45)/$F$47*100,0)&amp;"%)"</f>
        <v>15 (25%)</v>
      </c>
      <c r="AI47" s="66">
        <f>SUMPRODUCT(C4:C45,AH4:AH45,AI4:AI45)/SUM(AH4:AH45)</f>
        <v>9.3550000000000004</v>
      </c>
      <c r="AJ47" s="63">
        <f>SUMPRODUCT(C4:C45,AH4:AH45,AJ4:AJ45)/SUM(AH4:AH45)</f>
        <v>-4.2430000000000003</v>
      </c>
      <c r="AK47" s="65">
        <f>SUMPRODUCT(C4:C45,AH4:AH45,AK4:AK45)/SUM(AH4:AH45)</f>
        <v>-8.7249999999999996</v>
      </c>
      <c r="AL47" s="65">
        <f>SUMPRODUCT(C4:C45,AH4:AH45,AL4:AL45)/SUM(AH4:AH45)</f>
        <v>-10.333499999999999</v>
      </c>
      <c r="AM47" s="64"/>
      <c r="AN47" s="153" t="s">
        <v>62</v>
      </c>
      <c r="AO47" s="186">
        <f>SUMPRODUCT($C$4:$C$45,$AH$4:$AH$45,AO5:AO46)/SUM($AH$4:$AH$45)</f>
        <v>6165.9015000000009</v>
      </c>
      <c r="AP47" s="186">
        <f>-1*SUMPRODUCT($C$4:$C$45,$AH$4:$AH$45,AP4:AP45,AJ4:AJ45)/SUM($AH$4:$AH$45)</f>
        <v>1973.0826120723602</v>
      </c>
      <c r="AQ47" s="186">
        <f>-1*SUMPRODUCT($C$4:$C$45,$AH$4:$AH$45,AQ4:AQ45,AK4:AK45)/SUM($AH$4:$AH$45)</f>
        <v>3348.4354644948921</v>
      </c>
      <c r="AR47" s="187">
        <f>-1*SUMPRODUCT($C$4:$C$45,$AH$4:$AH$45,AR4:AR45,AL4:AL45)/SUM($AH$4:$AH$45)</f>
        <v>3774.3946896205698</v>
      </c>
      <c r="AS47" s="51"/>
      <c r="AT47" s="185">
        <f>SUMPRODUCT($C$4:$C$45,$AH$4:$AH$45,AT4:AT45)/SUM($AH$4:$AH$45)</f>
        <v>3218.4065600000004</v>
      </c>
      <c r="AU47" s="186">
        <f t="shared" ref="AU47:AV47" si="32">SUMPRODUCT($C$4:$C$45,$AH$4:$AH$45,AU4:AU45)/SUM($AH$4:$AH$45)</f>
        <v>3185.7776000000003</v>
      </c>
      <c r="AV47" s="187">
        <f t="shared" si="32"/>
        <v>3174.06772</v>
      </c>
      <c r="AW47" s="51"/>
      <c r="AX47" s="185">
        <f>SUMPRODUCT($C$4:$C$45,$AH$4:$AH$45,AX4:AX45)/SUM($AH$4:$AH$45)</f>
        <v>2705.4900000000002</v>
      </c>
      <c r="AY47" s="186">
        <f t="shared" ref="AY47:AZ47" si="33">SUMPRODUCT($C$4:$C$45,$AH$4:$AH$45,AY4:AY45)/SUM($AH$4:$AH$45)</f>
        <v>2503.8000000000002</v>
      </c>
      <c r="AZ47" s="187">
        <f t="shared" si="33"/>
        <v>2431.4175000000005</v>
      </c>
      <c r="BA47" s="51"/>
    </row>
    <row r="48" spans="1:124" x14ac:dyDescent="0.2">
      <c r="B48" s="142" t="s">
        <v>85</v>
      </c>
      <c r="C48" s="212">
        <f>COUNT(C3:C45)</f>
        <v>42</v>
      </c>
      <c r="F48" s="149">
        <f>SUM(F4:F45)</f>
        <v>86</v>
      </c>
      <c r="AD48" s="61" t="s">
        <v>63</v>
      </c>
      <c r="AE48" s="67">
        <f>SUMPRODUCT($C$4:$C$45,$D$4:$D$45,$AH$4:$AH$45,AE4:AE45)/SUM($AH$4:$AH$45)</f>
        <v>4.6079999999999997</v>
      </c>
      <c r="AF48" s="67">
        <f>SUMPRODUCT($C$4:$C$45,$D$4:$D$45,$AH$4:$AH$45,AF4:AF45)/SUM($AH$4:$AH$45)</f>
        <v>6.15</v>
      </c>
      <c r="AG48" s="67">
        <f>SUMPRODUCT($C$4:$C$45,$D$4:$D$45,$AH$4:$AH$45,AG4:AG45)/SUM($AH$4:$AH$45)</f>
        <v>7.0400000000000009</v>
      </c>
      <c r="AH48" s="67" t="str">
        <f>SUMPRODUCT($C$4:$C$45,$AH$4:$AH$45,$D$4:$D$45)&amp;" ("&amp;ROUND(SUMPRODUCT($C$4:$C$45,$AH$4:$AH$45,$D$4:$D$45)/$F$47*100,0)&amp;"%)"</f>
        <v>6 (10%)</v>
      </c>
      <c r="AI48" s="66">
        <f>SUMPRODUCT(C4:C45,D4:D45,AH4:AH45,AI4:AI45)/SUM(AH4:AH45)</f>
        <v>3.05</v>
      </c>
      <c r="AJ48" s="63">
        <f>SUMPRODUCT(C4:C45,D4:D45,AH4:AH45,AJ4:AJ45)/SUM(AH4:AH45)</f>
        <v>-1.5580000000000003</v>
      </c>
      <c r="AK48" s="65">
        <f>SUMPRODUCT(C4:C45,D4:D45,AH4:AH45,AK4:AK45)/SUM(AH4:AH45)</f>
        <v>-3.1</v>
      </c>
      <c r="AL48" s="65">
        <f>SUMPRODUCT(C4:C45,D4:D45,AH4:AH45,AL4:AL45)/SUM(AH4:AH45)</f>
        <v>-3.9900000000000007</v>
      </c>
      <c r="AM48" s="64"/>
      <c r="AN48" s="151" t="s">
        <v>63</v>
      </c>
      <c r="AO48" s="189">
        <f>SUMPRODUCT($C$4:$C$45,$D$4:$D$45,$AH$4:$AH$45,AO4:AO45)/SUM($AH$4:$AH$45)</f>
        <v>2875.4935</v>
      </c>
      <c r="AP48" s="189">
        <f>-1*SUMPRODUCT($C$4:$C$45,$D$4:$D$45,$AH$4:$AH$45,AP4:AP45,AJ4:AJ45)/SUM($AH$4:$AH$45)</f>
        <v>928.66678930380567</v>
      </c>
      <c r="AQ48" s="189">
        <f>-1*SUMPRODUCT($C$4:$C$45,$D$4:$D$45,$AH$4:$AH$45,AQ4:AQ45,AK4:AK45)/SUM($AH$4:$AH$45)</f>
        <v>1392.6702517675938</v>
      </c>
      <c r="AR48" s="190">
        <f>-1*SUMPRODUCT($C$4:$C$45,$D$4:$D$45,$AH$4:$AH$45,AR4:AR45,AL4:AL45)/SUM($AH$4:$AH$45)</f>
        <v>1582.947220349389</v>
      </c>
      <c r="AS48" s="51"/>
      <c r="AT48" s="188">
        <f>SUMPRODUCT($C$4:$C$45,$D$4:$D$45,$AH$4:$AH$45,AT4:AT45)/SUM($AH$4:$AH$45)</f>
        <v>1293.4137599999999</v>
      </c>
      <c r="AU48" s="189">
        <f t="shared" ref="AU48:AV48" si="34">SUMPRODUCT($C$4:$C$45,$D$4:$D$45,$AH$4:$AH$45,AU4:AU45)/SUM($AH$4:$AH$45)</f>
        <v>1282.1880000000003</v>
      </c>
      <c r="AV48" s="190">
        <f t="shared" si="34"/>
        <v>1275.7088000000001</v>
      </c>
      <c r="AW48" s="51"/>
      <c r="AX48" s="188">
        <f>SUMPRODUCT($C$4:$C$45,$D$4:$D$45,$AH$4:$AH$45,AX4:AX45)/SUM($AH$4:$AH$45)</f>
        <v>1119.6000000000001</v>
      </c>
      <c r="AY48" s="189">
        <f t="shared" ref="AY48:AZ48" si="35">SUMPRODUCT($C$4:$C$45,$D$4:$D$45,$AH$4:$AH$45,AY4:AY45)/SUM($AH$4:$AH$45)</f>
        <v>1050.2100000000003</v>
      </c>
      <c r="AZ48" s="190">
        <f t="shared" si="35"/>
        <v>1010.1600000000002</v>
      </c>
      <c r="BA48" s="51"/>
    </row>
    <row r="49" spans="30:53" x14ac:dyDescent="0.2">
      <c r="AD49" s="61" t="s">
        <v>61</v>
      </c>
      <c r="AE49" s="67">
        <f>SUMPRODUCT($C$4:$C$45,$E$4:$E$45,$AH$4:$AH$45,AE4:AE45)/SUM($AH$4:$AH$45)</f>
        <v>7.1</v>
      </c>
      <c r="AF49" s="67">
        <f>SUMPRODUCT($C$4:$C$45,$E$4:$E$45,$AH$4:$AH$45,AF4:AF45)/SUM($AH$4:$AH$45)</f>
        <v>9.4849999999999994</v>
      </c>
      <c r="AG49" s="67">
        <f>SUMPRODUCT($C$4:$C$45,$E$4:$E$45,$AH$4:$AH$45,AG4:AG45)/SUM($AH$4:$AH$45)</f>
        <v>9.9334999999999987</v>
      </c>
      <c r="AH49" s="67" t="str">
        <f>SUMPRODUCT($C$4:$C$45,$AH$4:$AH$45,$E$4:$E$45)&amp;" ("&amp;ROUND(SUMPRODUCT($C$4:$C$45,$AH$4:$AH$45,$E$4:$E$45)/$F$47*100,0)&amp;"%)"</f>
        <v>6 (10%)</v>
      </c>
      <c r="AI49" s="66">
        <f>SUMPRODUCT(C4:C45,E4:E45,AH4:AH45,AI4:AI45)/SUM(AH4:AH45)</f>
        <v>2.81</v>
      </c>
      <c r="AJ49" s="63">
        <f>SUMPRODUCT(C4:C45,E4:E45,AH4:AH45,AJ4:AJ45)/SUM(AH4:AH45)</f>
        <v>-4.29</v>
      </c>
      <c r="AK49" s="65">
        <f>SUMPRODUCT(C4:C45,E4:E45,AH4:AH45,AK4:AK45)/SUM(AH4:AH45)</f>
        <v>-6.6749999999999998</v>
      </c>
      <c r="AL49" s="65">
        <f>SUMPRODUCT(C4:C45,E4:E45,AH4:AH45,AL4:AL45)/SUM(AH4:AH45)</f>
        <v>-7.1234999999999999</v>
      </c>
      <c r="AM49" s="64"/>
      <c r="AN49" s="151" t="s">
        <v>61</v>
      </c>
      <c r="AO49" s="189">
        <f>SUMPRODUCT($C$4:$C$45,$E$4:$E$45,$AH$4:$AH$45,AO4:AO45)/SUM($AH$4:$AH$45)</f>
        <v>3583.549</v>
      </c>
      <c r="AP49" s="189">
        <f>-1*SUMPRODUCT($C$4:$C$45,$E$4:$E$45,$AH$4:$AH$45,AP4:AP45,AJ4:AJ45)/SUM($AH$4:$AH$45)</f>
        <v>2172.1792632447455</v>
      </c>
      <c r="AQ49" s="189">
        <f>-1*SUMPRODUCT($C$4:$C$45,$E$4:$E$45,$AH$4:$AH$45,AQ4:AQ45,AK4:AK45)/SUM($AH$4:$AH$45)</f>
        <v>2526.0807648745381</v>
      </c>
      <c r="AR49" s="190">
        <f>-1*SUMPRODUCT($C$4:$C$45,$E$4:$E$45,$AH$4:$AH$45,AR4:AR45,AL4:AL45)/SUM($AH$4:$AH$45)</f>
        <v>2572.978220652396</v>
      </c>
      <c r="AS49" s="51"/>
      <c r="AT49" s="188">
        <f>SUMPRODUCT($C$4:$C$45,$E$4:$E$45,$AH$4:$AH$45,AT4:AT45)/SUM($AH$4:$AH$45)</f>
        <v>1275.2720000000004</v>
      </c>
      <c r="AU49" s="189">
        <f t="shared" ref="AU49:AV49" si="36">SUMPRODUCT($C$4:$C$45,$E$4:$E$45,$AH$4:$AH$45,AU4:AU45)/SUM($AH$4:$AH$45)</f>
        <v>1257.9092000000003</v>
      </c>
      <c r="AV49" s="190">
        <f t="shared" si="36"/>
        <v>1254.6441200000002</v>
      </c>
      <c r="AW49" s="51"/>
      <c r="AX49" s="188">
        <f>SUMPRODUCT($C$4:$C$45,$E$4:$E$45,$AH$4:$AH$45,AX4:AX45)/SUM($AH$4:$AH$45)</f>
        <v>1007.4600000000003</v>
      </c>
      <c r="AY49" s="189">
        <f t="shared" ref="AY49:AZ49" si="37">SUMPRODUCT($C$4:$C$45,$E$4:$E$45,$AH$4:$AH$45,AY4:AY45)/SUM($AH$4:$AH$45)</f>
        <v>900.13500000000022</v>
      </c>
      <c r="AZ49" s="190">
        <f t="shared" si="37"/>
        <v>879.9525000000001</v>
      </c>
      <c r="BA49" s="51"/>
    </row>
    <row r="50" spans="30:53" x14ac:dyDescent="0.2">
      <c r="AD50" s="61" t="s">
        <v>64</v>
      </c>
      <c r="AE50" s="67">
        <f>SUMPRODUCT($C$4:$C$9,$AH$4:$AH$9,AE4:AE9)/SUM($AH$4:$AH$9)</f>
        <v>17.823076923076925</v>
      </c>
      <c r="AF50" s="67">
        <f>SUMPRODUCT($C$4:$C$9,$AH$4:$AH$9,AF4:AF9)/SUM($AH$4:$AH$9)</f>
        <v>23.476923076923075</v>
      </c>
      <c r="AG50" s="67">
        <f>SUMPRODUCT($C$4:$C$9,$AH$4:$AH$9,AG4:AG9)/SUM($AH$4:$AH$9)</f>
        <v>25.401538461538458</v>
      </c>
      <c r="AH50" s="67" t="str">
        <f>SUMPRODUCT($C$4:$C$9,$AH$4:$AH$9)&amp;" ("&amp;ROUND(SUMPRODUCT($C$4:$C$9,$AH$4:$AH$9)/$F$47*100,0)&amp;"%)"</f>
        <v>12 (20%)</v>
      </c>
      <c r="AI50" s="66">
        <f>SUMPRODUCT(C4:C9,AH4:AH9,AI4:AI9)/SUM(AH4:AH9)</f>
        <v>12.930769230769233</v>
      </c>
      <c r="AJ50" s="63">
        <f>SUMPRODUCT(C4:C9,AH4:AH9,AJ4:AJ9)/SUM(AH4:AH9)</f>
        <v>-4.8923076923076927</v>
      </c>
      <c r="AK50" s="65">
        <f>SUMPRODUCT(C4:C9,AH4:AH9,AK4:AK9)/SUM(AH4:AH9)</f>
        <v>-10.546153846153846</v>
      </c>
      <c r="AL50" s="65">
        <f>SUMPRODUCT(C4:C9,AH4:AH9,AL4:AL9)/SUM(AH4:AH9)</f>
        <v>-12.470769230769232</v>
      </c>
      <c r="AM50" s="64"/>
      <c r="AN50" s="151" t="s">
        <v>64</v>
      </c>
      <c r="AO50" s="189">
        <f>SUMPRODUCT($C$4:$C$9,$AH$4:$AH$9,AO4:AO9)/SUM($AH$4:$AH$9)</f>
        <v>10240.187692307692</v>
      </c>
      <c r="AP50" s="189">
        <f>-1*SUMPRODUCT($C$4:$C$9,$AH$4:$AH$9,AP4:AP9,AJ4:AJ9)/SUM($AH$4:$AH$9)</f>
        <v>2118.7565125741216</v>
      </c>
      <c r="AQ50" s="189">
        <f>-1*SUMPRODUCT($C$4:$C$9,$AH$4:$AH$9,AQ4:AQ9,AK4:AK9)/SUM($AH$4:$AH$9)</f>
        <v>4000.2299530523933</v>
      </c>
      <c r="AR50" s="190">
        <f>-1*SUMPRODUCT($C$4:$C$9,$AH$4:$AH$9,AR4:AR9,AL4:AL9)/SUM($AH$4:$AH$9)</f>
        <v>4596.1621633298219</v>
      </c>
      <c r="AS50" s="51"/>
      <c r="AT50" s="188">
        <f>SUMPRODUCT($C$4:$C$9,$AH$4:$AH$9,AT4:AT9)/SUM($AH$4:$AH$9)</f>
        <v>3953.2018461538464</v>
      </c>
      <c r="AU50" s="189">
        <f t="shared" ref="AU50:AV50" si="38">SUMPRODUCT($C$4:$C$9,$AH$4:$AH$9,AU4:AU9)/SUM($AH$4:$AH$9)</f>
        <v>3912.041846153847</v>
      </c>
      <c r="AV50" s="190">
        <f t="shared" si="38"/>
        <v>3898.0306461538466</v>
      </c>
      <c r="AW50" s="51"/>
      <c r="AX50" s="188">
        <f>SUMPRODUCT($C$4:$C$9,$AH$4:$AH$9,AX4:AX9)/SUM($AH$4:$AH$9)</f>
        <v>3280.9153846153854</v>
      </c>
      <c r="AY50" s="189">
        <f t="shared" ref="AY50:AZ50" si="39">SUMPRODUCT($C$4:$C$9,$AH$4:$AH$9,AY4:AY9)/SUM($AH$4:$AH$9)</f>
        <v>3026.4923076923083</v>
      </c>
      <c r="AZ50" s="190">
        <f t="shared" si="39"/>
        <v>2939.8846153846166</v>
      </c>
      <c r="BA50" s="51"/>
    </row>
    <row r="51" spans="30:53" x14ac:dyDescent="0.2">
      <c r="AD51" s="61" t="s">
        <v>65</v>
      </c>
      <c r="AE51" s="63">
        <f t="shared" ref="AE51:AG51" si="40">AE4</f>
        <v>17.3</v>
      </c>
      <c r="AF51" s="63">
        <f t="shared" si="40"/>
        <v>22.2</v>
      </c>
      <c r="AG51" s="63">
        <f t="shared" si="40"/>
        <v>25.75</v>
      </c>
      <c r="AH51" s="67" t="str">
        <f>AH4&amp;" ("&amp;ROUND(AH4/$F$47*100,0)&amp;"%)"</f>
        <v>3 (5%)</v>
      </c>
      <c r="AI51" s="63">
        <f>AI4</f>
        <v>14</v>
      </c>
      <c r="AJ51" s="63">
        <f>AJ4</f>
        <v>-3.3000000000000007</v>
      </c>
      <c r="AK51" s="63">
        <f t="shared" ref="AK51:AL51" si="41">AK4</f>
        <v>-8.1999999999999993</v>
      </c>
      <c r="AL51" s="63">
        <f t="shared" si="41"/>
        <v>-11.75</v>
      </c>
      <c r="AM51" s="64"/>
      <c r="AN51" s="151" t="s">
        <v>65</v>
      </c>
      <c r="AO51" s="189">
        <f>AO4</f>
        <v>11630.35</v>
      </c>
      <c r="AP51" s="189">
        <f>AP4*AJ4</f>
        <v>-2218.5060693641622</v>
      </c>
      <c r="AQ51" s="189">
        <f t="shared" ref="AQ51:AR51" si="42">AQ4*AK4</f>
        <v>-4295.8950450450448</v>
      </c>
      <c r="AR51" s="190">
        <f t="shared" si="42"/>
        <v>-5307.0529126213596</v>
      </c>
      <c r="AS51" s="51"/>
      <c r="AT51" s="188">
        <f>AT4</f>
        <v>4297.2560000000003</v>
      </c>
      <c r="AU51" s="189">
        <f t="shared" ref="AU51:AV51" si="43">AU4</f>
        <v>4261.5840000000007</v>
      </c>
      <c r="AV51" s="190">
        <f t="shared" si="43"/>
        <v>4235.7400000000007</v>
      </c>
      <c r="AW51" s="51"/>
      <c r="AX51" s="188">
        <f>AX4</f>
        <v>3644.7000000000007</v>
      </c>
      <c r="AY51" s="189">
        <f t="shared" ref="AY51:AZ51" si="44">AY4</f>
        <v>3424.2000000000007</v>
      </c>
      <c r="AZ51" s="190">
        <f t="shared" si="44"/>
        <v>3264.4500000000007</v>
      </c>
      <c r="BA51" s="51"/>
    </row>
    <row r="52" spans="30:53" x14ac:dyDescent="0.2">
      <c r="AD52" s="61" t="s">
        <v>84</v>
      </c>
      <c r="AE52" s="63">
        <f>AE7</f>
        <v>30.3</v>
      </c>
      <c r="AF52" s="63">
        <f t="shared" ref="AF52:AG52" si="45">AF7</f>
        <v>38.799999999999997</v>
      </c>
      <c r="AG52" s="63">
        <f t="shared" si="45"/>
        <v>45.75</v>
      </c>
      <c r="AH52" s="67" t="str">
        <f>AH7&amp;" ("&amp;ROUND(AH7/$F$47*100,0)&amp;"%)"</f>
        <v>1 (2%)</v>
      </c>
      <c r="AI52" s="63">
        <f>AI7</f>
        <v>8</v>
      </c>
      <c r="AJ52" s="63">
        <f>AJ7</f>
        <v>-22.3</v>
      </c>
      <c r="AK52" s="63">
        <f t="shared" ref="AK52:AL52" si="46">AK7</f>
        <v>-30.799999999999997</v>
      </c>
      <c r="AL52" s="63">
        <f t="shared" si="46"/>
        <v>-37.75</v>
      </c>
      <c r="AM52" s="64"/>
      <c r="AN52" s="151" t="s">
        <v>84</v>
      </c>
      <c r="AO52" s="189">
        <f>AO7</f>
        <v>16335.94</v>
      </c>
      <c r="AP52" s="189">
        <f>AP7*AJ7</f>
        <v>-12022.820528052807</v>
      </c>
      <c r="AQ52" s="189">
        <f t="shared" ref="AQ52:AR52" si="47">AQ7*AK7</f>
        <v>-12967.704948453609</v>
      </c>
      <c r="AR52" s="190">
        <f t="shared" si="47"/>
        <v>-13479.382185792349</v>
      </c>
      <c r="AS52" s="51"/>
      <c r="AT52" s="188">
        <f>AT7</f>
        <v>4202.6160000000009</v>
      </c>
      <c r="AU52" s="189">
        <f t="shared" ref="AU52:AV52" si="48">AU7</f>
        <v>4140.7360000000008</v>
      </c>
      <c r="AV52" s="190">
        <f t="shared" si="48"/>
        <v>4090.1400000000008</v>
      </c>
      <c r="AW52" s="51"/>
      <c r="AX52" s="188">
        <f>AX7</f>
        <v>3059.7000000000007</v>
      </c>
      <c r="AY52" s="189">
        <f t="shared" ref="AY52:AZ52" si="49">AY7</f>
        <v>2677.2000000000007</v>
      </c>
      <c r="AZ52" s="190">
        <f t="shared" si="49"/>
        <v>2364.4500000000007</v>
      </c>
      <c r="BA52" s="51"/>
    </row>
    <row r="53" spans="30:53" x14ac:dyDescent="0.2">
      <c r="AD53" s="61" t="s">
        <v>119</v>
      </c>
      <c r="AE53" s="63">
        <f>AE5</f>
        <v>20.8</v>
      </c>
      <c r="AF53" s="63">
        <f t="shared" ref="AF53:AG53" si="50">AF5</f>
        <v>27.7</v>
      </c>
      <c r="AG53" s="63">
        <f t="shared" si="50"/>
        <v>29.4</v>
      </c>
      <c r="AH53" s="67" t="str">
        <f>AH5&amp;" ("&amp;ROUND(AH5/$F$47*100,0)&amp;"%)"</f>
        <v>4 (7%)</v>
      </c>
      <c r="AI53" s="63">
        <f>AI5</f>
        <v>9.8000000000000007</v>
      </c>
      <c r="AJ53" s="63">
        <f>AJ5</f>
        <v>-11</v>
      </c>
      <c r="AK53" s="63">
        <f t="shared" ref="AK53:AL53" si="51">AK5</f>
        <v>-17.899999999999999</v>
      </c>
      <c r="AL53" s="63">
        <f t="shared" si="51"/>
        <v>-19.599999999999998</v>
      </c>
      <c r="AM53" s="64"/>
      <c r="AN53" s="152" t="s">
        <v>119</v>
      </c>
      <c r="AO53" s="192">
        <f>AO5</f>
        <v>10362.82</v>
      </c>
      <c r="AP53" s="192">
        <f>AP5*AJ5</f>
        <v>-5480.3374999999996</v>
      </c>
      <c r="AQ53" s="192">
        <f t="shared" ref="AQ53:AR53" si="52">AQ5*AK5</f>
        <v>-6696.5515523465701</v>
      </c>
      <c r="AR53" s="193">
        <f t="shared" si="52"/>
        <v>-6908.5466666666662</v>
      </c>
      <c r="AS53" s="51"/>
      <c r="AT53" s="191">
        <f>AT5</f>
        <v>4271.7760000000007</v>
      </c>
      <c r="AU53" s="192">
        <f t="shared" ref="AU53:AV53" si="53">AU5</f>
        <v>4221.5440000000008</v>
      </c>
      <c r="AV53" s="193">
        <f t="shared" si="53"/>
        <v>4209.1680000000006</v>
      </c>
      <c r="AW53" s="51"/>
      <c r="AX53" s="191">
        <f>AX5</f>
        <v>3487.2000000000007</v>
      </c>
      <c r="AY53" s="192">
        <f t="shared" ref="AY53:AZ53" si="54">AY5</f>
        <v>3176.7000000000007</v>
      </c>
      <c r="AZ53" s="193">
        <f t="shared" si="54"/>
        <v>3100.2000000000007</v>
      </c>
      <c r="BA53" s="51"/>
    </row>
  </sheetData>
  <mergeCells count="1">
    <mergeCell ref="C1:C2"/>
  </mergeCells>
  <conditionalFormatting sqref="B4">
    <cfRule type="expression" dxfId="4" priority="4">
      <formula>C4=0</formula>
    </cfRule>
  </conditionalFormatting>
  <conditionalFormatting sqref="B5:B45">
    <cfRule type="expression" dxfId="3" priority="1">
      <formula>C5=0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23C1-3118-4DAC-B61C-6091E39A7CA4}">
  <sheetPr>
    <tabColor theme="0" tint="-0.34998626667073579"/>
  </sheetPr>
  <dimension ref="A1:DU53"/>
  <sheetViews>
    <sheetView showGridLines="0" workbookViewId="0">
      <pane xSplit="3" ySplit="3" topLeftCell="Z4" activePane="bottomRight" state="frozen"/>
      <selection pane="bottomLeft" activeCell="A4" sqref="A4"/>
      <selection pane="topRight" activeCell="D1" sqref="D1"/>
      <selection pane="bottomRight" activeCell="AF9" sqref="AF9"/>
    </sheetView>
  </sheetViews>
  <sheetFormatPr defaultColWidth="10.76171875" defaultRowHeight="15" outlineLevelRow="1" x14ac:dyDescent="0.2"/>
  <cols>
    <col min="1" max="1" width="14.9296875" style="50" customWidth="1"/>
    <col min="3" max="3" width="16.94921875" style="174" customWidth="1"/>
    <col min="4" max="5" width="6.9921875" customWidth="1"/>
    <col min="6" max="6" width="7.26171875" style="40" customWidth="1"/>
    <col min="7" max="7" width="7.53125" style="5" customWidth="1"/>
    <col min="8" max="8" width="7.93359375" style="44" customWidth="1"/>
    <col min="9" max="9" width="7.26171875" style="40" customWidth="1"/>
    <col min="10" max="10" width="7.53125" style="5" customWidth="1"/>
    <col min="11" max="11" width="7.93359375" style="42" customWidth="1"/>
    <col min="12" max="12" width="7.26171875" style="40" customWidth="1"/>
    <col min="13" max="13" width="7.53125" style="5" customWidth="1"/>
    <col min="14" max="14" width="7.93359375" style="42" customWidth="1"/>
    <col min="15" max="15" width="7.26171875" style="40" customWidth="1"/>
    <col min="16" max="16" width="7.53125" style="5" customWidth="1"/>
    <col min="17" max="17" width="7.93359375" style="42" customWidth="1"/>
    <col min="18" max="19" width="8.7421875" style="8" customWidth="1"/>
    <col min="20" max="20" width="8.7421875" style="44" customWidth="1"/>
    <col min="21" max="22" width="8.7421875" style="8" customWidth="1"/>
    <col min="23" max="23" width="8.7421875" style="44" customWidth="1"/>
    <col min="24" max="25" width="8.7421875" style="8" customWidth="1"/>
    <col min="26" max="26" width="8.7421875" style="44" customWidth="1"/>
    <col min="27" max="28" width="8.7421875" style="8" customWidth="1"/>
    <col min="29" max="29" width="8.7421875" style="44" customWidth="1"/>
    <col min="30" max="30" width="12.64453125" customWidth="1"/>
    <col min="31" max="31" width="16.27734375" style="8" customWidth="1"/>
    <col min="32" max="33" width="14.2578125" customWidth="1"/>
    <col min="34" max="34" width="11.43359375" style="174"/>
    <col min="35" max="35" width="13.046875" customWidth="1"/>
    <col min="36" max="39" width="14.52734375" style="60" customWidth="1"/>
    <col min="41" max="41" width="14.2578125" customWidth="1"/>
    <col min="42" max="42" width="12.9140625" bestFit="1" customWidth="1"/>
    <col min="43" max="53" width="12.64453125" customWidth="1"/>
    <col min="54" max="54" width="18.96484375" style="5" bestFit="1" customWidth="1"/>
    <col min="55" max="125" width="11.43359375" style="5"/>
  </cols>
  <sheetData>
    <row r="1" spans="1:125" s="26" customFormat="1" x14ac:dyDescent="0.2">
      <c r="A1" s="49"/>
      <c r="C1" s="294" t="s">
        <v>173</v>
      </c>
      <c r="F1" s="52" t="s">
        <v>6</v>
      </c>
      <c r="G1" s="53"/>
      <c r="H1" s="213"/>
      <c r="I1" s="52" t="s">
        <v>107</v>
      </c>
      <c r="J1" s="53"/>
      <c r="K1" s="54"/>
      <c r="L1" s="52" t="s">
        <v>108</v>
      </c>
      <c r="M1" s="53"/>
      <c r="N1" s="54"/>
      <c r="O1" s="52" t="s">
        <v>109</v>
      </c>
      <c r="P1" s="53"/>
      <c r="Q1" s="54"/>
      <c r="R1" s="55" t="s">
        <v>59</v>
      </c>
      <c r="S1" s="55"/>
      <c r="T1" s="54"/>
      <c r="U1" s="55" t="s">
        <v>88</v>
      </c>
      <c r="V1" s="55"/>
      <c r="W1" s="54"/>
      <c r="X1" s="55" t="s">
        <v>89</v>
      </c>
      <c r="Y1" s="55"/>
      <c r="Z1" s="54"/>
      <c r="AA1" s="55" t="s">
        <v>90</v>
      </c>
      <c r="AB1" s="55"/>
      <c r="AC1" s="54"/>
      <c r="AE1" s="165" t="s">
        <v>91</v>
      </c>
      <c r="AH1" s="175" t="s">
        <v>167</v>
      </c>
      <c r="AI1" s="165" t="s">
        <v>121</v>
      </c>
      <c r="AJ1" s="159">
        <f>VALUE(1&amp;Coûts!N5&amp;Coûts!N7)</f>
        <v>122</v>
      </c>
      <c r="AL1" s="58"/>
      <c r="AM1" s="58"/>
      <c r="AO1" s="165" t="s">
        <v>128</v>
      </c>
      <c r="AT1" s="164" t="s">
        <v>136</v>
      </c>
      <c r="BB1" s="224" t="s">
        <v>168</v>
      </c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</row>
    <row r="2" spans="1:125" s="26" customFormat="1" x14ac:dyDescent="0.2">
      <c r="A2" s="49"/>
      <c r="C2" s="295"/>
      <c r="F2" s="56">
        <v>111</v>
      </c>
      <c r="G2" s="45"/>
      <c r="H2" s="214"/>
      <c r="I2" s="56">
        <v>112</v>
      </c>
      <c r="J2" s="45"/>
      <c r="K2" s="46"/>
      <c r="L2" s="56">
        <v>113</v>
      </c>
      <c r="M2" s="45"/>
      <c r="N2" s="46"/>
      <c r="O2" s="56">
        <v>114</v>
      </c>
      <c r="P2" s="45"/>
      <c r="Q2" s="46"/>
      <c r="R2" s="57">
        <v>121</v>
      </c>
      <c r="T2" s="46"/>
      <c r="U2" s="57">
        <v>122</v>
      </c>
      <c r="W2" s="46"/>
      <c r="X2" s="57">
        <v>123</v>
      </c>
      <c r="Z2" s="46"/>
      <c r="AA2" s="57">
        <v>124</v>
      </c>
      <c r="AC2" s="46"/>
      <c r="AE2" s="43"/>
      <c r="AH2" s="173"/>
      <c r="AI2" s="47"/>
      <c r="AJ2" s="59"/>
      <c r="AK2" s="59"/>
      <c r="AL2" s="59"/>
      <c r="AM2" s="59"/>
      <c r="AT2" s="26" t="s">
        <v>137</v>
      </c>
      <c r="AX2" s="26" t="s">
        <v>138</v>
      </c>
      <c r="BB2" s="225" t="s">
        <v>6</v>
      </c>
      <c r="BC2" s="45"/>
      <c r="BD2" s="45"/>
      <c r="BE2" s="45"/>
      <c r="BF2" s="45"/>
      <c r="BG2" s="45"/>
      <c r="BH2" s="45"/>
      <c r="BI2" s="45"/>
      <c r="BJ2" s="45"/>
      <c r="BK2" s="45" t="s">
        <v>59</v>
      </c>
      <c r="BL2" s="45"/>
      <c r="BM2" s="45"/>
      <c r="BN2" s="45"/>
      <c r="BO2" s="45"/>
      <c r="BP2" s="45"/>
      <c r="BQ2" s="45"/>
      <c r="BR2" s="45"/>
      <c r="BS2" s="45"/>
      <c r="BT2" s="45" t="s">
        <v>88</v>
      </c>
      <c r="BU2" s="45"/>
      <c r="BV2" s="45"/>
      <c r="BW2" s="45"/>
      <c r="BX2" s="45"/>
      <c r="BY2" s="45"/>
      <c r="BZ2" s="45"/>
      <c r="CA2" s="45"/>
      <c r="CB2" s="45"/>
      <c r="CC2" s="45" t="s">
        <v>89</v>
      </c>
      <c r="CD2" s="45"/>
      <c r="CE2" s="45"/>
      <c r="CF2" s="45"/>
      <c r="CG2" s="45"/>
      <c r="CH2" s="45"/>
      <c r="CI2" s="45"/>
      <c r="CJ2" s="45"/>
      <c r="CK2" s="45"/>
      <c r="CL2" s="45" t="s">
        <v>90</v>
      </c>
      <c r="CM2" s="45"/>
      <c r="CN2" s="45"/>
      <c r="CO2" s="45"/>
      <c r="CP2" s="45"/>
      <c r="CQ2" s="45"/>
      <c r="CR2" s="45"/>
      <c r="CS2" s="45"/>
      <c r="CT2" s="45"/>
      <c r="CU2" s="45" t="s">
        <v>104</v>
      </c>
      <c r="CV2" s="45"/>
      <c r="CW2" s="45"/>
      <c r="CX2" s="45"/>
      <c r="CY2" s="45"/>
      <c r="CZ2" s="45"/>
      <c r="DA2" s="45"/>
      <c r="DB2" s="45"/>
      <c r="DC2" s="45"/>
      <c r="DD2" s="45" t="s">
        <v>105</v>
      </c>
      <c r="DE2" s="45"/>
      <c r="DF2" s="45"/>
      <c r="DG2" s="45"/>
      <c r="DH2" s="45"/>
      <c r="DI2" s="45"/>
      <c r="DJ2" s="45"/>
      <c r="DK2" s="45"/>
      <c r="DL2" s="45"/>
      <c r="DM2" s="45" t="s">
        <v>106</v>
      </c>
      <c r="DN2" s="45"/>
      <c r="DO2" s="45"/>
      <c r="DP2" s="45"/>
      <c r="DQ2" s="45"/>
      <c r="DR2" s="45"/>
      <c r="DS2" s="45"/>
      <c r="DT2" s="45"/>
      <c r="DU2" s="45"/>
    </row>
    <row r="3" spans="1:125" s="8" customFormat="1" x14ac:dyDescent="0.2">
      <c r="A3" s="160"/>
      <c r="B3" s="161" t="s">
        <v>8</v>
      </c>
      <c r="C3" s="137" t="s">
        <v>174</v>
      </c>
      <c r="D3" s="154" t="s">
        <v>122</v>
      </c>
      <c r="E3" s="154" t="s">
        <v>123</v>
      </c>
      <c r="F3" s="136" t="s">
        <v>0</v>
      </c>
      <c r="G3" s="138" t="s">
        <v>1</v>
      </c>
      <c r="H3" s="139" t="s">
        <v>2</v>
      </c>
      <c r="I3" s="136" t="s">
        <v>0</v>
      </c>
      <c r="J3" s="138" t="s">
        <v>1</v>
      </c>
      <c r="K3" s="139" t="s">
        <v>2</v>
      </c>
      <c r="L3" s="136" t="s">
        <v>0</v>
      </c>
      <c r="M3" s="138" t="s">
        <v>1</v>
      </c>
      <c r="N3" s="139" t="s">
        <v>2</v>
      </c>
      <c r="O3" s="136" t="s">
        <v>0</v>
      </c>
      <c r="P3" s="138" t="s">
        <v>1</v>
      </c>
      <c r="Q3" s="139" t="s">
        <v>2</v>
      </c>
      <c r="R3" s="138" t="s">
        <v>0</v>
      </c>
      <c r="S3" s="138" t="s">
        <v>1</v>
      </c>
      <c r="T3" s="139" t="s">
        <v>2</v>
      </c>
      <c r="U3" s="138" t="s">
        <v>0</v>
      </c>
      <c r="V3" s="138" t="s">
        <v>1</v>
      </c>
      <c r="W3" s="139" t="s">
        <v>2</v>
      </c>
      <c r="X3" s="138" t="s">
        <v>0</v>
      </c>
      <c r="Y3" s="138" t="s">
        <v>1</v>
      </c>
      <c r="Z3" s="139" t="s">
        <v>2</v>
      </c>
      <c r="AA3" s="138" t="s">
        <v>0</v>
      </c>
      <c r="AB3" s="138" t="s">
        <v>1</v>
      </c>
      <c r="AC3" s="139" t="s">
        <v>2</v>
      </c>
      <c r="AD3" s="48"/>
      <c r="AE3" s="150" t="s">
        <v>92</v>
      </c>
      <c r="AF3" s="155" t="s">
        <v>93</v>
      </c>
      <c r="AG3" s="163" t="s">
        <v>94</v>
      </c>
      <c r="AH3" s="180" t="s">
        <v>0</v>
      </c>
      <c r="AI3" s="181" t="s">
        <v>124</v>
      </c>
      <c r="AJ3" s="155" t="s">
        <v>92</v>
      </c>
      <c r="AK3" s="155" t="s">
        <v>93</v>
      </c>
      <c r="AL3" s="163" t="s">
        <v>94</v>
      </c>
      <c r="AM3" s="48"/>
      <c r="AO3" s="172" t="s">
        <v>166</v>
      </c>
      <c r="AP3" s="155" t="s">
        <v>92</v>
      </c>
      <c r="AQ3" s="155" t="s">
        <v>93</v>
      </c>
      <c r="AR3" s="163" t="s">
        <v>94</v>
      </c>
      <c r="AS3" s="48"/>
      <c r="AT3" s="150" t="s">
        <v>92</v>
      </c>
      <c r="AU3" s="155" t="s">
        <v>93</v>
      </c>
      <c r="AV3" s="163" t="s">
        <v>94</v>
      </c>
      <c r="AW3" s="48"/>
      <c r="AX3" s="150" t="s">
        <v>92</v>
      </c>
      <c r="AY3" s="155" t="s">
        <v>93</v>
      </c>
      <c r="AZ3" s="163" t="s">
        <v>94</v>
      </c>
      <c r="BA3" s="48"/>
      <c r="BB3" s="136" t="s">
        <v>8</v>
      </c>
      <c r="BC3" s="138" t="s">
        <v>58</v>
      </c>
      <c r="BD3" s="138" t="s">
        <v>0</v>
      </c>
      <c r="BE3" s="138" t="s">
        <v>4</v>
      </c>
      <c r="BF3" s="138" t="s">
        <v>1</v>
      </c>
      <c r="BG3" s="138" t="s">
        <v>2</v>
      </c>
      <c r="BH3" s="138" t="s">
        <v>3</v>
      </c>
      <c r="BI3" s="139" t="s">
        <v>5</v>
      </c>
      <c r="BJ3" s="51"/>
      <c r="BK3" s="136" t="s">
        <v>8</v>
      </c>
      <c r="BL3" s="138" t="s">
        <v>58</v>
      </c>
      <c r="BM3" s="138" t="s">
        <v>0</v>
      </c>
      <c r="BN3" s="138" t="s">
        <v>4</v>
      </c>
      <c r="BO3" s="138" t="s">
        <v>1</v>
      </c>
      <c r="BP3" s="138" t="s">
        <v>2</v>
      </c>
      <c r="BQ3" s="138" t="s">
        <v>3</v>
      </c>
      <c r="BR3" s="139" t="s">
        <v>5</v>
      </c>
      <c r="BS3" s="51"/>
      <c r="BT3" s="136" t="s">
        <v>8</v>
      </c>
      <c r="BU3" s="138" t="s">
        <v>58</v>
      </c>
      <c r="BV3" s="138" t="s">
        <v>0</v>
      </c>
      <c r="BW3" s="138" t="s">
        <v>4</v>
      </c>
      <c r="BX3" s="138" t="s">
        <v>1</v>
      </c>
      <c r="BY3" s="138" t="s">
        <v>2</v>
      </c>
      <c r="BZ3" s="138" t="s">
        <v>3</v>
      </c>
      <c r="CA3" s="139" t="s">
        <v>5</v>
      </c>
      <c r="CB3" s="51"/>
      <c r="CC3" s="136" t="s">
        <v>8</v>
      </c>
      <c r="CD3" s="138" t="s">
        <v>58</v>
      </c>
      <c r="CE3" s="138" t="s">
        <v>0</v>
      </c>
      <c r="CF3" s="138" t="s">
        <v>4</v>
      </c>
      <c r="CG3" s="138" t="s">
        <v>1</v>
      </c>
      <c r="CH3" s="138" t="s">
        <v>2</v>
      </c>
      <c r="CI3" s="138" t="s">
        <v>3</v>
      </c>
      <c r="CJ3" s="139" t="s">
        <v>5</v>
      </c>
      <c r="CK3" s="51"/>
      <c r="CL3" s="136" t="s">
        <v>8</v>
      </c>
      <c r="CM3" s="138" t="s">
        <v>58</v>
      </c>
      <c r="CN3" s="138" t="s">
        <v>0</v>
      </c>
      <c r="CO3" s="138" t="s">
        <v>4</v>
      </c>
      <c r="CP3" s="138" t="s">
        <v>1</v>
      </c>
      <c r="CQ3" s="138" t="s">
        <v>2</v>
      </c>
      <c r="CR3" s="138" t="s">
        <v>3</v>
      </c>
      <c r="CS3" s="139" t="s">
        <v>5</v>
      </c>
      <c r="CT3" s="51"/>
      <c r="CU3" s="136" t="s">
        <v>8</v>
      </c>
      <c r="CV3" s="138" t="s">
        <v>58</v>
      </c>
      <c r="CW3" s="138" t="s">
        <v>0</v>
      </c>
      <c r="CX3" s="138" t="s">
        <v>4</v>
      </c>
      <c r="CY3" s="138" t="s">
        <v>1</v>
      </c>
      <c r="CZ3" s="138" t="s">
        <v>2</v>
      </c>
      <c r="DA3" s="138" t="s">
        <v>3</v>
      </c>
      <c r="DB3" s="139" t="s">
        <v>5</v>
      </c>
      <c r="DC3" s="51"/>
      <c r="DD3" s="136" t="s">
        <v>8</v>
      </c>
      <c r="DE3" s="138" t="s">
        <v>58</v>
      </c>
      <c r="DF3" s="138" t="s">
        <v>0</v>
      </c>
      <c r="DG3" s="138" t="s">
        <v>4</v>
      </c>
      <c r="DH3" s="138" t="s">
        <v>1</v>
      </c>
      <c r="DI3" s="138" t="s">
        <v>2</v>
      </c>
      <c r="DJ3" s="138" t="s">
        <v>3</v>
      </c>
      <c r="DK3" s="139" t="s">
        <v>5</v>
      </c>
      <c r="DL3" s="51"/>
      <c r="DM3" s="136" t="s">
        <v>8</v>
      </c>
      <c r="DN3" s="138" t="s">
        <v>58</v>
      </c>
      <c r="DO3" s="138" t="s">
        <v>0</v>
      </c>
      <c r="DP3" s="138" t="s">
        <v>4</v>
      </c>
      <c r="DQ3" s="138" t="s">
        <v>1</v>
      </c>
      <c r="DR3" s="138" t="s">
        <v>2</v>
      </c>
      <c r="DS3" s="138" t="s">
        <v>3</v>
      </c>
      <c r="DT3" s="139" t="s">
        <v>5</v>
      </c>
      <c r="DU3" s="51"/>
    </row>
    <row r="4" spans="1:125" x14ac:dyDescent="0.2">
      <c r="B4" s="146" t="s">
        <v>175</v>
      </c>
      <c r="C4" s="209">
        <v>1</v>
      </c>
      <c r="D4" s="38">
        <f>IF(RIGHT(B4,1)="3",1,0)</f>
        <v>0</v>
      </c>
      <c r="E4" s="38">
        <f>IF(RIGHT(B4,1)="4",1,0)</f>
        <v>1</v>
      </c>
      <c r="F4" s="215">
        <v>13</v>
      </c>
      <c r="G4" s="216">
        <v>27.7</v>
      </c>
      <c r="H4" s="217">
        <v>18.399999999999999</v>
      </c>
      <c r="I4" s="218">
        <f t="shared" ref="I4:I20" si="0">IF(ISNA(VLOOKUP($B4,$CU$4:$DB$19,2,FALSE)),"",VLOOKUP($B4,$CU$4:$DB$19,2,FALSE))</f>
        <v>4</v>
      </c>
      <c r="J4" s="218">
        <f t="shared" ref="J4:J20" si="1">IF(ISNA(VLOOKUP($B4,$CU$4:$DB$19,5,FALSE)),"",VLOOKUP($B4,$CU$4:$DB$19,5,FALSE))</f>
        <v>10.8</v>
      </c>
      <c r="K4" s="219">
        <f t="shared" ref="K4:K20" si="2">IF(ISNA(VLOOKUP($B4,$CU$4:$DB$19,6,FALSE)),"",VLOOKUP($B4,$CU$4:$DB$19,6,FALSE))</f>
        <v>5.6</v>
      </c>
      <c r="L4" s="218">
        <f t="shared" ref="L4:L20" si="3">IF(ISNA(VLOOKUP($B4,$DD$4:$DK$19,2,FALSE)),"",VLOOKUP($B4,$DD$4:$DK$19,2,FALSE))</f>
        <v>5</v>
      </c>
      <c r="M4" s="218">
        <f t="shared" ref="M4:M20" si="4">IF(ISNA(VLOOKUP($B4,$DD$4:$DK$19,5,FALSE)),"",VLOOKUP($B4,$DD$4:$DK$19,5,FALSE))</f>
        <v>11.2</v>
      </c>
      <c r="N4" s="219">
        <f t="shared" ref="N4:N20" si="5">IF(ISNA(VLOOKUP($B4,$DD$4:$DK$19,6,FALSE)),"",VLOOKUP($B4,$DD$4:$DK$19,6,FALSE))</f>
        <v>5</v>
      </c>
      <c r="O4" s="218">
        <f t="shared" ref="O4:O20" si="6">IF(ISNA(VLOOKUP($B4,$DM$4:$DT$19,2,FALSE)),"",VLOOKUP($B4,$DM$4:$DT$19,2,FALSE))</f>
        <v>9</v>
      </c>
      <c r="P4" s="218">
        <f t="shared" ref="P4:P20" si="7">IF(ISNA(VLOOKUP($B4,$DM$4:$DT$19,5,FALSE)),"",VLOOKUP($B4,$DM$4:$DT$19,5,FALSE))</f>
        <v>20.100000000000001</v>
      </c>
      <c r="Q4" s="219">
        <f t="shared" ref="Q4:Q20" si="8">IF(ISNA(VLOOKUP($B4,$DM$4:$DT$19,6,FALSE)),"",VLOOKUP($B4,$DM$4:$DT$19,6,FALSE))</f>
        <v>14.2</v>
      </c>
      <c r="R4" s="218">
        <f t="shared" ref="R4:R20" si="9">IF(ISNA(VLOOKUP($B4,$BK$4:$BR$19,2,FALSE)),"",VLOOKUP($B4,$BK$4:$BR$19,2,FALSE))</f>
        <v>10</v>
      </c>
      <c r="S4" s="218">
        <f t="shared" ref="S4:S20" si="10">IF(ISNA(VLOOKUP($B4,$BK$4:$BR$19,5,FALSE)),"",VLOOKUP($B4,$BK$4:$BR$19,5,FALSE))</f>
        <v>28.6</v>
      </c>
      <c r="T4" s="219">
        <f t="shared" ref="T4:T20" si="11">IF(ISNA(VLOOKUP($B4,$BK$4:$BR$19,6,FALSE)),"",VLOOKUP($B4,$BK$4:$BR$19,6,FALSE))</f>
        <v>18.899999999999999</v>
      </c>
      <c r="U4" s="218">
        <f t="shared" ref="U4:U20" si="12">IF(ISNA(VLOOKUP($B4,$BT$4:$CA$19,2,FALSE)),"",VLOOKUP($B4,$BT$4:$CA$19,2,FALSE))</f>
        <v>3</v>
      </c>
      <c r="V4" s="218">
        <f t="shared" ref="V4:V20" si="13">IF(ISNA(VLOOKUP($B4,$BT$4:$CA$19,5,FALSE)),"",VLOOKUP($B4,$BT$4:$CA$19,5,FALSE))</f>
        <v>12.3</v>
      </c>
      <c r="W4" s="219">
        <f t="shared" ref="W4:W20" si="14">IF(ISNA(VLOOKUP($B4,$BT$4:$CA$19,6,FALSE)),"",VLOOKUP($B4,$BT$4:$CA$19,6,FALSE))</f>
        <v>5.7</v>
      </c>
      <c r="X4" s="218">
        <f t="shared" ref="X4:X20" si="15">IF(ISNA(VLOOKUP($B4,$CC$4:$CJ$19,2,FALSE)),"",VLOOKUP($B4,$CC$4:$CJ$19,2,FALSE))</f>
        <v>4</v>
      </c>
      <c r="Y4" s="218">
        <f t="shared" ref="Y4:Y20" si="16">IF(ISNA(VLOOKUP($B4,$CC$4:$CJ$19,5,FALSE)),"",VLOOKUP($B4,$CC$4:$CJ$19,5,FALSE))</f>
        <v>12.5</v>
      </c>
      <c r="Z4" s="219">
        <f t="shared" ref="Z4:Z20" si="17">IF(ISNA(VLOOKUP($B4,$CC$4:$CJ$19,6,FALSE)),"",VLOOKUP($B4,$CC$4:$CJ$19,6,FALSE))</f>
        <v>4.7</v>
      </c>
      <c r="AA4" s="218">
        <f t="shared" ref="AA4:AA20" si="18">IF(ISNA(VLOOKUP($B4,$CL$3:$CS$19,2,FALSE)),"",VLOOKUP($B4,$CL$3:$CS$19,2,FALSE))</f>
        <v>6</v>
      </c>
      <c r="AB4" s="218">
        <f t="shared" ref="AB4:AB20" si="19">IF(ISNA(VLOOKUP($B4,$CL$3:$CS$19,5,FALSE)),"",VLOOKUP($B4,$CL$3:$CS$19,5,FALSE))</f>
        <v>17.8</v>
      </c>
      <c r="AC4" s="219">
        <f t="shared" ref="AC4:AC20" si="20">IF(ISNA(VLOOKUP($B4,$CL$3:$CS$19,6,FALSE)),"",VLOOKUP($B4,$CL$3:$CS$19,6,FALSE))</f>
        <v>12</v>
      </c>
      <c r="AD4" s="6"/>
      <c r="AE4" s="251">
        <v>20.2</v>
      </c>
      <c r="AF4" s="252">
        <v>23.2</v>
      </c>
      <c r="AG4" s="253">
        <v>25.8</v>
      </c>
      <c r="AH4" s="176">
        <f t="shared" ref="AH4:AI20" si="21">IF($AJ$1=111,F4,IF($AJ$1=112,I4,IF($AJ$1=113,L4,IF($AJ$1=114,O4,IF($AJ$1=121,R4,IF($AJ$1=122,U4,IF($AJ$1=123,X4,AA4)))))))</f>
        <v>3</v>
      </c>
      <c r="AI4" s="177">
        <f t="shared" si="21"/>
        <v>12.3</v>
      </c>
      <c r="AJ4" s="64">
        <f t="shared" ref="AJ4:AL20" si="22">IF($AI4&lt;&gt;"",$AI4-AE4,"")</f>
        <v>-7.8999999999999986</v>
      </c>
      <c r="AK4" s="64">
        <f t="shared" si="22"/>
        <v>-10.899999999999999</v>
      </c>
      <c r="AL4" s="156">
        <f t="shared" si="22"/>
        <v>-13.5</v>
      </c>
      <c r="AO4" s="166">
        <f>VLOOKUP(B4,Coûts!$C$10:$G$85,5,FALSE)</f>
        <v>10833.28</v>
      </c>
      <c r="AP4" s="167">
        <f t="shared" ref="AP4:AR19" si="23">IF(AE4&lt;&gt;0,$AO4/AE4,"")</f>
        <v>536.30099009900994</v>
      </c>
      <c r="AQ4" s="167">
        <f t="shared" si="23"/>
        <v>466.95172413793108</v>
      </c>
      <c r="AR4" s="168">
        <f t="shared" si="23"/>
        <v>419.89457364341087</v>
      </c>
      <c r="AS4" s="6"/>
      <c r="AT4" s="166">
        <f>Coûts!$I$5-AE4*Coûts!$I$3</f>
        <v>4276.1440000000011</v>
      </c>
      <c r="AU4" s="167">
        <f>Coûts!$I$5-AF4*Coûts!$I$3</f>
        <v>4254.304000000001</v>
      </c>
      <c r="AV4" s="168">
        <f>Coûts!$I$5-AG4*Coûts!$I$3</f>
        <v>4235.3760000000011</v>
      </c>
      <c r="AW4" s="6"/>
      <c r="AX4" s="166">
        <f>Coûts!$I$5-AE4*Coûts!$I$4</f>
        <v>3514.2000000000007</v>
      </c>
      <c r="AY4" s="167">
        <f>Coûts!$I$5-AF4*Coûts!$I$4</f>
        <v>3379.2000000000007</v>
      </c>
      <c r="AZ4" s="168">
        <f>Coûts!$I$5-AG4*Coûts!$I$4</f>
        <v>3262.2000000000007</v>
      </c>
      <c r="BA4" s="6"/>
      <c r="BB4" s="37" t="s">
        <v>175</v>
      </c>
      <c r="BC4" s="38">
        <v>13</v>
      </c>
      <c r="BD4" s="39">
        <v>13</v>
      </c>
      <c r="BE4" s="39">
        <v>22</v>
      </c>
      <c r="BF4" s="39">
        <v>27.7</v>
      </c>
      <c r="BG4" s="39">
        <v>18.399999999999999</v>
      </c>
      <c r="BH4" s="39">
        <v>6</v>
      </c>
      <c r="BI4" s="41">
        <v>63</v>
      </c>
      <c r="BK4" s="37" t="s">
        <v>175</v>
      </c>
      <c r="BL4" s="38">
        <v>10</v>
      </c>
      <c r="BM4" s="39">
        <v>10</v>
      </c>
      <c r="BN4" s="39">
        <v>23</v>
      </c>
      <c r="BO4" s="39">
        <v>28.6</v>
      </c>
      <c r="BP4" s="39">
        <v>18.899999999999999</v>
      </c>
      <c r="BQ4" s="39">
        <v>6</v>
      </c>
      <c r="BR4" s="41">
        <v>63</v>
      </c>
      <c r="BT4" s="37" t="s">
        <v>175</v>
      </c>
      <c r="BU4" s="38">
        <v>3</v>
      </c>
      <c r="BV4" s="39">
        <v>3</v>
      </c>
      <c r="BW4" s="39">
        <v>14</v>
      </c>
      <c r="BX4" s="39">
        <v>12.3</v>
      </c>
      <c r="BY4" s="39">
        <v>5.7</v>
      </c>
      <c r="BZ4" s="39">
        <v>6</v>
      </c>
      <c r="CA4" s="41">
        <v>17</v>
      </c>
      <c r="CC4" s="37" t="s">
        <v>175</v>
      </c>
      <c r="CD4" s="38">
        <v>4</v>
      </c>
      <c r="CE4" s="39">
        <v>4</v>
      </c>
      <c r="CF4" s="39">
        <v>13.5</v>
      </c>
      <c r="CG4" s="39">
        <v>12.5</v>
      </c>
      <c r="CH4" s="39">
        <v>4.7</v>
      </c>
      <c r="CI4" s="39">
        <v>6</v>
      </c>
      <c r="CJ4" s="41">
        <v>17</v>
      </c>
      <c r="CL4" s="37" t="s">
        <v>175</v>
      </c>
      <c r="CM4" s="38">
        <v>6</v>
      </c>
      <c r="CN4" s="39">
        <v>6</v>
      </c>
      <c r="CO4" s="39">
        <v>15</v>
      </c>
      <c r="CP4" s="39">
        <v>17.8</v>
      </c>
      <c r="CQ4" s="39">
        <v>12</v>
      </c>
      <c r="CR4" s="39">
        <v>6</v>
      </c>
      <c r="CS4" s="41">
        <v>41</v>
      </c>
      <c r="CU4" s="37" t="s">
        <v>175</v>
      </c>
      <c r="CV4" s="38">
        <v>4</v>
      </c>
      <c r="CW4" s="39">
        <v>4</v>
      </c>
      <c r="CX4" s="39">
        <v>10</v>
      </c>
      <c r="CY4" s="39">
        <v>10.8</v>
      </c>
      <c r="CZ4" s="39">
        <v>5.6</v>
      </c>
      <c r="DA4" s="39">
        <v>6</v>
      </c>
      <c r="DB4" s="41">
        <v>17</v>
      </c>
      <c r="DD4" s="37" t="s">
        <v>175</v>
      </c>
      <c r="DE4" s="38">
        <v>5</v>
      </c>
      <c r="DF4" s="39">
        <v>5</v>
      </c>
      <c r="DG4" s="39">
        <v>13</v>
      </c>
      <c r="DH4" s="39">
        <v>11.2</v>
      </c>
      <c r="DI4" s="39">
        <v>5</v>
      </c>
      <c r="DJ4" s="39">
        <v>6</v>
      </c>
      <c r="DK4" s="41">
        <v>17</v>
      </c>
      <c r="DM4" s="37" t="s">
        <v>175</v>
      </c>
      <c r="DN4" s="38">
        <v>9</v>
      </c>
      <c r="DO4" s="39">
        <v>9</v>
      </c>
      <c r="DP4" s="39">
        <v>16</v>
      </c>
      <c r="DQ4" s="39">
        <v>20.100000000000001</v>
      </c>
      <c r="DR4" s="39">
        <v>14.2</v>
      </c>
      <c r="DS4" s="39">
        <v>6</v>
      </c>
      <c r="DT4" s="41">
        <v>46</v>
      </c>
    </row>
    <row r="5" spans="1:125" x14ac:dyDescent="0.2">
      <c r="B5" s="146" t="s">
        <v>176</v>
      </c>
      <c r="C5" s="209">
        <v>1</v>
      </c>
      <c r="D5" s="38">
        <f t="shared" ref="D5:D19" si="24">IF(RIGHT(B5,1)="3",1,0)</f>
        <v>0</v>
      </c>
      <c r="E5" s="38">
        <f t="shared" ref="E5:E19" si="25">IF(RIGHT(B5,1)="4",1,0)</f>
        <v>1</v>
      </c>
      <c r="F5" s="215">
        <v>1</v>
      </c>
      <c r="G5" s="216">
        <v>64</v>
      </c>
      <c r="H5" s="217" t="s">
        <v>87</v>
      </c>
      <c r="I5" s="218" t="str">
        <f t="shared" si="0"/>
        <v/>
      </c>
      <c r="J5" s="218" t="str">
        <f t="shared" si="1"/>
        <v/>
      </c>
      <c r="K5" s="219" t="str">
        <f t="shared" si="2"/>
        <v/>
      </c>
      <c r="L5" s="218" t="str">
        <f t="shared" si="3"/>
        <v/>
      </c>
      <c r="M5" s="218" t="str">
        <f t="shared" si="4"/>
        <v/>
      </c>
      <c r="N5" s="219" t="str">
        <f t="shared" si="5"/>
        <v/>
      </c>
      <c r="O5" s="218">
        <f t="shared" si="6"/>
        <v>1</v>
      </c>
      <c r="P5" s="218">
        <f t="shared" si="7"/>
        <v>64</v>
      </c>
      <c r="Q5" s="219" t="str">
        <f t="shared" si="8"/>
        <v>.</v>
      </c>
      <c r="R5" s="218">
        <f t="shared" si="9"/>
        <v>1</v>
      </c>
      <c r="S5" s="218">
        <f t="shared" si="10"/>
        <v>64</v>
      </c>
      <c r="T5" s="219" t="str">
        <f t="shared" si="11"/>
        <v>.</v>
      </c>
      <c r="U5" s="218" t="str">
        <f t="shared" si="12"/>
        <v/>
      </c>
      <c r="V5" s="218" t="str">
        <f t="shared" si="13"/>
        <v/>
      </c>
      <c r="W5" s="219" t="str">
        <f t="shared" si="14"/>
        <v/>
      </c>
      <c r="X5" s="218" t="str">
        <f t="shared" si="15"/>
        <v/>
      </c>
      <c r="Y5" s="218" t="str">
        <f t="shared" si="16"/>
        <v/>
      </c>
      <c r="Z5" s="219" t="str">
        <f t="shared" si="17"/>
        <v/>
      </c>
      <c r="AA5" s="218">
        <f t="shared" si="18"/>
        <v>1</v>
      </c>
      <c r="AB5" s="218">
        <f t="shared" si="19"/>
        <v>64</v>
      </c>
      <c r="AC5" s="219" t="str">
        <f t="shared" si="20"/>
        <v>.</v>
      </c>
      <c r="AD5" s="6"/>
      <c r="AE5" s="251">
        <v>23.3</v>
      </c>
      <c r="AF5" s="252">
        <v>34.1</v>
      </c>
      <c r="AG5" s="253">
        <v>45.8</v>
      </c>
      <c r="AH5" s="176" t="str">
        <f t="shared" si="21"/>
        <v/>
      </c>
      <c r="AI5" s="177" t="str">
        <f t="shared" si="21"/>
        <v/>
      </c>
      <c r="AJ5" s="64" t="str">
        <f t="shared" si="22"/>
        <v/>
      </c>
      <c r="AK5" s="64" t="str">
        <f t="shared" si="22"/>
        <v/>
      </c>
      <c r="AL5" s="156" t="str">
        <f t="shared" si="22"/>
        <v/>
      </c>
      <c r="AO5" s="166">
        <f>VLOOKUP(B5,Coûts!$C$10:$G$85,5,FALSE)</f>
        <v>9013.68</v>
      </c>
      <c r="AP5" s="167">
        <f t="shared" si="23"/>
        <v>386.85321888412017</v>
      </c>
      <c r="AQ5" s="167">
        <f t="shared" si="23"/>
        <v>264.33079178885629</v>
      </c>
      <c r="AR5" s="168">
        <f t="shared" si="23"/>
        <v>196.80524017467252</v>
      </c>
      <c r="AS5" s="6"/>
      <c r="AT5" s="166">
        <f>Coûts!$I$5-AE5*Coûts!$I$3</f>
        <v>4253.5760000000009</v>
      </c>
      <c r="AU5" s="167">
        <f>Coûts!$I$5-AF5*Coûts!$I$3</f>
        <v>4174.9520000000011</v>
      </c>
      <c r="AV5" s="168">
        <f>Coûts!$I$5-AG5*Coûts!$I$3</f>
        <v>4089.7760000000007</v>
      </c>
      <c r="AW5" s="6"/>
      <c r="AX5" s="166">
        <f>Coûts!$I$5-AE5*Coûts!$I$4</f>
        <v>3374.7000000000007</v>
      </c>
      <c r="AY5" s="167">
        <f>Coûts!$I$5-AF5*Coûts!$I$4</f>
        <v>2888.7000000000007</v>
      </c>
      <c r="AZ5" s="168">
        <f>Coûts!$I$5-AG5*Coûts!$I$4</f>
        <v>2362.2000000000007</v>
      </c>
      <c r="BA5" s="6"/>
      <c r="BB5" s="37" t="s">
        <v>176</v>
      </c>
      <c r="BC5" s="38">
        <v>1</v>
      </c>
      <c r="BD5" s="39">
        <v>1</v>
      </c>
      <c r="BE5" s="39">
        <v>64</v>
      </c>
      <c r="BF5" s="39">
        <v>64</v>
      </c>
      <c r="BG5" s="39" t="s">
        <v>87</v>
      </c>
      <c r="BH5" s="39">
        <v>64</v>
      </c>
      <c r="BI5" s="41">
        <v>64</v>
      </c>
      <c r="BK5" s="37" t="s">
        <v>176</v>
      </c>
      <c r="BL5" s="38">
        <v>1</v>
      </c>
      <c r="BM5" s="39">
        <v>1</v>
      </c>
      <c r="BN5" s="39">
        <v>64</v>
      </c>
      <c r="BO5" s="39">
        <v>64</v>
      </c>
      <c r="BP5" s="39" t="s">
        <v>87</v>
      </c>
      <c r="BQ5" s="39">
        <v>64</v>
      </c>
      <c r="BR5" s="41">
        <v>64</v>
      </c>
      <c r="BT5" s="37" t="s">
        <v>29</v>
      </c>
      <c r="BU5" s="38">
        <v>1</v>
      </c>
      <c r="BV5" s="39">
        <v>1</v>
      </c>
      <c r="BW5" s="39">
        <v>5</v>
      </c>
      <c r="BX5" s="39">
        <v>5</v>
      </c>
      <c r="BY5" s="39" t="s">
        <v>87</v>
      </c>
      <c r="BZ5" s="39">
        <v>5</v>
      </c>
      <c r="CA5" s="41">
        <v>5</v>
      </c>
      <c r="CC5" s="37" t="s">
        <v>29</v>
      </c>
      <c r="CD5" s="38">
        <v>1</v>
      </c>
      <c r="CE5" s="39">
        <v>1</v>
      </c>
      <c r="CF5" s="39">
        <v>5</v>
      </c>
      <c r="CG5" s="39">
        <v>5</v>
      </c>
      <c r="CH5" s="39" t="s">
        <v>87</v>
      </c>
      <c r="CI5" s="39">
        <v>5</v>
      </c>
      <c r="CJ5" s="41">
        <v>5</v>
      </c>
      <c r="CL5" s="37" t="s">
        <v>176</v>
      </c>
      <c r="CM5" s="38">
        <v>1</v>
      </c>
      <c r="CN5" s="39">
        <v>1</v>
      </c>
      <c r="CO5" s="39">
        <v>64</v>
      </c>
      <c r="CP5" s="39">
        <v>64</v>
      </c>
      <c r="CQ5" s="39" t="s">
        <v>87</v>
      </c>
      <c r="CR5" s="39">
        <v>64</v>
      </c>
      <c r="CS5" s="41">
        <v>64</v>
      </c>
      <c r="CU5" s="37" t="s">
        <v>29</v>
      </c>
      <c r="CV5" s="38">
        <v>1</v>
      </c>
      <c r="CW5" s="39">
        <v>1</v>
      </c>
      <c r="CX5" s="39">
        <v>5</v>
      </c>
      <c r="CY5" s="39">
        <v>5</v>
      </c>
      <c r="CZ5" s="39" t="s">
        <v>87</v>
      </c>
      <c r="DA5" s="39">
        <v>5</v>
      </c>
      <c r="DB5" s="41">
        <v>5</v>
      </c>
      <c r="DD5" s="37" t="s">
        <v>29</v>
      </c>
      <c r="DE5" s="38">
        <v>1</v>
      </c>
      <c r="DF5" s="39">
        <v>1</v>
      </c>
      <c r="DG5" s="39">
        <v>5</v>
      </c>
      <c r="DH5" s="39">
        <v>5</v>
      </c>
      <c r="DI5" s="39" t="s">
        <v>87</v>
      </c>
      <c r="DJ5" s="39">
        <v>5</v>
      </c>
      <c r="DK5" s="41">
        <v>5</v>
      </c>
      <c r="DM5" s="37" t="s">
        <v>176</v>
      </c>
      <c r="DN5" s="38">
        <v>1</v>
      </c>
      <c r="DO5" s="39">
        <v>1</v>
      </c>
      <c r="DP5" s="39">
        <v>64</v>
      </c>
      <c r="DQ5" s="39">
        <v>64</v>
      </c>
      <c r="DR5" s="39" t="s">
        <v>87</v>
      </c>
      <c r="DS5" s="39">
        <v>64</v>
      </c>
      <c r="DT5" s="41">
        <v>64</v>
      </c>
    </row>
    <row r="6" spans="1:125" x14ac:dyDescent="0.2">
      <c r="A6" s="50" t="s">
        <v>196</v>
      </c>
      <c r="B6" s="146" t="s">
        <v>29</v>
      </c>
      <c r="C6" s="209">
        <v>1</v>
      </c>
      <c r="D6" s="38">
        <f t="shared" si="24"/>
        <v>0</v>
      </c>
      <c r="E6" s="38">
        <f t="shared" si="25"/>
        <v>1</v>
      </c>
      <c r="F6" s="215">
        <v>1</v>
      </c>
      <c r="G6" s="216">
        <v>5</v>
      </c>
      <c r="H6" s="217" t="s">
        <v>87</v>
      </c>
      <c r="I6" s="218">
        <f t="shared" si="0"/>
        <v>1</v>
      </c>
      <c r="J6" s="218">
        <f t="shared" si="1"/>
        <v>5</v>
      </c>
      <c r="K6" s="219" t="str">
        <f t="shared" si="2"/>
        <v>.</v>
      </c>
      <c r="L6" s="218">
        <f t="shared" si="3"/>
        <v>1</v>
      </c>
      <c r="M6" s="218">
        <f t="shared" si="4"/>
        <v>5</v>
      </c>
      <c r="N6" s="219" t="str">
        <f t="shared" si="5"/>
        <v>.</v>
      </c>
      <c r="O6" s="218">
        <f t="shared" si="6"/>
        <v>1</v>
      </c>
      <c r="P6" s="218">
        <f t="shared" si="7"/>
        <v>5</v>
      </c>
      <c r="Q6" s="219" t="str">
        <f t="shared" si="8"/>
        <v>.</v>
      </c>
      <c r="R6" s="218">
        <f t="shared" si="9"/>
        <v>1</v>
      </c>
      <c r="S6" s="218">
        <f t="shared" si="10"/>
        <v>5</v>
      </c>
      <c r="T6" s="219" t="str">
        <f t="shared" si="11"/>
        <v>.</v>
      </c>
      <c r="U6" s="218">
        <f t="shared" si="12"/>
        <v>1</v>
      </c>
      <c r="V6" s="218">
        <f t="shared" si="13"/>
        <v>5</v>
      </c>
      <c r="W6" s="219" t="str">
        <f t="shared" si="14"/>
        <v>.</v>
      </c>
      <c r="X6" s="218">
        <f t="shared" si="15"/>
        <v>1</v>
      </c>
      <c r="Y6" s="218">
        <f t="shared" si="16"/>
        <v>5</v>
      </c>
      <c r="Z6" s="219" t="str">
        <f t="shared" si="17"/>
        <v>.</v>
      </c>
      <c r="AA6" s="218">
        <f t="shared" si="18"/>
        <v>1</v>
      </c>
      <c r="AB6" s="218">
        <f t="shared" si="19"/>
        <v>5</v>
      </c>
      <c r="AC6" s="219" t="str">
        <f t="shared" si="20"/>
        <v>.</v>
      </c>
      <c r="AD6" s="6"/>
      <c r="AE6" s="251">
        <v>16.8</v>
      </c>
      <c r="AF6" s="252">
        <v>25.8</v>
      </c>
      <c r="AG6" s="253">
        <v>32.200000000000003</v>
      </c>
      <c r="AH6" s="176">
        <f t="shared" si="21"/>
        <v>1</v>
      </c>
      <c r="AI6" s="177">
        <f t="shared" si="21"/>
        <v>5</v>
      </c>
      <c r="AJ6" s="64">
        <f t="shared" si="22"/>
        <v>-11.8</v>
      </c>
      <c r="AK6" s="64">
        <f t="shared" si="22"/>
        <v>-20.8</v>
      </c>
      <c r="AL6" s="156">
        <f t="shared" si="22"/>
        <v>-27.200000000000003</v>
      </c>
      <c r="AO6" s="166">
        <f>VLOOKUP(B6,Coûts!$C$10:$G$85,5,FALSE)</f>
        <v>6466.79</v>
      </c>
      <c r="AP6" s="167">
        <f t="shared" si="23"/>
        <v>384.92797619047616</v>
      </c>
      <c r="AQ6" s="167">
        <f t="shared" si="23"/>
        <v>250.65077519379844</v>
      </c>
      <c r="AR6" s="168">
        <f t="shared" si="23"/>
        <v>200.83198757763972</v>
      </c>
      <c r="AS6" s="6"/>
      <c r="AT6" s="166">
        <f>Coûts!$I$5-AE6*Coûts!$I$3</f>
        <v>4300.8960000000006</v>
      </c>
      <c r="AU6" s="167">
        <f>Coûts!$I$5-AF6*Coûts!$I$3</f>
        <v>4235.3760000000011</v>
      </c>
      <c r="AV6" s="168">
        <f>Coûts!$I$5-AG6*Coûts!$I$3</f>
        <v>4188.7840000000006</v>
      </c>
      <c r="AW6" s="6"/>
      <c r="AX6" s="166">
        <f>Coûts!$I$5-AE6*Coûts!$I$4</f>
        <v>3667.2000000000007</v>
      </c>
      <c r="AY6" s="167">
        <f>Coûts!$I$5-AF6*Coûts!$I$4</f>
        <v>3262.2000000000007</v>
      </c>
      <c r="AZ6" s="168">
        <f>Coûts!$I$5-AG6*Coûts!$I$4</f>
        <v>2974.2000000000007</v>
      </c>
      <c r="BA6" s="6"/>
      <c r="BB6" s="37" t="s">
        <v>29</v>
      </c>
      <c r="BC6" s="38">
        <v>1</v>
      </c>
      <c r="BD6" s="39">
        <v>1</v>
      </c>
      <c r="BE6" s="39">
        <v>5</v>
      </c>
      <c r="BF6" s="39">
        <v>5</v>
      </c>
      <c r="BG6" s="39" t="s">
        <v>87</v>
      </c>
      <c r="BH6" s="39">
        <v>5</v>
      </c>
      <c r="BI6" s="41">
        <v>5</v>
      </c>
      <c r="BK6" s="37" t="s">
        <v>29</v>
      </c>
      <c r="BL6" s="38">
        <v>1</v>
      </c>
      <c r="BM6" s="39">
        <v>1</v>
      </c>
      <c r="BN6" s="39">
        <v>5</v>
      </c>
      <c r="BO6" s="39">
        <v>5</v>
      </c>
      <c r="BP6" s="39" t="s">
        <v>87</v>
      </c>
      <c r="BQ6" s="39">
        <v>5</v>
      </c>
      <c r="BR6" s="41">
        <v>5</v>
      </c>
      <c r="BT6" s="37" t="s">
        <v>178</v>
      </c>
      <c r="BU6" s="38">
        <v>1</v>
      </c>
      <c r="BV6" s="39">
        <v>1</v>
      </c>
      <c r="BW6" s="39">
        <v>4</v>
      </c>
      <c r="BX6" s="39">
        <v>4</v>
      </c>
      <c r="BY6" s="39" t="s">
        <v>87</v>
      </c>
      <c r="BZ6" s="39">
        <v>4</v>
      </c>
      <c r="CA6" s="41">
        <v>4</v>
      </c>
      <c r="CC6" s="37" t="s">
        <v>178</v>
      </c>
      <c r="CD6" s="38">
        <v>1</v>
      </c>
      <c r="CE6" s="39">
        <v>1</v>
      </c>
      <c r="CF6" s="39">
        <v>4</v>
      </c>
      <c r="CG6" s="39">
        <v>4</v>
      </c>
      <c r="CH6" s="39" t="s">
        <v>87</v>
      </c>
      <c r="CI6" s="39">
        <v>4</v>
      </c>
      <c r="CJ6" s="41">
        <v>4</v>
      </c>
      <c r="CL6" s="37" t="s">
        <v>29</v>
      </c>
      <c r="CM6" s="38">
        <v>1</v>
      </c>
      <c r="CN6" s="39">
        <v>1</v>
      </c>
      <c r="CO6" s="39">
        <v>5</v>
      </c>
      <c r="CP6" s="39">
        <v>5</v>
      </c>
      <c r="CQ6" s="39" t="s">
        <v>87</v>
      </c>
      <c r="CR6" s="39">
        <v>5</v>
      </c>
      <c r="CS6" s="41">
        <v>5</v>
      </c>
      <c r="CU6" s="37" t="s">
        <v>178</v>
      </c>
      <c r="CV6" s="38">
        <v>1</v>
      </c>
      <c r="CW6" s="39">
        <v>1</v>
      </c>
      <c r="CX6" s="39">
        <v>4</v>
      </c>
      <c r="CY6" s="39">
        <v>4</v>
      </c>
      <c r="CZ6" s="39" t="s">
        <v>87</v>
      </c>
      <c r="DA6" s="39">
        <v>4</v>
      </c>
      <c r="DB6" s="41">
        <v>4</v>
      </c>
      <c r="DD6" s="37" t="s">
        <v>178</v>
      </c>
      <c r="DE6" s="38">
        <v>1</v>
      </c>
      <c r="DF6" s="39">
        <v>1</v>
      </c>
      <c r="DG6" s="39">
        <v>4</v>
      </c>
      <c r="DH6" s="39">
        <v>4</v>
      </c>
      <c r="DI6" s="39" t="s">
        <v>87</v>
      </c>
      <c r="DJ6" s="39">
        <v>4</v>
      </c>
      <c r="DK6" s="41">
        <v>4</v>
      </c>
      <c r="DM6" s="37" t="s">
        <v>29</v>
      </c>
      <c r="DN6" s="38">
        <v>1</v>
      </c>
      <c r="DO6" s="39">
        <v>1</v>
      </c>
      <c r="DP6" s="39">
        <v>5</v>
      </c>
      <c r="DQ6" s="39">
        <v>5</v>
      </c>
      <c r="DR6" s="39" t="s">
        <v>87</v>
      </c>
      <c r="DS6" s="39">
        <v>5</v>
      </c>
      <c r="DT6" s="41">
        <v>5</v>
      </c>
    </row>
    <row r="7" spans="1:125" x14ac:dyDescent="0.2">
      <c r="B7" s="146" t="s">
        <v>177</v>
      </c>
      <c r="C7" s="209">
        <v>1</v>
      </c>
      <c r="D7" s="38">
        <f t="shared" si="24"/>
        <v>0</v>
      </c>
      <c r="E7" s="38">
        <f t="shared" si="25"/>
        <v>1</v>
      </c>
      <c r="F7" s="215">
        <v>1</v>
      </c>
      <c r="G7" s="216">
        <v>96</v>
      </c>
      <c r="H7" s="217" t="s">
        <v>87</v>
      </c>
      <c r="I7" s="218" t="str">
        <f t="shared" si="0"/>
        <v/>
      </c>
      <c r="J7" s="218" t="str">
        <f t="shared" si="1"/>
        <v/>
      </c>
      <c r="K7" s="219" t="str">
        <f t="shared" si="2"/>
        <v/>
      </c>
      <c r="L7" s="218" t="str">
        <f t="shared" si="3"/>
        <v/>
      </c>
      <c r="M7" s="218" t="str">
        <f t="shared" si="4"/>
        <v/>
      </c>
      <c r="N7" s="219" t="str">
        <f t="shared" si="5"/>
        <v/>
      </c>
      <c r="O7" s="218" t="str">
        <f t="shared" si="6"/>
        <v/>
      </c>
      <c r="P7" s="218" t="str">
        <f t="shared" si="7"/>
        <v/>
      </c>
      <c r="Q7" s="219" t="str">
        <f t="shared" si="8"/>
        <v/>
      </c>
      <c r="R7" s="218">
        <f t="shared" si="9"/>
        <v>1</v>
      </c>
      <c r="S7" s="218">
        <f t="shared" si="10"/>
        <v>96</v>
      </c>
      <c r="T7" s="219" t="str">
        <f t="shared" si="11"/>
        <v>.</v>
      </c>
      <c r="U7" s="218" t="str">
        <f t="shared" si="12"/>
        <v/>
      </c>
      <c r="V7" s="218" t="str">
        <f t="shared" si="13"/>
        <v/>
      </c>
      <c r="W7" s="219" t="str">
        <f t="shared" si="14"/>
        <v/>
      </c>
      <c r="X7" s="218" t="str">
        <f t="shared" si="15"/>
        <v/>
      </c>
      <c r="Y7" s="218" t="str">
        <f t="shared" si="16"/>
        <v/>
      </c>
      <c r="Z7" s="219" t="str">
        <f t="shared" si="17"/>
        <v/>
      </c>
      <c r="AA7" s="218" t="str">
        <f t="shared" si="18"/>
        <v/>
      </c>
      <c r="AB7" s="218" t="str">
        <f t="shared" si="19"/>
        <v/>
      </c>
      <c r="AC7" s="219" t="str">
        <f t="shared" si="20"/>
        <v/>
      </c>
      <c r="AD7" s="6"/>
      <c r="AE7" s="251">
        <v>24.9</v>
      </c>
      <c r="AF7" s="252">
        <v>35.6</v>
      </c>
      <c r="AG7" s="252">
        <v>35.6</v>
      </c>
      <c r="AH7" s="176" t="str">
        <f t="shared" si="21"/>
        <v/>
      </c>
      <c r="AI7" s="177" t="str">
        <f t="shared" si="21"/>
        <v/>
      </c>
      <c r="AJ7" s="64" t="str">
        <f t="shared" si="22"/>
        <v/>
      </c>
      <c r="AK7" s="64" t="str">
        <f t="shared" si="22"/>
        <v/>
      </c>
      <c r="AL7" s="156" t="str">
        <f t="shared" si="22"/>
        <v/>
      </c>
      <c r="AO7" s="166">
        <f>VLOOKUP(B7,Coûts!$C$10:$G$85,5,FALSE)</f>
        <v>13730.88</v>
      </c>
      <c r="AP7" s="167">
        <f t="shared" si="23"/>
        <v>551.44096385542173</v>
      </c>
      <c r="AQ7" s="167">
        <f t="shared" si="23"/>
        <v>385.69887640449434</v>
      </c>
      <c r="AR7" s="168">
        <f t="shared" si="23"/>
        <v>385.69887640449434</v>
      </c>
      <c r="AS7" s="6"/>
      <c r="AT7" s="166">
        <f>Coûts!$I$5-AE7*Coûts!$I$3</f>
        <v>4241.9280000000008</v>
      </c>
      <c r="AU7" s="167">
        <f>Coûts!$I$5-AF7*Coûts!$I$3</f>
        <v>4164.0320000000011</v>
      </c>
      <c r="AV7" s="168">
        <f>Coûts!$I$5-AG7*Coûts!$I$3</f>
        <v>4164.0320000000011</v>
      </c>
      <c r="AW7" s="6"/>
      <c r="AX7" s="166">
        <f>Coûts!$I$5-AE7*Coûts!$I$4</f>
        <v>3302.7000000000007</v>
      </c>
      <c r="AY7" s="167">
        <f>Coûts!$I$5-AF7*Coûts!$I$4</f>
        <v>2821.2000000000007</v>
      </c>
      <c r="AZ7" s="168">
        <f>Coûts!$I$5-AG7*Coûts!$I$4</f>
        <v>2821.2000000000007</v>
      </c>
      <c r="BA7" s="6"/>
      <c r="BB7" s="37" t="s">
        <v>177</v>
      </c>
      <c r="BC7" s="38">
        <v>1</v>
      </c>
      <c r="BD7" s="39">
        <v>1</v>
      </c>
      <c r="BE7" s="39">
        <v>96</v>
      </c>
      <c r="BF7" s="39">
        <v>96</v>
      </c>
      <c r="BG7" s="39" t="s">
        <v>87</v>
      </c>
      <c r="BH7" s="39">
        <v>96</v>
      </c>
      <c r="BI7" s="41">
        <v>96</v>
      </c>
      <c r="BK7" s="37" t="s">
        <v>177</v>
      </c>
      <c r="BL7" s="38">
        <v>1</v>
      </c>
      <c r="BM7" s="39">
        <v>1</v>
      </c>
      <c r="BN7" s="39">
        <v>96</v>
      </c>
      <c r="BO7" s="39">
        <v>96</v>
      </c>
      <c r="BP7" s="39" t="s">
        <v>87</v>
      </c>
      <c r="BQ7" s="39">
        <v>96</v>
      </c>
      <c r="BR7" s="41">
        <v>96</v>
      </c>
      <c r="BT7" s="37" t="s">
        <v>179</v>
      </c>
      <c r="BU7" s="38">
        <v>1</v>
      </c>
      <c r="BV7" s="39">
        <v>1</v>
      </c>
      <c r="BW7" s="39">
        <v>15</v>
      </c>
      <c r="BX7" s="39">
        <v>15</v>
      </c>
      <c r="BY7" s="39" t="s">
        <v>87</v>
      </c>
      <c r="BZ7" s="39">
        <v>15</v>
      </c>
      <c r="CA7" s="41">
        <v>15</v>
      </c>
      <c r="CC7" s="37" t="s">
        <v>179</v>
      </c>
      <c r="CD7" s="38">
        <v>1</v>
      </c>
      <c r="CE7" s="39">
        <v>1</v>
      </c>
      <c r="CF7" s="39">
        <v>15</v>
      </c>
      <c r="CG7" s="39">
        <v>15</v>
      </c>
      <c r="CH7" s="39" t="s">
        <v>87</v>
      </c>
      <c r="CI7" s="39">
        <v>15</v>
      </c>
      <c r="CJ7" s="41">
        <v>15</v>
      </c>
      <c r="CL7" s="37" t="s">
        <v>178</v>
      </c>
      <c r="CM7" s="38">
        <v>1</v>
      </c>
      <c r="CN7" s="39">
        <v>1</v>
      </c>
      <c r="CO7" s="39">
        <v>4</v>
      </c>
      <c r="CP7" s="39">
        <v>4</v>
      </c>
      <c r="CQ7" s="39" t="s">
        <v>87</v>
      </c>
      <c r="CR7" s="39">
        <v>4</v>
      </c>
      <c r="CS7" s="41">
        <v>4</v>
      </c>
      <c r="CU7" s="37" t="s">
        <v>179</v>
      </c>
      <c r="CV7" s="38">
        <v>1</v>
      </c>
      <c r="CW7" s="39">
        <v>1</v>
      </c>
      <c r="CX7" s="39">
        <v>15</v>
      </c>
      <c r="CY7" s="39">
        <v>15</v>
      </c>
      <c r="CZ7" s="39" t="s">
        <v>87</v>
      </c>
      <c r="DA7" s="39">
        <v>15</v>
      </c>
      <c r="DB7" s="41">
        <v>15</v>
      </c>
      <c r="DD7" s="37" t="s">
        <v>179</v>
      </c>
      <c r="DE7" s="38">
        <v>1</v>
      </c>
      <c r="DF7" s="39">
        <v>1</v>
      </c>
      <c r="DG7" s="39">
        <v>15</v>
      </c>
      <c r="DH7" s="39">
        <v>15</v>
      </c>
      <c r="DI7" s="39" t="s">
        <v>87</v>
      </c>
      <c r="DJ7" s="39">
        <v>15</v>
      </c>
      <c r="DK7" s="41">
        <v>15</v>
      </c>
      <c r="DM7" s="37" t="s">
        <v>178</v>
      </c>
      <c r="DN7" s="38">
        <v>1</v>
      </c>
      <c r="DO7" s="39">
        <v>1</v>
      </c>
      <c r="DP7" s="39">
        <v>4</v>
      </c>
      <c r="DQ7" s="39">
        <v>4</v>
      </c>
      <c r="DR7" s="39" t="s">
        <v>87</v>
      </c>
      <c r="DS7" s="39">
        <v>4</v>
      </c>
      <c r="DT7" s="41">
        <v>4</v>
      </c>
    </row>
    <row r="8" spans="1:125" x14ac:dyDescent="0.2">
      <c r="B8" s="146" t="s">
        <v>178</v>
      </c>
      <c r="C8" s="209">
        <v>1</v>
      </c>
      <c r="D8" s="38">
        <f t="shared" si="24"/>
        <v>1</v>
      </c>
      <c r="E8" s="38">
        <f t="shared" si="25"/>
        <v>0</v>
      </c>
      <c r="F8" s="215">
        <v>1</v>
      </c>
      <c r="G8" s="216">
        <v>4</v>
      </c>
      <c r="H8" s="217" t="s">
        <v>87</v>
      </c>
      <c r="I8" s="218">
        <f t="shared" si="0"/>
        <v>1</v>
      </c>
      <c r="J8" s="218">
        <f t="shared" si="1"/>
        <v>4</v>
      </c>
      <c r="K8" s="219" t="str">
        <f t="shared" si="2"/>
        <v>.</v>
      </c>
      <c r="L8" s="218">
        <f t="shared" si="3"/>
        <v>1</v>
      </c>
      <c r="M8" s="218">
        <f t="shared" si="4"/>
        <v>4</v>
      </c>
      <c r="N8" s="219" t="str">
        <f t="shared" si="5"/>
        <v>.</v>
      </c>
      <c r="O8" s="218">
        <f t="shared" si="6"/>
        <v>1</v>
      </c>
      <c r="P8" s="218">
        <f t="shared" si="7"/>
        <v>4</v>
      </c>
      <c r="Q8" s="219" t="str">
        <f t="shared" si="8"/>
        <v>.</v>
      </c>
      <c r="R8" s="218">
        <f t="shared" si="9"/>
        <v>1</v>
      </c>
      <c r="S8" s="218">
        <f t="shared" si="10"/>
        <v>4</v>
      </c>
      <c r="T8" s="219" t="str">
        <f t="shared" si="11"/>
        <v>.</v>
      </c>
      <c r="U8" s="218">
        <f t="shared" si="12"/>
        <v>1</v>
      </c>
      <c r="V8" s="218">
        <f t="shared" si="13"/>
        <v>4</v>
      </c>
      <c r="W8" s="219" t="str">
        <f t="shared" si="14"/>
        <v>.</v>
      </c>
      <c r="X8" s="218">
        <f t="shared" si="15"/>
        <v>1</v>
      </c>
      <c r="Y8" s="218">
        <f t="shared" si="16"/>
        <v>4</v>
      </c>
      <c r="Z8" s="219" t="str">
        <f t="shared" si="17"/>
        <v>.</v>
      </c>
      <c r="AA8" s="218">
        <f t="shared" si="18"/>
        <v>1</v>
      </c>
      <c r="AB8" s="218">
        <f t="shared" si="19"/>
        <v>4</v>
      </c>
      <c r="AC8" s="219" t="str">
        <f t="shared" si="20"/>
        <v>.</v>
      </c>
      <c r="AD8" s="6"/>
      <c r="AE8" s="251">
        <v>11.2</v>
      </c>
      <c r="AF8" s="252">
        <v>14.3</v>
      </c>
      <c r="AG8" s="253">
        <v>14.4</v>
      </c>
      <c r="AH8" s="176">
        <f t="shared" si="21"/>
        <v>1</v>
      </c>
      <c r="AI8" s="177">
        <f t="shared" si="21"/>
        <v>4</v>
      </c>
      <c r="AJ8" s="64">
        <f t="shared" si="22"/>
        <v>-7.1999999999999993</v>
      </c>
      <c r="AK8" s="64">
        <f t="shared" si="22"/>
        <v>-10.3</v>
      </c>
      <c r="AL8" s="156">
        <f t="shared" si="22"/>
        <v>-10.4</v>
      </c>
      <c r="AO8" s="166">
        <f>VLOOKUP(B8,Coûts!$C$10:$G$85,5,FALSE)</f>
        <v>4919.24</v>
      </c>
      <c r="AP8" s="167">
        <f t="shared" si="23"/>
        <v>439.21785714285716</v>
      </c>
      <c r="AQ8" s="167">
        <f t="shared" si="23"/>
        <v>344.00279720279718</v>
      </c>
      <c r="AR8" s="168">
        <f t="shared" si="23"/>
        <v>341.61388888888888</v>
      </c>
      <c r="AS8" s="6"/>
      <c r="AT8" s="166">
        <f>Coûts!$I$5-AE8*Coûts!$I$3</f>
        <v>4341.6640000000007</v>
      </c>
      <c r="AU8" s="167">
        <f>Coûts!$I$5-AF8*Coûts!$I$3</f>
        <v>4319.0960000000005</v>
      </c>
      <c r="AV8" s="168">
        <f>Coûts!$I$5-AG8*Coûts!$I$3</f>
        <v>4318.3680000000004</v>
      </c>
      <c r="AW8" s="6"/>
      <c r="AX8" s="166">
        <f>Coûts!$I$5-AE8*Coûts!$I$4</f>
        <v>3919.2000000000007</v>
      </c>
      <c r="AY8" s="167">
        <f>Coûts!$I$5-AF8*Coûts!$I$4</f>
        <v>3779.7000000000007</v>
      </c>
      <c r="AZ8" s="168">
        <f>Coûts!$I$5-AG8*Coûts!$I$4</f>
        <v>3775.2000000000007</v>
      </c>
      <c r="BA8" s="6"/>
      <c r="BB8" s="37" t="s">
        <v>178</v>
      </c>
      <c r="BC8" s="38">
        <v>1</v>
      </c>
      <c r="BD8" s="39">
        <v>1</v>
      </c>
      <c r="BE8" s="39">
        <v>4</v>
      </c>
      <c r="BF8" s="39">
        <v>4</v>
      </c>
      <c r="BG8" s="39" t="s">
        <v>87</v>
      </c>
      <c r="BH8" s="39">
        <v>4</v>
      </c>
      <c r="BI8" s="41">
        <v>4</v>
      </c>
      <c r="BK8" s="37" t="s">
        <v>178</v>
      </c>
      <c r="BL8" s="38">
        <v>1</v>
      </c>
      <c r="BM8" s="39">
        <v>1</v>
      </c>
      <c r="BN8" s="39">
        <v>4</v>
      </c>
      <c r="BO8" s="39">
        <v>4</v>
      </c>
      <c r="BP8" s="39" t="s">
        <v>87</v>
      </c>
      <c r="BQ8" s="39">
        <v>4</v>
      </c>
      <c r="BR8" s="41">
        <v>4</v>
      </c>
      <c r="BT8" s="37" t="s">
        <v>52</v>
      </c>
      <c r="BU8" s="38">
        <v>1</v>
      </c>
      <c r="BV8" s="39">
        <v>1</v>
      </c>
      <c r="BW8" s="39">
        <v>13</v>
      </c>
      <c r="BX8" s="39">
        <v>13</v>
      </c>
      <c r="BY8" s="39" t="s">
        <v>87</v>
      </c>
      <c r="BZ8" s="39">
        <v>13</v>
      </c>
      <c r="CA8" s="41">
        <v>13</v>
      </c>
      <c r="CC8" s="37" t="s">
        <v>181</v>
      </c>
      <c r="CD8" s="38">
        <v>1</v>
      </c>
      <c r="CE8" s="39">
        <v>1</v>
      </c>
      <c r="CF8" s="39">
        <v>14</v>
      </c>
      <c r="CG8" s="39">
        <v>14</v>
      </c>
      <c r="CH8" s="39" t="s">
        <v>87</v>
      </c>
      <c r="CI8" s="39">
        <v>14</v>
      </c>
      <c r="CJ8" s="41">
        <v>14</v>
      </c>
      <c r="CL8" s="37" t="s">
        <v>179</v>
      </c>
      <c r="CM8" s="38">
        <v>1</v>
      </c>
      <c r="CN8" s="39">
        <v>1</v>
      </c>
      <c r="CO8" s="39">
        <v>15</v>
      </c>
      <c r="CP8" s="39">
        <v>15</v>
      </c>
      <c r="CQ8" s="39" t="s">
        <v>87</v>
      </c>
      <c r="CR8" s="39">
        <v>15</v>
      </c>
      <c r="CS8" s="41">
        <v>15</v>
      </c>
      <c r="CU8" s="37" t="s">
        <v>52</v>
      </c>
      <c r="CV8" s="38">
        <v>1</v>
      </c>
      <c r="CW8" s="39">
        <v>1</v>
      </c>
      <c r="CX8" s="39">
        <v>13</v>
      </c>
      <c r="CY8" s="39">
        <v>13</v>
      </c>
      <c r="CZ8" s="39" t="s">
        <v>87</v>
      </c>
      <c r="DA8" s="39">
        <v>13</v>
      </c>
      <c r="DB8" s="41">
        <v>13</v>
      </c>
      <c r="DD8" s="37" t="s">
        <v>181</v>
      </c>
      <c r="DE8" s="38">
        <v>1</v>
      </c>
      <c r="DF8" s="39">
        <v>1</v>
      </c>
      <c r="DG8" s="39">
        <v>14</v>
      </c>
      <c r="DH8" s="39">
        <v>14</v>
      </c>
      <c r="DI8" s="39" t="s">
        <v>87</v>
      </c>
      <c r="DJ8" s="39">
        <v>14</v>
      </c>
      <c r="DK8" s="41">
        <v>14</v>
      </c>
      <c r="DM8" s="37" t="s">
        <v>179</v>
      </c>
      <c r="DN8" s="38">
        <v>1</v>
      </c>
      <c r="DO8" s="39">
        <v>1</v>
      </c>
      <c r="DP8" s="39">
        <v>15</v>
      </c>
      <c r="DQ8" s="39">
        <v>15</v>
      </c>
      <c r="DR8" s="39" t="s">
        <v>87</v>
      </c>
      <c r="DS8" s="39">
        <v>15</v>
      </c>
      <c r="DT8" s="41">
        <v>15</v>
      </c>
    </row>
    <row r="9" spans="1:125" x14ac:dyDescent="0.2">
      <c r="B9" s="146" t="s">
        <v>179</v>
      </c>
      <c r="C9" s="209">
        <v>1</v>
      </c>
      <c r="D9" s="38">
        <f t="shared" si="24"/>
        <v>0</v>
      </c>
      <c r="E9" s="38">
        <f t="shared" si="25"/>
        <v>0</v>
      </c>
      <c r="F9" s="215">
        <v>1</v>
      </c>
      <c r="G9" s="216">
        <v>15</v>
      </c>
      <c r="H9" s="217" t="s">
        <v>87</v>
      </c>
      <c r="I9" s="218">
        <f t="shared" si="0"/>
        <v>1</v>
      </c>
      <c r="J9" s="218">
        <f t="shared" si="1"/>
        <v>15</v>
      </c>
      <c r="K9" s="219" t="str">
        <f t="shared" si="2"/>
        <v>.</v>
      </c>
      <c r="L9" s="218">
        <f t="shared" si="3"/>
        <v>1</v>
      </c>
      <c r="M9" s="218">
        <f t="shared" si="4"/>
        <v>15</v>
      </c>
      <c r="N9" s="219" t="str">
        <f t="shared" si="5"/>
        <v>.</v>
      </c>
      <c r="O9" s="218">
        <f t="shared" si="6"/>
        <v>1</v>
      </c>
      <c r="P9" s="218">
        <f t="shared" si="7"/>
        <v>15</v>
      </c>
      <c r="Q9" s="219" t="str">
        <f t="shared" si="8"/>
        <v>.</v>
      </c>
      <c r="R9" s="218">
        <f t="shared" si="9"/>
        <v>1</v>
      </c>
      <c r="S9" s="218">
        <f t="shared" si="10"/>
        <v>15</v>
      </c>
      <c r="T9" s="219" t="str">
        <f t="shared" si="11"/>
        <v>.</v>
      </c>
      <c r="U9" s="218">
        <f t="shared" si="12"/>
        <v>1</v>
      </c>
      <c r="V9" s="218">
        <f t="shared" si="13"/>
        <v>15</v>
      </c>
      <c r="W9" s="219" t="str">
        <f t="shared" si="14"/>
        <v>.</v>
      </c>
      <c r="X9" s="218">
        <f t="shared" si="15"/>
        <v>1</v>
      </c>
      <c r="Y9" s="218">
        <f t="shared" si="16"/>
        <v>15</v>
      </c>
      <c r="Z9" s="219" t="str">
        <f t="shared" si="17"/>
        <v>.</v>
      </c>
      <c r="AA9" s="218">
        <f t="shared" si="18"/>
        <v>1</v>
      </c>
      <c r="AB9" s="218">
        <f t="shared" si="19"/>
        <v>15</v>
      </c>
      <c r="AC9" s="219" t="str">
        <f t="shared" si="20"/>
        <v>.</v>
      </c>
      <c r="AD9" s="6"/>
      <c r="AE9" s="251">
        <v>6.9</v>
      </c>
      <c r="AF9" s="252">
        <v>12</v>
      </c>
      <c r="AG9" s="253">
        <v>16.2</v>
      </c>
      <c r="AH9" s="176">
        <f t="shared" si="21"/>
        <v>1</v>
      </c>
      <c r="AI9" s="177">
        <f t="shared" si="21"/>
        <v>15</v>
      </c>
      <c r="AJ9" s="64">
        <f t="shared" si="22"/>
        <v>8.1</v>
      </c>
      <c r="AK9" s="64">
        <f t="shared" si="22"/>
        <v>3</v>
      </c>
      <c r="AL9" s="156">
        <f t="shared" si="22"/>
        <v>-1.1999999999999993</v>
      </c>
      <c r="AO9" s="166">
        <f>VLOOKUP(B9,Coûts!$C$10:$G$85,5,FALSE)</f>
        <v>6239.89</v>
      </c>
      <c r="AP9" s="167">
        <f t="shared" si="23"/>
        <v>904.33188405797102</v>
      </c>
      <c r="AQ9" s="167">
        <f t="shared" si="23"/>
        <v>519.9908333333334</v>
      </c>
      <c r="AR9" s="168">
        <f t="shared" si="23"/>
        <v>385.17839506172845</v>
      </c>
      <c r="AS9" s="6"/>
      <c r="AT9" s="166">
        <f>Coûts!$I$5-AE9*Coûts!$I$3</f>
        <v>4372.9680000000008</v>
      </c>
      <c r="AU9" s="167">
        <f>Coûts!$I$5-AF9*Coûts!$I$3</f>
        <v>4335.8400000000011</v>
      </c>
      <c r="AV9" s="168">
        <f>Coûts!$I$5-AG9*Coûts!$I$3</f>
        <v>4305.264000000001</v>
      </c>
      <c r="AW9" s="6"/>
      <c r="AX9" s="166">
        <f>Coûts!$I$5-AE9*Coûts!$I$4</f>
        <v>4112.7000000000007</v>
      </c>
      <c r="AY9" s="167">
        <f>Coûts!$I$5-AF9*Coûts!$I$4</f>
        <v>3883.2000000000007</v>
      </c>
      <c r="AZ9" s="168">
        <f>Coûts!$I$5-AG9*Coûts!$I$4</f>
        <v>3694.2000000000007</v>
      </c>
      <c r="BA9" s="6"/>
      <c r="BB9" s="37" t="s">
        <v>179</v>
      </c>
      <c r="BC9" s="38">
        <v>1</v>
      </c>
      <c r="BD9" s="39">
        <v>1</v>
      </c>
      <c r="BE9" s="39">
        <v>15</v>
      </c>
      <c r="BF9" s="39">
        <v>15</v>
      </c>
      <c r="BG9" s="39" t="s">
        <v>87</v>
      </c>
      <c r="BH9" s="39">
        <v>15</v>
      </c>
      <c r="BI9" s="41">
        <v>15</v>
      </c>
      <c r="BK9" s="37" t="s">
        <v>179</v>
      </c>
      <c r="BL9" s="38">
        <v>1</v>
      </c>
      <c r="BM9" s="39">
        <v>1</v>
      </c>
      <c r="BN9" s="39">
        <v>15</v>
      </c>
      <c r="BO9" s="39">
        <v>15</v>
      </c>
      <c r="BP9" s="39" t="s">
        <v>87</v>
      </c>
      <c r="BQ9" s="39">
        <v>15</v>
      </c>
      <c r="BR9" s="41">
        <v>15</v>
      </c>
      <c r="BT9" s="37" t="s">
        <v>185</v>
      </c>
      <c r="BU9" s="38">
        <v>1</v>
      </c>
      <c r="BV9" s="39">
        <v>1</v>
      </c>
      <c r="BW9" s="39">
        <v>3</v>
      </c>
      <c r="BX9" s="39">
        <v>3</v>
      </c>
      <c r="BY9" s="39" t="s">
        <v>87</v>
      </c>
      <c r="BZ9" s="39">
        <v>3</v>
      </c>
      <c r="CA9" s="41">
        <v>3</v>
      </c>
      <c r="CC9" s="37" t="s">
        <v>52</v>
      </c>
      <c r="CD9" s="38">
        <v>1</v>
      </c>
      <c r="CE9" s="39">
        <v>1</v>
      </c>
      <c r="CF9" s="39">
        <v>13</v>
      </c>
      <c r="CG9" s="39">
        <v>13</v>
      </c>
      <c r="CH9" s="39" t="s">
        <v>87</v>
      </c>
      <c r="CI9" s="39">
        <v>13</v>
      </c>
      <c r="CJ9" s="41">
        <v>13</v>
      </c>
      <c r="CL9" s="37" t="s">
        <v>181</v>
      </c>
      <c r="CM9" s="38">
        <v>1</v>
      </c>
      <c r="CN9" s="39">
        <v>1</v>
      </c>
      <c r="CO9" s="39">
        <v>14</v>
      </c>
      <c r="CP9" s="39">
        <v>14</v>
      </c>
      <c r="CQ9" s="39" t="s">
        <v>87</v>
      </c>
      <c r="CR9" s="39">
        <v>14</v>
      </c>
      <c r="CS9" s="41">
        <v>14</v>
      </c>
      <c r="CU9" s="37" t="s">
        <v>185</v>
      </c>
      <c r="CV9" s="38">
        <v>1</v>
      </c>
      <c r="CW9" s="39">
        <v>1</v>
      </c>
      <c r="CX9" s="39">
        <v>3</v>
      </c>
      <c r="CY9" s="39">
        <v>3</v>
      </c>
      <c r="CZ9" s="39" t="s">
        <v>87</v>
      </c>
      <c r="DA9" s="39">
        <v>3</v>
      </c>
      <c r="DB9" s="41">
        <v>3</v>
      </c>
      <c r="DD9" s="37" t="s">
        <v>52</v>
      </c>
      <c r="DE9" s="38">
        <v>1</v>
      </c>
      <c r="DF9" s="39">
        <v>1</v>
      </c>
      <c r="DG9" s="39">
        <v>13</v>
      </c>
      <c r="DH9" s="39">
        <v>13</v>
      </c>
      <c r="DI9" s="39" t="s">
        <v>87</v>
      </c>
      <c r="DJ9" s="39">
        <v>13</v>
      </c>
      <c r="DK9" s="41">
        <v>13</v>
      </c>
      <c r="DM9" s="37" t="s">
        <v>180</v>
      </c>
      <c r="DN9" s="38">
        <v>1</v>
      </c>
      <c r="DO9" s="39">
        <v>1</v>
      </c>
      <c r="DP9" s="39">
        <v>33</v>
      </c>
      <c r="DQ9" s="39">
        <v>33</v>
      </c>
      <c r="DR9" s="39" t="s">
        <v>87</v>
      </c>
      <c r="DS9" s="39">
        <v>33</v>
      </c>
      <c r="DT9" s="41">
        <v>33</v>
      </c>
    </row>
    <row r="10" spans="1:125" x14ac:dyDescent="0.2">
      <c r="A10" s="50" t="s">
        <v>197</v>
      </c>
      <c r="B10" s="146" t="s">
        <v>180</v>
      </c>
      <c r="C10" s="209">
        <v>1</v>
      </c>
      <c r="D10" s="38">
        <f t="shared" si="24"/>
        <v>0</v>
      </c>
      <c r="E10" s="38">
        <f t="shared" si="25"/>
        <v>1</v>
      </c>
      <c r="F10" s="215">
        <v>1</v>
      </c>
      <c r="G10" s="216">
        <v>33</v>
      </c>
      <c r="H10" s="217" t="s">
        <v>87</v>
      </c>
      <c r="I10" s="218" t="str">
        <f t="shared" si="0"/>
        <v/>
      </c>
      <c r="J10" s="218" t="str">
        <f t="shared" si="1"/>
        <v/>
      </c>
      <c r="K10" s="219" t="str">
        <f t="shared" si="2"/>
        <v/>
      </c>
      <c r="L10" s="218" t="str">
        <f t="shared" si="3"/>
        <v/>
      </c>
      <c r="M10" s="218" t="str">
        <f t="shared" si="4"/>
        <v/>
      </c>
      <c r="N10" s="219" t="str">
        <f t="shared" si="5"/>
        <v/>
      </c>
      <c r="O10" s="218">
        <f t="shared" si="6"/>
        <v>1</v>
      </c>
      <c r="P10" s="218">
        <f t="shared" si="7"/>
        <v>33</v>
      </c>
      <c r="Q10" s="219" t="str">
        <f t="shared" si="8"/>
        <v>.</v>
      </c>
      <c r="R10" s="218" t="str">
        <f t="shared" si="9"/>
        <v/>
      </c>
      <c r="S10" s="218" t="str">
        <f t="shared" si="10"/>
        <v/>
      </c>
      <c r="T10" s="219" t="str">
        <f t="shared" si="11"/>
        <v/>
      </c>
      <c r="U10" s="218" t="str">
        <f t="shared" si="12"/>
        <v/>
      </c>
      <c r="V10" s="218" t="str">
        <f t="shared" si="13"/>
        <v/>
      </c>
      <c r="W10" s="219" t="str">
        <f t="shared" si="14"/>
        <v/>
      </c>
      <c r="X10" s="218" t="str">
        <f t="shared" si="15"/>
        <v/>
      </c>
      <c r="Y10" s="218" t="str">
        <f t="shared" si="16"/>
        <v/>
      </c>
      <c r="Z10" s="219" t="str">
        <f t="shared" si="17"/>
        <v/>
      </c>
      <c r="AA10" s="218" t="str">
        <f t="shared" si="18"/>
        <v/>
      </c>
      <c r="AB10" s="218" t="str">
        <f t="shared" si="19"/>
        <v/>
      </c>
      <c r="AC10" s="219" t="str">
        <f t="shared" si="20"/>
        <v/>
      </c>
      <c r="AD10" s="6"/>
      <c r="AE10" s="251">
        <v>18.5</v>
      </c>
      <c r="AF10" s="252">
        <v>24.3</v>
      </c>
      <c r="AG10" s="253">
        <v>41.6</v>
      </c>
      <c r="AH10" s="176" t="str">
        <f t="shared" si="21"/>
        <v/>
      </c>
      <c r="AI10" s="177" t="str">
        <f t="shared" si="21"/>
        <v/>
      </c>
      <c r="AJ10" s="64" t="str">
        <f t="shared" si="22"/>
        <v/>
      </c>
      <c r="AK10" s="64" t="str">
        <f t="shared" si="22"/>
        <v/>
      </c>
      <c r="AL10" s="156" t="str">
        <f t="shared" si="22"/>
        <v/>
      </c>
      <c r="AO10" s="166">
        <f>VLOOKUP(B10,Coûts!$C$10:$G$85,5,FALSE)</f>
        <v>7805.98</v>
      </c>
      <c r="AP10" s="167">
        <f t="shared" si="23"/>
        <v>421.94486486486483</v>
      </c>
      <c r="AQ10" s="167">
        <f t="shared" si="23"/>
        <v>321.23374485596707</v>
      </c>
      <c r="AR10" s="168">
        <f t="shared" si="23"/>
        <v>187.64374999999998</v>
      </c>
      <c r="AS10" s="6"/>
      <c r="AT10" s="166">
        <f>Coûts!$I$5-AE10*Coûts!$I$3</f>
        <v>4288.5200000000004</v>
      </c>
      <c r="AU10" s="167">
        <f>Coûts!$I$5-AF10*Coûts!$I$3</f>
        <v>4246.2960000000003</v>
      </c>
      <c r="AV10" s="168">
        <f>Coûts!$I$5-AG10*Coûts!$I$3</f>
        <v>4120.3520000000008</v>
      </c>
      <c r="AW10" s="6"/>
      <c r="AX10" s="166">
        <f>Coûts!$I$5-AE10*Coûts!$I$4</f>
        <v>3590.7000000000007</v>
      </c>
      <c r="AY10" s="167">
        <f>Coûts!$I$5-AF10*Coûts!$I$4</f>
        <v>3329.7000000000007</v>
      </c>
      <c r="AZ10" s="168">
        <f>Coûts!$I$5-AG10*Coûts!$I$4</f>
        <v>2551.2000000000007</v>
      </c>
      <c r="BA10" s="6"/>
      <c r="BB10" s="37" t="s">
        <v>180</v>
      </c>
      <c r="BC10" s="38">
        <v>1</v>
      </c>
      <c r="BD10" s="39">
        <v>1</v>
      </c>
      <c r="BE10" s="39">
        <v>33</v>
      </c>
      <c r="BF10" s="39">
        <v>33</v>
      </c>
      <c r="BG10" s="39" t="s">
        <v>87</v>
      </c>
      <c r="BH10" s="39">
        <v>33</v>
      </c>
      <c r="BI10" s="41">
        <v>33</v>
      </c>
      <c r="BK10" s="37" t="s">
        <v>181</v>
      </c>
      <c r="BL10" s="38">
        <v>1</v>
      </c>
      <c r="BM10" s="39">
        <v>1</v>
      </c>
      <c r="BN10" s="39">
        <v>14</v>
      </c>
      <c r="BO10" s="39">
        <v>14</v>
      </c>
      <c r="BP10" s="39" t="s">
        <v>87</v>
      </c>
      <c r="BQ10" s="39">
        <v>14</v>
      </c>
      <c r="BR10" s="41">
        <v>14</v>
      </c>
      <c r="BT10" s="142" t="s">
        <v>18</v>
      </c>
      <c r="BU10" s="143">
        <v>1</v>
      </c>
      <c r="BV10" s="144">
        <v>1</v>
      </c>
      <c r="BW10" s="144">
        <v>5</v>
      </c>
      <c r="BX10" s="144">
        <v>5</v>
      </c>
      <c r="BY10" s="144" t="s">
        <v>87</v>
      </c>
      <c r="BZ10" s="144">
        <v>5</v>
      </c>
      <c r="CA10" s="145">
        <v>5</v>
      </c>
      <c r="CC10" s="37" t="s">
        <v>185</v>
      </c>
      <c r="CD10" s="38">
        <v>1</v>
      </c>
      <c r="CE10" s="39">
        <v>1</v>
      </c>
      <c r="CF10" s="39">
        <v>3</v>
      </c>
      <c r="CG10" s="39">
        <v>3</v>
      </c>
      <c r="CH10" s="39" t="s">
        <v>87</v>
      </c>
      <c r="CI10" s="39">
        <v>3</v>
      </c>
      <c r="CJ10" s="41">
        <v>3</v>
      </c>
      <c r="CL10" s="37" t="s">
        <v>183</v>
      </c>
      <c r="CM10" s="38">
        <v>1</v>
      </c>
      <c r="CN10" s="39">
        <v>1</v>
      </c>
      <c r="CO10" s="39">
        <v>13</v>
      </c>
      <c r="CP10" s="39">
        <v>13</v>
      </c>
      <c r="CQ10" s="39" t="s">
        <v>87</v>
      </c>
      <c r="CR10" s="39">
        <v>13</v>
      </c>
      <c r="CS10" s="41">
        <v>13</v>
      </c>
      <c r="CU10" s="142" t="s">
        <v>18</v>
      </c>
      <c r="CV10" s="143">
        <v>1</v>
      </c>
      <c r="CW10" s="144">
        <v>1</v>
      </c>
      <c r="CX10" s="144">
        <v>5</v>
      </c>
      <c r="CY10" s="144">
        <v>5</v>
      </c>
      <c r="CZ10" s="144" t="s">
        <v>87</v>
      </c>
      <c r="DA10" s="144">
        <v>5</v>
      </c>
      <c r="DB10" s="145">
        <v>5</v>
      </c>
      <c r="DD10" s="37" t="s">
        <v>185</v>
      </c>
      <c r="DE10" s="38">
        <v>1</v>
      </c>
      <c r="DF10" s="39">
        <v>1</v>
      </c>
      <c r="DG10" s="39">
        <v>3</v>
      </c>
      <c r="DH10" s="39">
        <v>3</v>
      </c>
      <c r="DI10" s="39" t="s">
        <v>87</v>
      </c>
      <c r="DJ10" s="39">
        <v>3</v>
      </c>
      <c r="DK10" s="41">
        <v>3</v>
      </c>
      <c r="DM10" s="37" t="s">
        <v>181</v>
      </c>
      <c r="DN10" s="38">
        <v>1</v>
      </c>
      <c r="DO10" s="39">
        <v>1</v>
      </c>
      <c r="DP10" s="39">
        <v>14</v>
      </c>
      <c r="DQ10" s="39">
        <v>14</v>
      </c>
      <c r="DR10" s="39" t="s">
        <v>87</v>
      </c>
      <c r="DS10" s="39">
        <v>14</v>
      </c>
      <c r="DT10" s="41">
        <v>14</v>
      </c>
    </row>
    <row r="11" spans="1:125" x14ac:dyDescent="0.2">
      <c r="A11" s="50" t="s">
        <v>198</v>
      </c>
      <c r="B11" s="146" t="s">
        <v>181</v>
      </c>
      <c r="C11" s="209">
        <v>1</v>
      </c>
      <c r="D11" s="38">
        <f t="shared" si="24"/>
        <v>0</v>
      </c>
      <c r="E11" s="38">
        <f t="shared" si="25"/>
        <v>1</v>
      </c>
      <c r="F11" s="215">
        <v>1</v>
      </c>
      <c r="G11" s="216">
        <v>14</v>
      </c>
      <c r="H11" s="217" t="s">
        <v>87</v>
      </c>
      <c r="I11" s="218" t="str">
        <f t="shared" si="0"/>
        <v/>
      </c>
      <c r="J11" s="218" t="str">
        <f t="shared" si="1"/>
        <v/>
      </c>
      <c r="K11" s="219" t="str">
        <f t="shared" si="2"/>
        <v/>
      </c>
      <c r="L11" s="218">
        <f t="shared" si="3"/>
        <v>1</v>
      </c>
      <c r="M11" s="218">
        <f t="shared" si="4"/>
        <v>14</v>
      </c>
      <c r="N11" s="219" t="str">
        <f t="shared" si="5"/>
        <v>.</v>
      </c>
      <c r="O11" s="218">
        <f t="shared" si="6"/>
        <v>1</v>
      </c>
      <c r="P11" s="218">
        <f t="shared" si="7"/>
        <v>14</v>
      </c>
      <c r="Q11" s="219" t="str">
        <f t="shared" si="8"/>
        <v>.</v>
      </c>
      <c r="R11" s="218">
        <f t="shared" si="9"/>
        <v>1</v>
      </c>
      <c r="S11" s="218">
        <f t="shared" si="10"/>
        <v>14</v>
      </c>
      <c r="T11" s="219" t="str">
        <f t="shared" si="11"/>
        <v>.</v>
      </c>
      <c r="U11" s="218" t="str">
        <f t="shared" si="12"/>
        <v/>
      </c>
      <c r="V11" s="218" t="str">
        <f t="shared" si="13"/>
        <v/>
      </c>
      <c r="W11" s="219" t="str">
        <f t="shared" si="14"/>
        <v/>
      </c>
      <c r="X11" s="218">
        <f t="shared" si="15"/>
        <v>1</v>
      </c>
      <c r="Y11" s="218">
        <f t="shared" si="16"/>
        <v>14</v>
      </c>
      <c r="Z11" s="219" t="str">
        <f t="shared" si="17"/>
        <v>.</v>
      </c>
      <c r="AA11" s="218">
        <f t="shared" si="18"/>
        <v>1</v>
      </c>
      <c r="AB11" s="218">
        <f t="shared" si="19"/>
        <v>14</v>
      </c>
      <c r="AC11" s="219" t="str">
        <f t="shared" si="20"/>
        <v>.</v>
      </c>
      <c r="AD11" s="6"/>
      <c r="AE11" s="251">
        <v>20</v>
      </c>
      <c r="AF11" s="252">
        <v>32.9</v>
      </c>
      <c r="AG11" s="253">
        <v>51.7</v>
      </c>
      <c r="AH11" s="176" t="str">
        <f t="shared" si="21"/>
        <v/>
      </c>
      <c r="AI11" s="177" t="str">
        <f t="shared" si="21"/>
        <v/>
      </c>
      <c r="AJ11" s="64" t="str">
        <f t="shared" si="22"/>
        <v/>
      </c>
      <c r="AK11" s="64" t="str">
        <f t="shared" si="22"/>
        <v/>
      </c>
      <c r="AL11" s="156" t="str">
        <f t="shared" si="22"/>
        <v/>
      </c>
      <c r="AO11" s="166">
        <f>VLOOKUP(B11,Coûts!$C$10:$G$85,5,FALSE)</f>
        <v>10901.39</v>
      </c>
      <c r="AP11" s="167">
        <f t="shared" si="23"/>
        <v>545.06949999999995</v>
      </c>
      <c r="AQ11" s="167">
        <f t="shared" si="23"/>
        <v>331.34924012158052</v>
      </c>
      <c r="AR11" s="168">
        <f t="shared" si="23"/>
        <v>210.85860735009669</v>
      </c>
      <c r="AS11" s="6"/>
      <c r="AT11" s="166">
        <f>Coûts!$I$5-AE11*Coûts!$I$3</f>
        <v>4277.6000000000004</v>
      </c>
      <c r="AU11" s="167">
        <f>Coûts!$I$5-AF11*Coûts!$I$3</f>
        <v>4183.688000000001</v>
      </c>
      <c r="AV11" s="168">
        <f>Coûts!$I$5-AG11*Coûts!$I$3</f>
        <v>4046.8240000000005</v>
      </c>
      <c r="AW11" s="6"/>
      <c r="AX11" s="166">
        <f>Coûts!$I$5-AE11*Coûts!$I$4</f>
        <v>3523.2000000000007</v>
      </c>
      <c r="AY11" s="167">
        <f>Coûts!$I$5-AF11*Coûts!$I$4</f>
        <v>2942.7000000000007</v>
      </c>
      <c r="AZ11" s="168">
        <f>Coûts!$I$5-AG11*Coûts!$I$4</f>
        <v>2096.7000000000007</v>
      </c>
      <c r="BA11" s="6"/>
      <c r="BB11" s="37" t="s">
        <v>181</v>
      </c>
      <c r="BC11" s="38">
        <v>1</v>
      </c>
      <c r="BD11" s="39">
        <v>1</v>
      </c>
      <c r="BE11" s="39">
        <v>14</v>
      </c>
      <c r="BF11" s="39">
        <v>14</v>
      </c>
      <c r="BG11" s="39" t="s">
        <v>87</v>
      </c>
      <c r="BH11" s="39">
        <v>14</v>
      </c>
      <c r="BI11" s="41">
        <v>14</v>
      </c>
      <c r="BK11" s="37" t="s">
        <v>25</v>
      </c>
      <c r="BL11" s="38">
        <v>1</v>
      </c>
      <c r="BM11" s="39">
        <v>1</v>
      </c>
      <c r="BN11" s="39">
        <v>50</v>
      </c>
      <c r="BO11" s="39">
        <v>50</v>
      </c>
      <c r="BP11" s="39" t="s">
        <v>87</v>
      </c>
      <c r="BQ11" s="39">
        <v>50</v>
      </c>
      <c r="BR11" s="41">
        <v>50</v>
      </c>
      <c r="BT11" s="38"/>
      <c r="BU11" s="38"/>
      <c r="BV11" s="39"/>
      <c r="BW11" s="39"/>
      <c r="BX11" s="39"/>
      <c r="BY11" s="39"/>
      <c r="BZ11" s="39"/>
      <c r="CA11" s="39"/>
      <c r="CC11" s="142" t="s">
        <v>18</v>
      </c>
      <c r="CD11" s="143">
        <v>1</v>
      </c>
      <c r="CE11" s="144">
        <v>1</v>
      </c>
      <c r="CF11" s="144">
        <v>5</v>
      </c>
      <c r="CG11" s="144">
        <v>5</v>
      </c>
      <c r="CH11" s="144" t="s">
        <v>87</v>
      </c>
      <c r="CI11" s="144">
        <v>5</v>
      </c>
      <c r="CJ11" s="145">
        <v>5</v>
      </c>
      <c r="CL11" s="37" t="s">
        <v>52</v>
      </c>
      <c r="CM11" s="38">
        <v>1</v>
      </c>
      <c r="CN11" s="39">
        <v>1</v>
      </c>
      <c r="CO11" s="39">
        <v>13</v>
      </c>
      <c r="CP11" s="39">
        <v>13</v>
      </c>
      <c r="CQ11" s="39" t="s">
        <v>87</v>
      </c>
      <c r="CR11" s="39">
        <v>13</v>
      </c>
      <c r="CS11" s="41">
        <v>13</v>
      </c>
      <c r="CU11" s="38"/>
      <c r="CV11" s="38"/>
      <c r="CW11" s="39"/>
      <c r="CX11" s="39"/>
      <c r="CY11" s="39"/>
      <c r="CZ11" s="39"/>
      <c r="DA11" s="39"/>
      <c r="DB11" s="39"/>
      <c r="DD11" s="142" t="s">
        <v>18</v>
      </c>
      <c r="DE11" s="143">
        <v>1</v>
      </c>
      <c r="DF11" s="144">
        <v>1</v>
      </c>
      <c r="DG11" s="144">
        <v>5</v>
      </c>
      <c r="DH11" s="144">
        <v>5</v>
      </c>
      <c r="DI11" s="144" t="s">
        <v>87</v>
      </c>
      <c r="DJ11" s="144">
        <v>5</v>
      </c>
      <c r="DK11" s="145">
        <v>5</v>
      </c>
      <c r="DM11" s="37" t="s">
        <v>183</v>
      </c>
      <c r="DN11" s="38">
        <v>1</v>
      </c>
      <c r="DO11" s="39">
        <v>1</v>
      </c>
      <c r="DP11" s="39">
        <v>13</v>
      </c>
      <c r="DQ11" s="39">
        <v>13</v>
      </c>
      <c r="DR11" s="39" t="s">
        <v>87</v>
      </c>
      <c r="DS11" s="39">
        <v>13</v>
      </c>
      <c r="DT11" s="41">
        <v>13</v>
      </c>
    </row>
    <row r="12" spans="1:125" x14ac:dyDescent="0.2">
      <c r="A12" s="50" t="s">
        <v>98</v>
      </c>
      <c r="B12" s="146" t="s">
        <v>25</v>
      </c>
      <c r="C12" s="209">
        <v>0</v>
      </c>
      <c r="D12" s="38">
        <f t="shared" si="24"/>
        <v>0</v>
      </c>
      <c r="E12" s="38">
        <f t="shared" si="25"/>
        <v>0</v>
      </c>
      <c r="F12" s="215">
        <v>1</v>
      </c>
      <c r="G12" s="216">
        <v>50</v>
      </c>
      <c r="H12" s="217" t="s">
        <v>87</v>
      </c>
      <c r="I12" s="218" t="str">
        <f t="shared" si="0"/>
        <v/>
      </c>
      <c r="J12" s="218" t="str">
        <f t="shared" si="1"/>
        <v/>
      </c>
      <c r="K12" s="219" t="str">
        <f t="shared" si="2"/>
        <v/>
      </c>
      <c r="L12" s="218" t="str">
        <f t="shared" si="3"/>
        <v/>
      </c>
      <c r="M12" s="218" t="str">
        <f t="shared" si="4"/>
        <v/>
      </c>
      <c r="N12" s="219" t="str">
        <f t="shared" si="5"/>
        <v/>
      </c>
      <c r="O12" s="218" t="str">
        <f t="shared" si="6"/>
        <v/>
      </c>
      <c r="P12" s="218" t="str">
        <f t="shared" si="7"/>
        <v/>
      </c>
      <c r="Q12" s="219" t="str">
        <f t="shared" si="8"/>
        <v/>
      </c>
      <c r="R12" s="218">
        <f t="shared" si="9"/>
        <v>1</v>
      </c>
      <c r="S12" s="218">
        <f t="shared" si="10"/>
        <v>50</v>
      </c>
      <c r="T12" s="219" t="str">
        <f t="shared" si="11"/>
        <v>.</v>
      </c>
      <c r="U12" s="218" t="str">
        <f t="shared" si="12"/>
        <v/>
      </c>
      <c r="V12" s="218" t="str">
        <f t="shared" si="13"/>
        <v/>
      </c>
      <c r="W12" s="219" t="str">
        <f t="shared" si="14"/>
        <v/>
      </c>
      <c r="X12" s="218" t="str">
        <f t="shared" si="15"/>
        <v/>
      </c>
      <c r="Y12" s="218" t="str">
        <f t="shared" si="16"/>
        <v/>
      </c>
      <c r="Z12" s="219" t="str">
        <f t="shared" si="17"/>
        <v/>
      </c>
      <c r="AA12" s="218" t="str">
        <f t="shared" si="18"/>
        <v/>
      </c>
      <c r="AB12" s="218" t="str">
        <f t="shared" si="19"/>
        <v/>
      </c>
      <c r="AC12" s="219" t="str">
        <f t="shared" si="20"/>
        <v/>
      </c>
      <c r="AD12" s="6"/>
      <c r="AE12" s="251">
        <v>0</v>
      </c>
      <c r="AF12" s="252"/>
      <c r="AG12" s="253"/>
      <c r="AH12" s="176" t="str">
        <f t="shared" si="21"/>
        <v/>
      </c>
      <c r="AI12" s="177" t="str">
        <f t="shared" si="21"/>
        <v/>
      </c>
      <c r="AJ12" s="64" t="str">
        <f t="shared" si="22"/>
        <v/>
      </c>
      <c r="AK12" s="64" t="str">
        <f t="shared" si="22"/>
        <v/>
      </c>
      <c r="AL12" s="156" t="str">
        <f t="shared" si="22"/>
        <v/>
      </c>
      <c r="AO12" s="166">
        <f>VLOOKUP(B12,Coûts!$C$10:$G$85,5,FALSE)</f>
        <v>562.48</v>
      </c>
      <c r="AP12" s="167" t="str">
        <f t="shared" si="23"/>
        <v/>
      </c>
      <c r="AQ12" s="167" t="str">
        <f t="shared" si="23"/>
        <v/>
      </c>
      <c r="AR12" s="168" t="str">
        <f t="shared" si="23"/>
        <v/>
      </c>
      <c r="AS12" s="6"/>
      <c r="AT12" s="166">
        <f>Coûts!$I$5-AE12*Coûts!$I$3</f>
        <v>4423.2000000000007</v>
      </c>
      <c r="AU12" s="167">
        <f>Coûts!$I$5-AF12*Coûts!$I$3</f>
        <v>4423.2000000000007</v>
      </c>
      <c r="AV12" s="168">
        <f>Coûts!$I$5-AG12*Coûts!$I$3</f>
        <v>4423.2000000000007</v>
      </c>
      <c r="AW12" s="6"/>
      <c r="AX12" s="166">
        <f>Coûts!$I$5-AE12*Coûts!$I$4</f>
        <v>4423.2000000000007</v>
      </c>
      <c r="AY12" s="167">
        <f>Coûts!$I$5-AF12*Coûts!$I$4</f>
        <v>4423.2000000000007</v>
      </c>
      <c r="AZ12" s="168">
        <f>Coûts!$I$5-AG12*Coûts!$I$4</f>
        <v>4423.2000000000007</v>
      </c>
      <c r="BA12" s="6"/>
      <c r="BB12" s="37" t="s">
        <v>25</v>
      </c>
      <c r="BC12" s="38">
        <v>1</v>
      </c>
      <c r="BD12" s="39">
        <v>1</v>
      </c>
      <c r="BE12" s="39">
        <v>50</v>
      </c>
      <c r="BF12" s="39">
        <v>50</v>
      </c>
      <c r="BG12" s="39" t="s">
        <v>87</v>
      </c>
      <c r="BH12" s="39">
        <v>50</v>
      </c>
      <c r="BI12" s="41">
        <v>50</v>
      </c>
      <c r="BK12" s="37" t="s">
        <v>182</v>
      </c>
      <c r="BL12" s="38">
        <v>1</v>
      </c>
      <c r="BM12" s="39">
        <v>1</v>
      </c>
      <c r="BN12" s="39">
        <v>34</v>
      </c>
      <c r="BO12" s="39">
        <v>34</v>
      </c>
      <c r="BP12" s="39" t="s">
        <v>87</v>
      </c>
      <c r="BQ12" s="39">
        <v>34</v>
      </c>
      <c r="BR12" s="41">
        <v>34</v>
      </c>
      <c r="BT12" s="38"/>
      <c r="BU12" s="38"/>
      <c r="BV12" s="39"/>
      <c r="BW12" s="39"/>
      <c r="BX12" s="39"/>
      <c r="BY12" s="39"/>
      <c r="BZ12" s="39"/>
      <c r="CA12" s="39"/>
      <c r="CC12" s="38"/>
      <c r="CD12" s="38"/>
      <c r="CE12" s="39"/>
      <c r="CF12" s="39"/>
      <c r="CG12" s="39"/>
      <c r="CH12" s="39"/>
      <c r="CI12" s="39"/>
      <c r="CJ12" s="39"/>
      <c r="CL12" s="37" t="s">
        <v>185</v>
      </c>
      <c r="CM12" s="38">
        <v>1</v>
      </c>
      <c r="CN12" s="39">
        <v>1</v>
      </c>
      <c r="CO12" s="39">
        <v>3</v>
      </c>
      <c r="CP12" s="39">
        <v>3</v>
      </c>
      <c r="CQ12" s="39" t="s">
        <v>87</v>
      </c>
      <c r="CR12" s="39">
        <v>3</v>
      </c>
      <c r="CS12" s="41">
        <v>3</v>
      </c>
      <c r="CU12" s="38"/>
      <c r="CV12" s="38"/>
      <c r="CW12" s="39"/>
      <c r="CX12" s="39"/>
      <c r="CY12" s="39"/>
      <c r="CZ12" s="39"/>
      <c r="DA12" s="39"/>
      <c r="DB12" s="39"/>
      <c r="DD12" s="38"/>
      <c r="DE12" s="38"/>
      <c r="DF12" s="39"/>
      <c r="DG12" s="39"/>
      <c r="DH12" s="39"/>
      <c r="DI12" s="39"/>
      <c r="DJ12" s="39"/>
      <c r="DK12" s="39"/>
      <c r="DM12" s="37" t="s">
        <v>52</v>
      </c>
      <c r="DN12" s="38">
        <v>1</v>
      </c>
      <c r="DO12" s="39">
        <v>1</v>
      </c>
      <c r="DP12" s="39">
        <v>13</v>
      </c>
      <c r="DQ12" s="39">
        <v>13</v>
      </c>
      <c r="DR12" s="39" t="s">
        <v>87</v>
      </c>
      <c r="DS12" s="39">
        <v>13</v>
      </c>
      <c r="DT12" s="41">
        <v>13</v>
      </c>
    </row>
    <row r="13" spans="1:125" x14ac:dyDescent="0.2">
      <c r="A13" s="50" t="s">
        <v>199</v>
      </c>
      <c r="B13" s="146" t="s">
        <v>182</v>
      </c>
      <c r="C13" s="209">
        <v>1</v>
      </c>
      <c r="D13" s="38">
        <f t="shared" si="24"/>
        <v>0</v>
      </c>
      <c r="E13" s="38">
        <f t="shared" si="25"/>
        <v>1</v>
      </c>
      <c r="F13" s="215">
        <v>1</v>
      </c>
      <c r="G13" s="216">
        <v>34</v>
      </c>
      <c r="H13" s="217" t="s">
        <v>87</v>
      </c>
      <c r="I13" s="218" t="str">
        <f t="shared" si="0"/>
        <v/>
      </c>
      <c r="J13" s="218" t="str">
        <f t="shared" si="1"/>
        <v/>
      </c>
      <c r="K13" s="219" t="str">
        <f t="shared" si="2"/>
        <v/>
      </c>
      <c r="L13" s="218" t="str">
        <f t="shared" si="3"/>
        <v/>
      </c>
      <c r="M13" s="218" t="str">
        <f t="shared" si="4"/>
        <v/>
      </c>
      <c r="N13" s="219" t="str">
        <f t="shared" si="5"/>
        <v/>
      </c>
      <c r="O13" s="218" t="str">
        <f t="shared" si="6"/>
        <v/>
      </c>
      <c r="P13" s="218" t="str">
        <f t="shared" si="7"/>
        <v/>
      </c>
      <c r="Q13" s="219" t="str">
        <f t="shared" si="8"/>
        <v/>
      </c>
      <c r="R13" s="218">
        <f t="shared" si="9"/>
        <v>1</v>
      </c>
      <c r="S13" s="218">
        <f t="shared" si="10"/>
        <v>34</v>
      </c>
      <c r="T13" s="219" t="str">
        <f t="shared" si="11"/>
        <v>.</v>
      </c>
      <c r="U13" s="218" t="str">
        <f t="shared" si="12"/>
        <v/>
      </c>
      <c r="V13" s="218" t="str">
        <f t="shared" si="13"/>
        <v/>
      </c>
      <c r="W13" s="219" t="str">
        <f t="shared" si="14"/>
        <v/>
      </c>
      <c r="X13" s="218" t="str">
        <f t="shared" si="15"/>
        <v/>
      </c>
      <c r="Y13" s="218" t="str">
        <f t="shared" si="16"/>
        <v/>
      </c>
      <c r="Z13" s="219" t="str">
        <f t="shared" si="17"/>
        <v/>
      </c>
      <c r="AA13" s="218" t="str">
        <f t="shared" si="18"/>
        <v/>
      </c>
      <c r="AB13" s="218" t="str">
        <f t="shared" si="19"/>
        <v/>
      </c>
      <c r="AC13" s="219" t="str">
        <f t="shared" si="20"/>
        <v/>
      </c>
      <c r="AD13" s="6"/>
      <c r="AE13" s="251">
        <v>14.3</v>
      </c>
      <c r="AF13" s="252">
        <v>25.1</v>
      </c>
      <c r="AG13" s="253">
        <v>31.2</v>
      </c>
      <c r="AH13" s="176" t="str">
        <f t="shared" si="21"/>
        <v/>
      </c>
      <c r="AI13" s="177" t="str">
        <f t="shared" si="21"/>
        <v/>
      </c>
      <c r="AJ13" s="64" t="str">
        <f t="shared" si="22"/>
        <v/>
      </c>
      <c r="AK13" s="64" t="str">
        <f t="shared" si="22"/>
        <v/>
      </c>
      <c r="AL13" s="156" t="str">
        <f t="shared" si="22"/>
        <v/>
      </c>
      <c r="AO13" s="166">
        <f>VLOOKUP(B13,Coûts!$C$10:$G$85,5,FALSE)</f>
        <v>7493.5</v>
      </c>
      <c r="AP13" s="167">
        <f t="shared" si="23"/>
        <v>524.02097902097898</v>
      </c>
      <c r="AQ13" s="167">
        <f t="shared" si="23"/>
        <v>298.54581673306774</v>
      </c>
      <c r="AR13" s="168">
        <f t="shared" si="23"/>
        <v>240.17628205128204</v>
      </c>
      <c r="AS13" s="6"/>
      <c r="AT13" s="166">
        <f>Coûts!$I$5-AE13*Coûts!$I$3</f>
        <v>4319.0960000000005</v>
      </c>
      <c r="AU13" s="167">
        <f>Coûts!$I$5-AF13*Coûts!$I$3</f>
        <v>4240.4720000000007</v>
      </c>
      <c r="AV13" s="168">
        <f>Coûts!$I$5-AG13*Coûts!$I$3</f>
        <v>4196.0640000000003</v>
      </c>
      <c r="AW13" s="6"/>
      <c r="AX13" s="166">
        <f>Coûts!$I$5-AE13*Coûts!$I$4</f>
        <v>3779.7000000000007</v>
      </c>
      <c r="AY13" s="167">
        <f>Coûts!$I$5-AF13*Coûts!$I$4</f>
        <v>3293.7000000000007</v>
      </c>
      <c r="AZ13" s="168">
        <f>Coûts!$I$5-AG13*Coûts!$I$4</f>
        <v>3019.2000000000007</v>
      </c>
      <c r="BA13" s="6"/>
      <c r="BB13" s="37" t="s">
        <v>182</v>
      </c>
      <c r="BC13" s="38">
        <v>1</v>
      </c>
      <c r="BD13" s="39">
        <v>1</v>
      </c>
      <c r="BE13" s="39">
        <v>34</v>
      </c>
      <c r="BF13" s="39">
        <v>34</v>
      </c>
      <c r="BG13" s="39" t="s">
        <v>87</v>
      </c>
      <c r="BH13" s="39">
        <v>34</v>
      </c>
      <c r="BI13" s="41">
        <v>34</v>
      </c>
      <c r="BK13" s="37" t="s">
        <v>183</v>
      </c>
      <c r="BL13" s="38">
        <v>1</v>
      </c>
      <c r="BM13" s="39">
        <v>1</v>
      </c>
      <c r="BN13" s="39">
        <v>13</v>
      </c>
      <c r="BO13" s="39">
        <v>13</v>
      </c>
      <c r="BP13" s="39" t="s">
        <v>87</v>
      </c>
      <c r="BQ13" s="39">
        <v>13</v>
      </c>
      <c r="BR13" s="41">
        <v>13</v>
      </c>
      <c r="BT13" s="38"/>
      <c r="BU13" s="38"/>
      <c r="BV13" s="39"/>
      <c r="BW13" s="39"/>
      <c r="BX13" s="39"/>
      <c r="BY13" s="39"/>
      <c r="BZ13" s="39"/>
      <c r="CA13" s="39"/>
      <c r="CC13" s="38"/>
      <c r="CD13" s="38"/>
      <c r="CE13" s="39"/>
      <c r="CF13" s="39"/>
      <c r="CG13" s="39"/>
      <c r="CH13" s="39"/>
      <c r="CI13" s="39"/>
      <c r="CJ13" s="39"/>
      <c r="CL13" s="142" t="s">
        <v>18</v>
      </c>
      <c r="CM13" s="143">
        <v>1</v>
      </c>
      <c r="CN13" s="144">
        <v>1</v>
      </c>
      <c r="CO13" s="144">
        <v>5</v>
      </c>
      <c r="CP13" s="144">
        <v>5</v>
      </c>
      <c r="CQ13" s="144" t="s">
        <v>87</v>
      </c>
      <c r="CR13" s="144">
        <v>5</v>
      </c>
      <c r="CS13" s="145">
        <v>5</v>
      </c>
      <c r="CU13" s="38"/>
      <c r="CV13" s="38"/>
      <c r="CW13" s="39"/>
      <c r="CX13" s="39"/>
      <c r="CY13" s="39"/>
      <c r="CZ13" s="39"/>
      <c r="DA13" s="39"/>
      <c r="DB13" s="39"/>
      <c r="DD13" s="38"/>
      <c r="DE13" s="38"/>
      <c r="DF13" s="39"/>
      <c r="DG13" s="39"/>
      <c r="DH13" s="39"/>
      <c r="DI13" s="39"/>
      <c r="DJ13" s="39"/>
      <c r="DK13" s="39"/>
      <c r="DM13" s="37" t="s">
        <v>185</v>
      </c>
      <c r="DN13" s="38">
        <v>1</v>
      </c>
      <c r="DO13" s="39">
        <v>1</v>
      </c>
      <c r="DP13" s="39">
        <v>3</v>
      </c>
      <c r="DQ13" s="39">
        <v>3</v>
      </c>
      <c r="DR13" s="39" t="s">
        <v>87</v>
      </c>
      <c r="DS13" s="39">
        <v>3</v>
      </c>
      <c r="DT13" s="41">
        <v>3</v>
      </c>
    </row>
    <row r="14" spans="1:125" x14ac:dyDescent="0.2">
      <c r="B14" s="146" t="s">
        <v>183</v>
      </c>
      <c r="C14" s="209">
        <v>1</v>
      </c>
      <c r="D14" s="38">
        <f t="shared" si="24"/>
        <v>1</v>
      </c>
      <c r="E14" s="38">
        <f t="shared" si="25"/>
        <v>0</v>
      </c>
      <c r="F14" s="215">
        <v>1</v>
      </c>
      <c r="G14" s="216">
        <v>13</v>
      </c>
      <c r="H14" s="217" t="s">
        <v>87</v>
      </c>
      <c r="I14" s="218" t="str">
        <f t="shared" si="0"/>
        <v/>
      </c>
      <c r="J14" s="218" t="str">
        <f t="shared" si="1"/>
        <v/>
      </c>
      <c r="K14" s="219" t="str">
        <f t="shared" si="2"/>
        <v/>
      </c>
      <c r="L14" s="218" t="str">
        <f t="shared" si="3"/>
        <v/>
      </c>
      <c r="M14" s="218" t="str">
        <f t="shared" si="4"/>
        <v/>
      </c>
      <c r="N14" s="219" t="str">
        <f t="shared" si="5"/>
        <v/>
      </c>
      <c r="O14" s="218">
        <f t="shared" si="6"/>
        <v>1</v>
      </c>
      <c r="P14" s="218">
        <f t="shared" si="7"/>
        <v>13</v>
      </c>
      <c r="Q14" s="219" t="str">
        <f t="shared" si="8"/>
        <v>.</v>
      </c>
      <c r="R14" s="218">
        <f t="shared" si="9"/>
        <v>1</v>
      </c>
      <c r="S14" s="218">
        <f t="shared" si="10"/>
        <v>13</v>
      </c>
      <c r="T14" s="219" t="str">
        <f t="shared" si="11"/>
        <v>.</v>
      </c>
      <c r="U14" s="218" t="str">
        <f t="shared" si="12"/>
        <v/>
      </c>
      <c r="V14" s="218" t="str">
        <f t="shared" si="13"/>
        <v/>
      </c>
      <c r="W14" s="219" t="str">
        <f t="shared" si="14"/>
        <v/>
      </c>
      <c r="X14" s="218" t="str">
        <f t="shared" si="15"/>
        <v/>
      </c>
      <c r="Y14" s="218" t="str">
        <f t="shared" si="16"/>
        <v/>
      </c>
      <c r="Z14" s="219" t="str">
        <f t="shared" si="17"/>
        <v/>
      </c>
      <c r="AA14" s="218">
        <f t="shared" si="18"/>
        <v>1</v>
      </c>
      <c r="AB14" s="218">
        <f t="shared" si="19"/>
        <v>13</v>
      </c>
      <c r="AC14" s="219" t="str">
        <f t="shared" si="20"/>
        <v>.</v>
      </c>
      <c r="AD14" s="6"/>
      <c r="AE14" s="251">
        <v>19.510000000000002</v>
      </c>
      <c r="AF14" s="252">
        <v>26.1</v>
      </c>
      <c r="AG14" s="253">
        <v>23.2</v>
      </c>
      <c r="AH14" s="176" t="str">
        <f t="shared" si="21"/>
        <v/>
      </c>
      <c r="AI14" s="177" t="str">
        <f t="shared" si="21"/>
        <v/>
      </c>
      <c r="AJ14" s="64" t="str">
        <f t="shared" si="22"/>
        <v/>
      </c>
      <c r="AK14" s="64" t="str">
        <f t="shared" si="22"/>
        <v/>
      </c>
      <c r="AL14" s="156" t="str">
        <f t="shared" si="22"/>
        <v/>
      </c>
      <c r="AO14" s="166">
        <f>VLOOKUP(B14,Coûts!$C$10:$G$85,5,FALSE)</f>
        <v>13329.38</v>
      </c>
      <c r="AP14" s="167">
        <f t="shared" si="23"/>
        <v>683.20758585340843</v>
      </c>
      <c r="AQ14" s="167">
        <f t="shared" si="23"/>
        <v>510.70421455938691</v>
      </c>
      <c r="AR14" s="168">
        <f t="shared" si="23"/>
        <v>574.54224137931033</v>
      </c>
      <c r="AS14" s="6"/>
      <c r="AT14" s="166">
        <f>Coûts!$I$5-AE14*Coûts!$I$3</f>
        <v>4281.1672000000008</v>
      </c>
      <c r="AU14" s="167">
        <f>Coûts!$I$5-AF14*Coûts!$I$3</f>
        <v>4233.1920000000009</v>
      </c>
      <c r="AV14" s="168">
        <f>Coûts!$I$5-AG14*Coûts!$I$3</f>
        <v>4254.304000000001</v>
      </c>
      <c r="AW14" s="6"/>
      <c r="AX14" s="166">
        <f>Coûts!$I$5-AE14*Coûts!$I$4</f>
        <v>3545.2500000000009</v>
      </c>
      <c r="AY14" s="167">
        <f>Coûts!$I$5-AF14*Coûts!$I$4</f>
        <v>3248.7000000000007</v>
      </c>
      <c r="AZ14" s="168">
        <f>Coûts!$I$5-AG14*Coûts!$I$4</f>
        <v>3379.2000000000007</v>
      </c>
      <c r="BA14" s="6"/>
      <c r="BB14" s="37" t="s">
        <v>183</v>
      </c>
      <c r="BC14" s="38">
        <v>1</v>
      </c>
      <c r="BD14" s="39">
        <v>1</v>
      </c>
      <c r="BE14" s="39">
        <v>13</v>
      </c>
      <c r="BF14" s="39">
        <v>13</v>
      </c>
      <c r="BG14" s="39" t="s">
        <v>87</v>
      </c>
      <c r="BH14" s="39">
        <v>13</v>
      </c>
      <c r="BI14" s="41">
        <v>13</v>
      </c>
      <c r="BK14" s="37" t="s">
        <v>52</v>
      </c>
      <c r="BL14" s="38">
        <v>1</v>
      </c>
      <c r="BM14" s="39">
        <v>1</v>
      </c>
      <c r="BN14" s="39">
        <v>13</v>
      </c>
      <c r="BO14" s="39">
        <v>13</v>
      </c>
      <c r="BP14" s="39" t="s">
        <v>87</v>
      </c>
      <c r="BQ14" s="39">
        <v>13</v>
      </c>
      <c r="BR14" s="41">
        <v>13</v>
      </c>
      <c r="BT14" s="38"/>
      <c r="BU14" s="38"/>
      <c r="BV14" s="39"/>
      <c r="BW14" s="39"/>
      <c r="BX14" s="39"/>
      <c r="BY14" s="39"/>
      <c r="BZ14" s="39"/>
      <c r="CA14" s="39"/>
      <c r="CC14" s="38"/>
      <c r="CD14" s="38"/>
      <c r="CE14" s="39"/>
      <c r="CF14" s="39"/>
      <c r="CG14" s="39"/>
      <c r="CH14" s="39"/>
      <c r="CI14" s="39"/>
      <c r="CJ14" s="39"/>
      <c r="CL14" s="38"/>
      <c r="CM14" s="38"/>
      <c r="CN14" s="39"/>
      <c r="CO14" s="39"/>
      <c r="CP14" s="39"/>
      <c r="CQ14" s="39"/>
      <c r="CR14" s="39"/>
      <c r="CS14" s="39"/>
      <c r="CU14" s="38"/>
      <c r="CV14" s="38"/>
      <c r="CW14" s="39"/>
      <c r="CX14" s="39"/>
      <c r="CY14" s="39"/>
      <c r="CZ14" s="39"/>
      <c r="DA14" s="39"/>
      <c r="DB14" s="39"/>
      <c r="DD14" s="38"/>
      <c r="DE14" s="38"/>
      <c r="DF14" s="39"/>
      <c r="DG14" s="39"/>
      <c r="DH14" s="39"/>
      <c r="DI14" s="39"/>
      <c r="DJ14" s="39"/>
      <c r="DK14" s="39"/>
      <c r="DM14" s="142" t="s">
        <v>18</v>
      </c>
      <c r="DN14" s="143">
        <v>1</v>
      </c>
      <c r="DO14" s="144">
        <v>1</v>
      </c>
      <c r="DP14" s="144">
        <v>5</v>
      </c>
      <c r="DQ14" s="144">
        <v>5</v>
      </c>
      <c r="DR14" s="144" t="s">
        <v>87</v>
      </c>
      <c r="DS14" s="144">
        <v>5</v>
      </c>
      <c r="DT14" s="145">
        <v>5</v>
      </c>
    </row>
    <row r="15" spans="1:125" x14ac:dyDescent="0.2">
      <c r="B15" s="146" t="s">
        <v>184</v>
      </c>
      <c r="C15" s="209">
        <v>1</v>
      </c>
      <c r="D15" s="38">
        <f t="shared" si="24"/>
        <v>0</v>
      </c>
      <c r="E15" s="38">
        <f t="shared" si="25"/>
        <v>1</v>
      </c>
      <c r="F15" s="215">
        <v>1</v>
      </c>
      <c r="G15" s="216">
        <v>46</v>
      </c>
      <c r="H15" s="217" t="s">
        <v>87</v>
      </c>
      <c r="I15" s="218" t="str">
        <f t="shared" si="0"/>
        <v/>
      </c>
      <c r="J15" s="218" t="str">
        <f t="shared" si="1"/>
        <v/>
      </c>
      <c r="K15" s="219" t="str">
        <f t="shared" si="2"/>
        <v/>
      </c>
      <c r="L15" s="218" t="str">
        <f t="shared" si="3"/>
        <v/>
      </c>
      <c r="M15" s="218" t="str">
        <f t="shared" si="4"/>
        <v/>
      </c>
      <c r="N15" s="219" t="str">
        <f t="shared" si="5"/>
        <v/>
      </c>
      <c r="O15" s="218" t="str">
        <f t="shared" si="6"/>
        <v/>
      </c>
      <c r="P15" s="218" t="str">
        <f t="shared" si="7"/>
        <v/>
      </c>
      <c r="Q15" s="219" t="str">
        <f t="shared" si="8"/>
        <v/>
      </c>
      <c r="R15" s="218" t="str">
        <f t="shared" si="9"/>
        <v/>
      </c>
      <c r="S15" s="218" t="str">
        <f t="shared" si="10"/>
        <v/>
      </c>
      <c r="T15" s="219" t="str">
        <f t="shared" si="11"/>
        <v/>
      </c>
      <c r="U15" s="218" t="str">
        <f t="shared" si="12"/>
        <v/>
      </c>
      <c r="V15" s="218" t="str">
        <f t="shared" si="13"/>
        <v/>
      </c>
      <c r="W15" s="219" t="str">
        <f t="shared" si="14"/>
        <v/>
      </c>
      <c r="X15" s="218" t="str">
        <f t="shared" si="15"/>
        <v/>
      </c>
      <c r="Y15" s="218" t="str">
        <f t="shared" si="16"/>
        <v/>
      </c>
      <c r="Z15" s="219" t="str">
        <f t="shared" si="17"/>
        <v/>
      </c>
      <c r="AA15" s="218" t="str">
        <f t="shared" si="18"/>
        <v/>
      </c>
      <c r="AB15" s="218" t="str">
        <f t="shared" si="19"/>
        <v/>
      </c>
      <c r="AC15" s="219" t="str">
        <f t="shared" si="20"/>
        <v/>
      </c>
      <c r="AD15" s="6"/>
      <c r="AE15" s="251">
        <v>31.8</v>
      </c>
      <c r="AF15" s="252">
        <v>39.299999999999997</v>
      </c>
      <c r="AG15" s="253">
        <v>47.2</v>
      </c>
      <c r="AH15" s="176" t="str">
        <f t="shared" si="21"/>
        <v/>
      </c>
      <c r="AI15" s="177" t="str">
        <f t="shared" si="21"/>
        <v/>
      </c>
      <c r="AJ15" s="64" t="str">
        <f t="shared" si="22"/>
        <v/>
      </c>
      <c r="AK15" s="64" t="str">
        <f t="shared" si="22"/>
        <v/>
      </c>
      <c r="AL15" s="156" t="str">
        <f t="shared" si="22"/>
        <v/>
      </c>
      <c r="AO15" s="166">
        <f>VLOOKUP(B15,Coûts!$C$10:$G$85,5,FALSE)</f>
        <v>22099.82</v>
      </c>
      <c r="AP15" s="167">
        <f t="shared" si="23"/>
        <v>694.96289308176097</v>
      </c>
      <c r="AQ15" s="167">
        <f t="shared" si="23"/>
        <v>562.33638676844782</v>
      </c>
      <c r="AR15" s="168">
        <f t="shared" si="23"/>
        <v>468.2165254237288</v>
      </c>
      <c r="AS15" s="6"/>
      <c r="AT15" s="166">
        <f>Coûts!$I$5-AE15*Coûts!$I$3</f>
        <v>4191.6960000000008</v>
      </c>
      <c r="AU15" s="167">
        <f>Coûts!$I$5-AF15*Coûts!$I$3</f>
        <v>4137.0960000000005</v>
      </c>
      <c r="AV15" s="168">
        <f>Coûts!$I$5-AG15*Coûts!$I$3</f>
        <v>4079.5840000000007</v>
      </c>
      <c r="AW15" s="6"/>
      <c r="AX15" s="166">
        <f>Coûts!$I$5-AE15*Coûts!$I$4</f>
        <v>2992.2000000000007</v>
      </c>
      <c r="AY15" s="167">
        <f>Coûts!$I$5-AF15*Coûts!$I$4</f>
        <v>2654.7000000000007</v>
      </c>
      <c r="AZ15" s="168">
        <f>Coûts!$I$5-AG15*Coûts!$I$4</f>
        <v>2299.2000000000007</v>
      </c>
      <c r="BA15" s="6"/>
      <c r="BB15" s="37" t="s">
        <v>184</v>
      </c>
      <c r="BC15" s="38">
        <v>1</v>
      </c>
      <c r="BD15" s="39">
        <v>1</v>
      </c>
      <c r="BE15" s="39">
        <v>46</v>
      </c>
      <c r="BF15" s="39">
        <v>46</v>
      </c>
      <c r="BG15" s="39" t="s">
        <v>87</v>
      </c>
      <c r="BH15" s="39">
        <v>46</v>
      </c>
      <c r="BI15" s="41">
        <v>46</v>
      </c>
      <c r="BK15" s="37" t="s">
        <v>185</v>
      </c>
      <c r="BL15" s="38">
        <v>1</v>
      </c>
      <c r="BM15" s="39">
        <v>1</v>
      </c>
      <c r="BN15" s="39">
        <v>3</v>
      </c>
      <c r="BO15" s="39">
        <v>3</v>
      </c>
      <c r="BP15" s="39" t="s">
        <v>87</v>
      </c>
      <c r="BQ15" s="39">
        <v>3</v>
      </c>
      <c r="BR15" s="41">
        <v>3</v>
      </c>
      <c r="BT15" s="38"/>
      <c r="BU15" s="38"/>
      <c r="BV15" s="39"/>
      <c r="BW15" s="39"/>
      <c r="BX15" s="39"/>
      <c r="BY15" s="39"/>
      <c r="BZ15" s="39"/>
      <c r="CA15" s="39"/>
      <c r="CC15" s="38"/>
      <c r="CD15" s="38"/>
      <c r="CE15" s="39"/>
      <c r="CF15" s="39"/>
      <c r="CG15" s="39"/>
      <c r="CH15" s="39"/>
      <c r="CI15" s="39"/>
      <c r="CJ15" s="39"/>
      <c r="CL15" s="38"/>
      <c r="CM15" s="38"/>
      <c r="CN15" s="39"/>
      <c r="CO15" s="39"/>
      <c r="CP15" s="39"/>
      <c r="CQ15" s="39"/>
      <c r="CR15" s="39"/>
      <c r="CS15" s="39"/>
      <c r="CU15" s="38"/>
      <c r="CV15" s="38"/>
      <c r="CW15" s="39"/>
      <c r="CX15" s="39"/>
      <c r="CY15" s="39"/>
      <c r="CZ15" s="39"/>
      <c r="DA15" s="39"/>
      <c r="DB15" s="39"/>
      <c r="DD15" s="38"/>
      <c r="DE15" s="38"/>
      <c r="DF15" s="39"/>
      <c r="DG15" s="39"/>
      <c r="DH15" s="39"/>
      <c r="DI15" s="39"/>
      <c r="DJ15" s="39"/>
      <c r="DK15" s="39"/>
      <c r="DM15" s="38"/>
      <c r="DN15" s="38"/>
      <c r="DO15" s="39"/>
      <c r="DP15" s="39"/>
      <c r="DQ15" s="39"/>
      <c r="DR15" s="39"/>
      <c r="DS15" s="39"/>
      <c r="DT15" s="39"/>
    </row>
    <row r="16" spans="1:125" x14ac:dyDescent="0.2">
      <c r="B16" s="146" t="s">
        <v>52</v>
      </c>
      <c r="C16" s="209">
        <v>1</v>
      </c>
      <c r="D16" s="38">
        <f t="shared" si="24"/>
        <v>1</v>
      </c>
      <c r="E16" s="38">
        <f t="shared" si="25"/>
        <v>0</v>
      </c>
      <c r="F16" s="215">
        <v>1</v>
      </c>
      <c r="G16" s="216">
        <v>13</v>
      </c>
      <c r="H16" s="217" t="s">
        <v>87</v>
      </c>
      <c r="I16" s="218">
        <f t="shared" si="0"/>
        <v>1</v>
      </c>
      <c r="J16" s="218">
        <f t="shared" si="1"/>
        <v>13</v>
      </c>
      <c r="K16" s="219" t="str">
        <f t="shared" si="2"/>
        <v>.</v>
      </c>
      <c r="L16" s="218">
        <f t="shared" si="3"/>
        <v>1</v>
      </c>
      <c r="M16" s="218">
        <f t="shared" si="4"/>
        <v>13</v>
      </c>
      <c r="N16" s="219" t="str">
        <f t="shared" si="5"/>
        <v>.</v>
      </c>
      <c r="O16" s="218">
        <f t="shared" si="6"/>
        <v>1</v>
      </c>
      <c r="P16" s="218">
        <f t="shared" si="7"/>
        <v>13</v>
      </c>
      <c r="Q16" s="219" t="str">
        <f t="shared" si="8"/>
        <v>.</v>
      </c>
      <c r="R16" s="218">
        <f t="shared" si="9"/>
        <v>1</v>
      </c>
      <c r="S16" s="218">
        <f t="shared" si="10"/>
        <v>13</v>
      </c>
      <c r="T16" s="219" t="str">
        <f t="shared" si="11"/>
        <v>.</v>
      </c>
      <c r="U16" s="218">
        <f t="shared" si="12"/>
        <v>1</v>
      </c>
      <c r="V16" s="218">
        <f t="shared" si="13"/>
        <v>13</v>
      </c>
      <c r="W16" s="219" t="str">
        <f t="shared" si="14"/>
        <v>.</v>
      </c>
      <c r="X16" s="218">
        <f t="shared" si="15"/>
        <v>1</v>
      </c>
      <c r="Y16" s="218">
        <f t="shared" si="16"/>
        <v>13</v>
      </c>
      <c r="Z16" s="219" t="str">
        <f t="shared" si="17"/>
        <v>.</v>
      </c>
      <c r="AA16" s="218">
        <f t="shared" si="18"/>
        <v>1</v>
      </c>
      <c r="AB16" s="218">
        <f t="shared" si="19"/>
        <v>13</v>
      </c>
      <c r="AC16" s="219" t="str">
        <f t="shared" si="20"/>
        <v>.</v>
      </c>
      <c r="AD16" s="6"/>
      <c r="AE16" s="251">
        <v>13.6</v>
      </c>
      <c r="AF16" s="252">
        <v>17.7</v>
      </c>
      <c r="AG16" s="253">
        <v>20.8</v>
      </c>
      <c r="AH16" s="176">
        <f t="shared" si="21"/>
        <v>1</v>
      </c>
      <c r="AI16" s="177">
        <f t="shared" si="21"/>
        <v>13</v>
      </c>
      <c r="AJ16" s="64">
        <f t="shared" si="22"/>
        <v>-0.59999999999999964</v>
      </c>
      <c r="AK16" s="64">
        <f t="shared" si="22"/>
        <v>-4.6999999999999993</v>
      </c>
      <c r="AL16" s="156">
        <f t="shared" si="22"/>
        <v>-7.8000000000000007</v>
      </c>
      <c r="AO16" s="166">
        <f>VLOOKUP(B16,Coûts!$C$10:$G$85,5,FALSE)</f>
        <v>7016.11</v>
      </c>
      <c r="AP16" s="167">
        <f t="shared" si="23"/>
        <v>515.89044117647063</v>
      </c>
      <c r="AQ16" s="167">
        <f t="shared" si="23"/>
        <v>396.390395480226</v>
      </c>
      <c r="AR16" s="168">
        <f t="shared" si="23"/>
        <v>337.31298076923076</v>
      </c>
      <c r="AS16" s="6"/>
      <c r="AT16" s="166">
        <f>Coûts!$I$5-AE16*Coûts!$I$3</f>
        <v>4324.1920000000009</v>
      </c>
      <c r="AU16" s="167">
        <f>Coûts!$I$5-AF16*Coûts!$I$3</f>
        <v>4294.344000000001</v>
      </c>
      <c r="AV16" s="168">
        <f>Coûts!$I$5-AG16*Coûts!$I$3</f>
        <v>4271.7760000000007</v>
      </c>
      <c r="AW16" s="6"/>
      <c r="AX16" s="166">
        <f>Coûts!$I$5-AE16*Coûts!$I$4</f>
        <v>3811.2000000000007</v>
      </c>
      <c r="AY16" s="167">
        <f>Coûts!$I$5-AF16*Coûts!$I$4</f>
        <v>3626.7000000000007</v>
      </c>
      <c r="AZ16" s="168">
        <f>Coûts!$I$5-AG16*Coûts!$I$4</f>
        <v>3487.2000000000007</v>
      </c>
      <c r="BA16" s="6"/>
      <c r="BB16" s="37" t="s">
        <v>52</v>
      </c>
      <c r="BC16" s="38">
        <v>1</v>
      </c>
      <c r="BD16" s="39">
        <v>1</v>
      </c>
      <c r="BE16" s="39">
        <v>13</v>
      </c>
      <c r="BF16" s="39">
        <v>13</v>
      </c>
      <c r="BG16" s="39" t="s">
        <v>87</v>
      </c>
      <c r="BH16" s="39">
        <v>13</v>
      </c>
      <c r="BI16" s="41">
        <v>13</v>
      </c>
      <c r="BK16" s="37" t="s">
        <v>186</v>
      </c>
      <c r="BL16" s="38">
        <v>1</v>
      </c>
      <c r="BM16" s="39">
        <v>1</v>
      </c>
      <c r="BN16" s="39">
        <v>42</v>
      </c>
      <c r="BO16" s="39">
        <v>42</v>
      </c>
      <c r="BP16" s="39" t="s">
        <v>87</v>
      </c>
      <c r="BQ16" s="39">
        <v>42</v>
      </c>
      <c r="BR16" s="41">
        <v>42</v>
      </c>
      <c r="BT16" s="38"/>
      <c r="BU16" s="38"/>
      <c r="BV16" s="39"/>
      <c r="BW16" s="39"/>
      <c r="BX16" s="39"/>
      <c r="BY16" s="39"/>
      <c r="BZ16" s="39"/>
      <c r="CA16" s="39"/>
      <c r="CC16" s="38"/>
      <c r="CD16" s="38"/>
      <c r="CE16" s="39"/>
      <c r="CF16" s="39"/>
      <c r="CG16" s="39"/>
      <c r="CH16" s="39"/>
      <c r="CI16" s="39"/>
      <c r="CJ16" s="39"/>
      <c r="CL16" s="38"/>
      <c r="CM16" s="38"/>
      <c r="CN16" s="39"/>
      <c r="CO16" s="39"/>
      <c r="CP16" s="39"/>
      <c r="CQ16" s="39"/>
      <c r="CR16" s="39"/>
      <c r="CS16" s="39"/>
      <c r="CU16" s="38"/>
      <c r="CV16" s="38"/>
      <c r="CW16" s="39"/>
      <c r="CX16" s="39"/>
      <c r="CY16" s="39"/>
      <c r="CZ16" s="39"/>
      <c r="DA16" s="39"/>
      <c r="DB16" s="39"/>
      <c r="DD16" s="38"/>
      <c r="DE16" s="38"/>
      <c r="DF16" s="39"/>
      <c r="DG16" s="39"/>
      <c r="DH16" s="39"/>
      <c r="DI16" s="39"/>
      <c r="DJ16" s="39"/>
      <c r="DK16" s="39"/>
      <c r="DM16" s="38"/>
      <c r="DN16" s="38"/>
      <c r="DO16" s="39"/>
      <c r="DP16" s="39"/>
      <c r="DQ16" s="39"/>
      <c r="DR16" s="39"/>
      <c r="DS16" s="39"/>
      <c r="DT16" s="39"/>
    </row>
    <row r="17" spans="1:124" x14ac:dyDescent="0.2">
      <c r="A17" s="50" t="s">
        <v>98</v>
      </c>
      <c r="B17" s="146" t="s">
        <v>185</v>
      </c>
      <c r="C17" s="209">
        <v>0</v>
      </c>
      <c r="D17" s="38">
        <f t="shared" si="24"/>
        <v>0</v>
      </c>
      <c r="E17" s="38">
        <f t="shared" si="25"/>
        <v>0</v>
      </c>
      <c r="F17" s="215">
        <v>1</v>
      </c>
      <c r="G17" s="216">
        <v>3</v>
      </c>
      <c r="H17" s="217" t="s">
        <v>87</v>
      </c>
      <c r="I17" s="218">
        <f t="shared" si="0"/>
        <v>1</v>
      </c>
      <c r="J17" s="218">
        <f t="shared" si="1"/>
        <v>3</v>
      </c>
      <c r="K17" s="219" t="str">
        <f t="shared" si="2"/>
        <v>.</v>
      </c>
      <c r="L17" s="218">
        <f t="shared" si="3"/>
        <v>1</v>
      </c>
      <c r="M17" s="218">
        <f t="shared" si="4"/>
        <v>3</v>
      </c>
      <c r="N17" s="219" t="str">
        <f t="shared" si="5"/>
        <v>.</v>
      </c>
      <c r="O17" s="218">
        <f t="shared" si="6"/>
        <v>1</v>
      </c>
      <c r="P17" s="218">
        <f t="shared" si="7"/>
        <v>3</v>
      </c>
      <c r="Q17" s="219" t="str">
        <f t="shared" si="8"/>
        <v>.</v>
      </c>
      <c r="R17" s="218">
        <f t="shared" si="9"/>
        <v>1</v>
      </c>
      <c r="S17" s="218">
        <f t="shared" si="10"/>
        <v>3</v>
      </c>
      <c r="T17" s="219" t="str">
        <f t="shared" si="11"/>
        <v>.</v>
      </c>
      <c r="U17" s="218">
        <f t="shared" si="12"/>
        <v>1</v>
      </c>
      <c r="V17" s="218">
        <f t="shared" si="13"/>
        <v>3</v>
      </c>
      <c r="W17" s="219" t="str">
        <f t="shared" si="14"/>
        <v>.</v>
      </c>
      <c r="X17" s="218">
        <f t="shared" si="15"/>
        <v>1</v>
      </c>
      <c r="Y17" s="218">
        <f t="shared" si="16"/>
        <v>3</v>
      </c>
      <c r="Z17" s="219" t="str">
        <f t="shared" si="17"/>
        <v>.</v>
      </c>
      <c r="AA17" s="218">
        <f t="shared" si="18"/>
        <v>1</v>
      </c>
      <c r="AB17" s="218">
        <f t="shared" si="19"/>
        <v>3</v>
      </c>
      <c r="AC17" s="219" t="str">
        <f t="shared" si="20"/>
        <v>.</v>
      </c>
      <c r="AD17" s="6"/>
      <c r="AE17" s="251"/>
      <c r="AF17" s="252"/>
      <c r="AG17" s="253"/>
      <c r="AH17" s="176">
        <f t="shared" si="21"/>
        <v>1</v>
      </c>
      <c r="AI17" s="177">
        <f t="shared" si="21"/>
        <v>3</v>
      </c>
      <c r="AJ17" s="64">
        <f t="shared" si="22"/>
        <v>3</v>
      </c>
      <c r="AK17" s="64">
        <f t="shared" si="22"/>
        <v>3</v>
      </c>
      <c r="AL17" s="156">
        <f t="shared" si="22"/>
        <v>3</v>
      </c>
      <c r="AO17" s="166">
        <f>VLOOKUP(B17,Coûts!$C$10:$G$85,5,FALSE)</f>
        <v>685.12</v>
      </c>
      <c r="AP17" s="167" t="str">
        <f t="shared" si="23"/>
        <v/>
      </c>
      <c r="AQ17" s="167" t="str">
        <f t="shared" si="23"/>
        <v/>
      </c>
      <c r="AR17" s="168" t="str">
        <f t="shared" si="23"/>
        <v/>
      </c>
      <c r="AS17" s="6"/>
      <c r="AT17" s="166">
        <f>Coûts!$I$5-AE17*Coûts!$I$3</f>
        <v>4423.2000000000007</v>
      </c>
      <c r="AU17" s="167">
        <f>Coûts!$I$5-AF17*Coûts!$I$3</f>
        <v>4423.2000000000007</v>
      </c>
      <c r="AV17" s="168">
        <f>Coûts!$I$5-AG17*Coûts!$I$3</f>
        <v>4423.2000000000007</v>
      </c>
      <c r="AW17" s="6"/>
      <c r="AX17" s="166">
        <f>Coûts!$I$5-AE17*Coûts!$I$4</f>
        <v>4423.2000000000007</v>
      </c>
      <c r="AY17" s="167">
        <f>Coûts!$I$5-AF17*Coûts!$I$4</f>
        <v>4423.2000000000007</v>
      </c>
      <c r="AZ17" s="168">
        <f>Coûts!$I$5-AG17*Coûts!$I$4</f>
        <v>4423.2000000000007</v>
      </c>
      <c r="BA17" s="6"/>
      <c r="BB17" s="37" t="s">
        <v>185</v>
      </c>
      <c r="BC17" s="38">
        <v>1</v>
      </c>
      <c r="BD17" s="39">
        <v>1</v>
      </c>
      <c r="BE17" s="39">
        <v>3</v>
      </c>
      <c r="BF17" s="39">
        <v>3</v>
      </c>
      <c r="BG17" s="39" t="s">
        <v>87</v>
      </c>
      <c r="BH17" s="39">
        <v>3</v>
      </c>
      <c r="BI17" s="41">
        <v>3</v>
      </c>
      <c r="BK17" s="37" t="s">
        <v>18</v>
      </c>
      <c r="BL17" s="38">
        <v>1</v>
      </c>
      <c r="BM17" s="39">
        <v>1</v>
      </c>
      <c r="BN17" s="39">
        <v>5</v>
      </c>
      <c r="BO17" s="39">
        <v>5</v>
      </c>
      <c r="BP17" s="39" t="s">
        <v>87</v>
      </c>
      <c r="BQ17" s="39">
        <v>5</v>
      </c>
      <c r="BR17" s="41">
        <v>5</v>
      </c>
      <c r="CC17" s="38"/>
      <c r="CD17" s="38"/>
      <c r="CE17" s="39"/>
      <c r="CF17" s="39"/>
      <c r="CG17" s="39"/>
      <c r="CH17" s="39"/>
      <c r="CI17" s="39"/>
      <c r="CJ17" s="39"/>
      <c r="CL17" s="38"/>
      <c r="CM17" s="38"/>
      <c r="CN17" s="39"/>
      <c r="CO17" s="39"/>
      <c r="CP17" s="39"/>
      <c r="CQ17" s="39"/>
      <c r="CR17" s="39"/>
      <c r="CS17" s="39"/>
      <c r="CU17" s="38"/>
      <c r="CV17" s="38"/>
      <c r="CW17" s="39"/>
      <c r="CX17" s="39"/>
      <c r="CY17" s="39"/>
      <c r="CZ17" s="39"/>
      <c r="DA17" s="39"/>
      <c r="DB17" s="39"/>
      <c r="DD17" s="38"/>
      <c r="DE17" s="38"/>
      <c r="DF17" s="39"/>
      <c r="DG17" s="39"/>
      <c r="DH17" s="39"/>
      <c r="DI17" s="39"/>
      <c r="DJ17" s="39"/>
      <c r="DK17" s="39"/>
      <c r="DM17" s="38"/>
      <c r="DN17" s="38"/>
      <c r="DO17" s="39"/>
      <c r="DP17" s="39"/>
      <c r="DQ17" s="39"/>
      <c r="DR17" s="39"/>
      <c r="DS17" s="39"/>
      <c r="DT17" s="39"/>
    </row>
    <row r="18" spans="1:124" x14ac:dyDescent="0.2">
      <c r="A18" s="50" t="s">
        <v>98</v>
      </c>
      <c r="B18" s="146" t="s">
        <v>186</v>
      </c>
      <c r="C18" s="209">
        <v>0</v>
      </c>
      <c r="D18" s="38">
        <f t="shared" si="24"/>
        <v>0</v>
      </c>
      <c r="E18" s="38">
        <f t="shared" si="25"/>
        <v>0</v>
      </c>
      <c r="F18" s="215">
        <v>1</v>
      </c>
      <c r="G18" s="216">
        <v>42</v>
      </c>
      <c r="H18" s="217" t="s">
        <v>87</v>
      </c>
      <c r="I18" s="218" t="str">
        <f t="shared" si="0"/>
        <v/>
      </c>
      <c r="J18" s="218" t="str">
        <f t="shared" si="1"/>
        <v/>
      </c>
      <c r="K18" s="219" t="str">
        <f t="shared" si="2"/>
        <v/>
      </c>
      <c r="L18" s="218" t="str">
        <f t="shared" si="3"/>
        <v/>
      </c>
      <c r="M18" s="218" t="str">
        <f t="shared" si="4"/>
        <v/>
      </c>
      <c r="N18" s="219" t="str">
        <f t="shared" si="5"/>
        <v/>
      </c>
      <c r="O18" s="218" t="str">
        <f t="shared" si="6"/>
        <v/>
      </c>
      <c r="P18" s="218" t="str">
        <f t="shared" si="7"/>
        <v/>
      </c>
      <c r="Q18" s="219" t="str">
        <f t="shared" si="8"/>
        <v/>
      </c>
      <c r="R18" s="218">
        <f t="shared" si="9"/>
        <v>1</v>
      </c>
      <c r="S18" s="218">
        <f t="shared" si="10"/>
        <v>42</v>
      </c>
      <c r="T18" s="219" t="str">
        <f t="shared" si="11"/>
        <v>.</v>
      </c>
      <c r="U18" s="218" t="str">
        <f t="shared" si="12"/>
        <v/>
      </c>
      <c r="V18" s="218" t="str">
        <f t="shared" si="13"/>
        <v/>
      </c>
      <c r="W18" s="219" t="str">
        <f t="shared" si="14"/>
        <v/>
      </c>
      <c r="X18" s="218" t="str">
        <f t="shared" si="15"/>
        <v/>
      </c>
      <c r="Y18" s="218" t="str">
        <f t="shared" si="16"/>
        <v/>
      </c>
      <c r="Z18" s="219" t="str">
        <f t="shared" si="17"/>
        <v/>
      </c>
      <c r="AA18" s="218" t="str">
        <f t="shared" si="18"/>
        <v/>
      </c>
      <c r="AB18" s="218" t="str">
        <f t="shared" si="19"/>
        <v/>
      </c>
      <c r="AC18" s="219" t="str">
        <f t="shared" si="20"/>
        <v/>
      </c>
      <c r="AD18" s="6"/>
      <c r="AE18" s="251"/>
      <c r="AF18" s="252"/>
      <c r="AG18" s="253"/>
      <c r="AH18" s="176" t="str">
        <f t="shared" si="21"/>
        <v/>
      </c>
      <c r="AI18" s="177" t="str">
        <f t="shared" si="21"/>
        <v/>
      </c>
      <c r="AJ18" s="64" t="str">
        <f t="shared" si="22"/>
        <v/>
      </c>
      <c r="AK18" s="64" t="str">
        <f t="shared" si="22"/>
        <v/>
      </c>
      <c r="AL18" s="156" t="str">
        <f t="shared" si="22"/>
        <v/>
      </c>
      <c r="AO18" s="166">
        <f>VLOOKUP(B18,Coûts!$C$10:$G$85,5,FALSE)</f>
        <v>4025.78</v>
      </c>
      <c r="AP18" s="167" t="str">
        <f t="shared" si="23"/>
        <v/>
      </c>
      <c r="AQ18" s="167" t="str">
        <f t="shared" si="23"/>
        <v/>
      </c>
      <c r="AR18" s="168" t="str">
        <f t="shared" si="23"/>
        <v/>
      </c>
      <c r="AS18" s="6"/>
      <c r="AT18" s="166">
        <f>Coûts!$I$5-AE18*Coûts!$I$3</f>
        <v>4423.2000000000007</v>
      </c>
      <c r="AU18" s="167">
        <f>Coûts!$I$5-AF18*Coûts!$I$3</f>
        <v>4423.2000000000007</v>
      </c>
      <c r="AV18" s="168">
        <f>Coûts!$I$5-AG18*Coûts!$I$3</f>
        <v>4423.2000000000007</v>
      </c>
      <c r="AW18" s="6"/>
      <c r="AX18" s="166">
        <f>Coûts!$I$5-AE18*Coûts!$I$4</f>
        <v>4423.2000000000007</v>
      </c>
      <c r="AY18" s="167">
        <f>Coûts!$I$5-AF18*Coûts!$I$4</f>
        <v>4423.2000000000007</v>
      </c>
      <c r="AZ18" s="168">
        <f>Coûts!$I$5-AG18*Coûts!$I$4</f>
        <v>4423.2000000000007</v>
      </c>
      <c r="BA18" s="6"/>
      <c r="BB18" s="37" t="s">
        <v>186</v>
      </c>
      <c r="BC18" s="38">
        <v>1</v>
      </c>
      <c r="BD18" s="39">
        <v>1</v>
      </c>
      <c r="BE18" s="39">
        <v>42</v>
      </c>
      <c r="BF18" s="39">
        <v>42</v>
      </c>
      <c r="BG18" s="39" t="s">
        <v>87</v>
      </c>
      <c r="BH18" s="39">
        <v>42</v>
      </c>
      <c r="BI18" s="41">
        <v>42</v>
      </c>
      <c r="BK18" s="142"/>
      <c r="BL18" s="143"/>
      <c r="BM18" s="144"/>
      <c r="BN18" s="144"/>
      <c r="BO18" s="144"/>
      <c r="BP18" s="144"/>
      <c r="BQ18" s="144"/>
      <c r="BR18" s="145"/>
      <c r="CC18" s="38"/>
      <c r="CD18" s="38"/>
      <c r="CE18" s="39"/>
      <c r="CF18" s="39"/>
      <c r="CG18" s="39"/>
      <c r="CH18" s="39"/>
      <c r="CI18" s="39"/>
      <c r="CJ18" s="39"/>
      <c r="CL18" s="38"/>
      <c r="CM18" s="38"/>
      <c r="CN18" s="39"/>
      <c r="CO18" s="39"/>
      <c r="CP18" s="39"/>
      <c r="CQ18" s="39"/>
      <c r="CR18" s="39"/>
      <c r="CS18" s="39"/>
      <c r="CU18" s="38"/>
      <c r="CV18" s="38"/>
      <c r="CW18" s="39"/>
      <c r="CX18" s="39"/>
      <c r="CY18" s="39"/>
      <c r="CZ18" s="39"/>
      <c r="DA18" s="39"/>
      <c r="DB18" s="39"/>
      <c r="DD18" s="38"/>
      <c r="DE18" s="38"/>
      <c r="DF18" s="39"/>
      <c r="DG18" s="39"/>
      <c r="DH18" s="39"/>
      <c r="DI18" s="39"/>
      <c r="DJ18" s="39"/>
      <c r="DK18" s="39"/>
      <c r="DM18" s="38"/>
      <c r="DN18" s="38"/>
      <c r="DO18" s="39"/>
      <c r="DP18" s="39"/>
      <c r="DQ18" s="39"/>
      <c r="DR18" s="39"/>
      <c r="DS18" s="39"/>
      <c r="DT18" s="39"/>
    </row>
    <row r="19" spans="1:124" x14ac:dyDescent="0.2">
      <c r="A19" s="50" t="s">
        <v>98</v>
      </c>
      <c r="B19" s="146" t="s">
        <v>18</v>
      </c>
      <c r="C19" s="209">
        <v>0</v>
      </c>
      <c r="D19" s="38">
        <f t="shared" si="24"/>
        <v>0</v>
      </c>
      <c r="E19" s="38">
        <f t="shared" si="25"/>
        <v>0</v>
      </c>
      <c r="F19" s="215">
        <v>1</v>
      </c>
      <c r="G19" s="216">
        <v>5</v>
      </c>
      <c r="H19" s="217" t="s">
        <v>87</v>
      </c>
      <c r="I19" s="218">
        <f t="shared" si="0"/>
        <v>1</v>
      </c>
      <c r="J19" s="218">
        <f t="shared" si="1"/>
        <v>5</v>
      </c>
      <c r="K19" s="219" t="str">
        <f t="shared" si="2"/>
        <v>.</v>
      </c>
      <c r="L19" s="218">
        <f t="shared" si="3"/>
        <v>1</v>
      </c>
      <c r="M19" s="218">
        <f t="shared" si="4"/>
        <v>5</v>
      </c>
      <c r="N19" s="219" t="str">
        <f t="shared" si="5"/>
        <v>.</v>
      </c>
      <c r="O19" s="218">
        <f t="shared" si="6"/>
        <v>1</v>
      </c>
      <c r="P19" s="218">
        <f t="shared" si="7"/>
        <v>5</v>
      </c>
      <c r="Q19" s="219" t="str">
        <f t="shared" si="8"/>
        <v>.</v>
      </c>
      <c r="R19" s="218">
        <f t="shared" si="9"/>
        <v>1</v>
      </c>
      <c r="S19" s="218">
        <f t="shared" si="10"/>
        <v>5</v>
      </c>
      <c r="T19" s="219" t="str">
        <f t="shared" si="11"/>
        <v>.</v>
      </c>
      <c r="U19" s="218">
        <f t="shared" si="12"/>
        <v>1</v>
      </c>
      <c r="V19" s="218">
        <f t="shared" si="13"/>
        <v>5</v>
      </c>
      <c r="W19" s="219" t="str">
        <f t="shared" si="14"/>
        <v>.</v>
      </c>
      <c r="X19" s="218">
        <f t="shared" si="15"/>
        <v>1</v>
      </c>
      <c r="Y19" s="218">
        <f t="shared" si="16"/>
        <v>5</v>
      </c>
      <c r="Z19" s="219" t="str">
        <f t="shared" si="17"/>
        <v>.</v>
      </c>
      <c r="AA19" s="218">
        <f t="shared" si="18"/>
        <v>1</v>
      </c>
      <c r="AB19" s="218">
        <f t="shared" si="19"/>
        <v>5</v>
      </c>
      <c r="AC19" s="219" t="str">
        <f t="shared" si="20"/>
        <v>.</v>
      </c>
      <c r="AD19" s="6"/>
      <c r="AE19" s="251"/>
      <c r="AF19" s="252"/>
      <c r="AG19" s="253"/>
      <c r="AH19" s="176">
        <f t="shared" si="21"/>
        <v>1</v>
      </c>
      <c r="AI19" s="177">
        <f t="shared" si="21"/>
        <v>5</v>
      </c>
      <c r="AJ19" s="64">
        <f t="shared" si="22"/>
        <v>5</v>
      </c>
      <c r="AK19" s="64">
        <f t="shared" si="22"/>
        <v>5</v>
      </c>
      <c r="AL19" s="156">
        <f t="shared" si="22"/>
        <v>5</v>
      </c>
      <c r="AO19" s="166">
        <f>VLOOKUP(B19,Coûts!$C$10:$G$85,5,FALSE)</f>
        <v>335.02</v>
      </c>
      <c r="AP19" s="167" t="str">
        <f t="shared" si="23"/>
        <v/>
      </c>
      <c r="AQ19" s="167" t="str">
        <f t="shared" si="23"/>
        <v/>
      </c>
      <c r="AR19" s="168" t="str">
        <f t="shared" si="23"/>
        <v/>
      </c>
      <c r="AS19" s="6"/>
      <c r="AT19" s="166">
        <f>Coûts!$I$5-AE19*Coûts!$I$3</f>
        <v>4423.2000000000007</v>
      </c>
      <c r="AU19" s="167">
        <f>Coûts!$I$5-AF19*Coûts!$I$3</f>
        <v>4423.2000000000007</v>
      </c>
      <c r="AV19" s="168">
        <f>Coûts!$I$5-AG19*Coûts!$I$3</f>
        <v>4423.2000000000007</v>
      </c>
      <c r="AW19" s="6"/>
      <c r="AX19" s="166">
        <f>Coûts!$I$5-AE19*Coûts!$I$4</f>
        <v>4423.2000000000007</v>
      </c>
      <c r="AY19" s="167">
        <f>Coûts!$I$5-AF19*Coûts!$I$4</f>
        <v>4423.2000000000007</v>
      </c>
      <c r="AZ19" s="168">
        <f>Coûts!$I$5-AG19*Coûts!$I$4</f>
        <v>4423.2000000000007</v>
      </c>
      <c r="BA19" s="6"/>
      <c r="BB19" s="142" t="s">
        <v>18</v>
      </c>
      <c r="BC19" s="143">
        <v>1</v>
      </c>
      <c r="BD19" s="144">
        <v>1</v>
      </c>
      <c r="BE19" s="144">
        <v>5</v>
      </c>
      <c r="BF19" s="144">
        <v>5</v>
      </c>
      <c r="BG19" s="144" t="s">
        <v>87</v>
      </c>
      <c r="BH19" s="144">
        <v>5</v>
      </c>
      <c r="BI19" s="145">
        <v>5</v>
      </c>
      <c r="BK19" s="38"/>
      <c r="BL19" s="38"/>
      <c r="BM19" s="39"/>
      <c r="BN19" s="39"/>
      <c r="BO19" s="39"/>
      <c r="BP19" s="39"/>
      <c r="BQ19" s="39"/>
      <c r="BR19" s="39"/>
      <c r="CL19" s="38"/>
      <c r="CM19" s="38"/>
      <c r="CN19" s="39"/>
      <c r="CO19" s="39"/>
      <c r="CP19" s="39"/>
      <c r="CQ19" s="39"/>
      <c r="CR19" s="39"/>
      <c r="CS19" s="39"/>
      <c r="CU19" s="38"/>
      <c r="CV19" s="38"/>
      <c r="CW19" s="39"/>
      <c r="CX19" s="39"/>
      <c r="CY19" s="39"/>
      <c r="CZ19" s="39"/>
      <c r="DA19" s="39"/>
      <c r="DB19" s="39"/>
      <c r="DD19" s="38"/>
      <c r="DE19" s="38"/>
      <c r="DF19" s="39"/>
      <c r="DG19" s="39"/>
      <c r="DH19" s="39"/>
      <c r="DI19" s="39"/>
      <c r="DJ19" s="39"/>
      <c r="DK19" s="39"/>
      <c r="DM19" s="38"/>
      <c r="DN19" s="38"/>
      <c r="DO19" s="39"/>
      <c r="DP19" s="39"/>
      <c r="DQ19" s="39"/>
      <c r="DR19" s="39"/>
      <c r="DS19" s="39"/>
      <c r="DT19" s="39"/>
    </row>
    <row r="20" spans="1:124" x14ac:dyDescent="0.2">
      <c r="B20" s="146"/>
      <c r="C20" s="209"/>
      <c r="D20" s="38"/>
      <c r="E20" s="143"/>
      <c r="F20" s="220"/>
      <c r="G20" s="221"/>
      <c r="H20" s="222"/>
      <c r="I20" s="223" t="str">
        <f t="shared" si="0"/>
        <v/>
      </c>
      <c r="J20" s="223" t="str">
        <f t="shared" si="1"/>
        <v/>
      </c>
      <c r="K20" s="212" t="str">
        <f t="shared" si="2"/>
        <v/>
      </c>
      <c r="L20" s="223" t="str">
        <f t="shared" si="3"/>
        <v/>
      </c>
      <c r="M20" s="223" t="str">
        <f t="shared" si="4"/>
        <v/>
      </c>
      <c r="N20" s="212" t="str">
        <f t="shared" si="5"/>
        <v/>
      </c>
      <c r="O20" s="223" t="str">
        <f t="shared" si="6"/>
        <v/>
      </c>
      <c r="P20" s="223" t="str">
        <f t="shared" si="7"/>
        <v/>
      </c>
      <c r="Q20" s="212" t="str">
        <f t="shared" si="8"/>
        <v/>
      </c>
      <c r="R20" s="223" t="str">
        <f t="shared" si="9"/>
        <v/>
      </c>
      <c r="S20" s="223" t="str">
        <f t="shared" si="10"/>
        <v/>
      </c>
      <c r="T20" s="212" t="str">
        <f t="shared" si="11"/>
        <v/>
      </c>
      <c r="U20" s="223" t="str">
        <f t="shared" si="12"/>
        <v/>
      </c>
      <c r="V20" s="223" t="str">
        <f t="shared" si="13"/>
        <v/>
      </c>
      <c r="W20" s="212" t="str">
        <f t="shared" si="14"/>
        <v/>
      </c>
      <c r="X20" s="223" t="str">
        <f t="shared" si="15"/>
        <v/>
      </c>
      <c r="Y20" s="223" t="str">
        <f t="shared" si="16"/>
        <v/>
      </c>
      <c r="Z20" s="212" t="str">
        <f t="shared" si="17"/>
        <v/>
      </c>
      <c r="AA20" s="223" t="str">
        <f t="shared" si="18"/>
        <v/>
      </c>
      <c r="AB20" s="223" t="str">
        <f t="shared" si="19"/>
        <v/>
      </c>
      <c r="AC20" s="212" t="str">
        <f t="shared" si="20"/>
        <v/>
      </c>
      <c r="AD20" s="6"/>
      <c r="AE20" s="227"/>
      <c r="AF20" s="228"/>
      <c r="AG20" s="229"/>
      <c r="AH20" s="178" t="str">
        <f t="shared" si="21"/>
        <v/>
      </c>
      <c r="AI20" s="179" t="str">
        <f t="shared" si="21"/>
        <v/>
      </c>
      <c r="AJ20" s="157" t="str">
        <f t="shared" si="22"/>
        <v/>
      </c>
      <c r="AK20" s="157" t="str">
        <f t="shared" si="22"/>
        <v/>
      </c>
      <c r="AL20" s="158" t="str">
        <f t="shared" si="22"/>
        <v/>
      </c>
      <c r="AO20" s="169"/>
      <c r="AP20" s="170" t="str">
        <f t="shared" ref="AP20:AR20" si="26">IF(AE20&lt;&gt;0,$AO20/AE20,"")</f>
        <v/>
      </c>
      <c r="AQ20" s="170" t="str">
        <f t="shared" si="26"/>
        <v/>
      </c>
      <c r="AR20" s="171" t="str">
        <f t="shared" si="26"/>
        <v/>
      </c>
      <c r="AS20" s="6"/>
      <c r="AT20" s="169">
        <f>Coûts!$I$5-AE20*Coûts!$I$3</f>
        <v>4423.2000000000007</v>
      </c>
      <c r="AU20" s="170">
        <f>Coûts!$I$5-AF20*Coûts!$I$3</f>
        <v>4423.2000000000007</v>
      </c>
      <c r="AV20" s="171">
        <f>Coûts!$I$5-AG20*Coûts!$I$3</f>
        <v>4423.2000000000007</v>
      </c>
      <c r="AW20" s="6"/>
      <c r="AX20" s="169">
        <f>Coûts!$I$5-AE20*Coûts!$I$4</f>
        <v>4423.2000000000007</v>
      </c>
      <c r="AY20" s="170">
        <f>Coûts!$I$5-AF20*Coûts!$I$4</f>
        <v>4423.2000000000007</v>
      </c>
      <c r="AZ20" s="171">
        <f>Coûts!$I$5-AG20*Coûts!$I$4</f>
        <v>4423.2000000000007</v>
      </c>
      <c r="BA20" s="6"/>
      <c r="BB20" s="38"/>
      <c r="BC20" s="38"/>
      <c r="BD20" s="39"/>
      <c r="BE20" s="39"/>
      <c r="BF20" s="39"/>
      <c r="BG20" s="39"/>
      <c r="BH20" s="39"/>
      <c r="BI20" s="39"/>
    </row>
    <row r="21" spans="1:124" x14ac:dyDescent="0.2">
      <c r="B21" s="249"/>
      <c r="C21" s="249"/>
      <c r="D21" s="249"/>
      <c r="E21" s="38"/>
      <c r="F21" s="215"/>
      <c r="G21" s="216"/>
      <c r="H21" s="217"/>
      <c r="I21" s="218"/>
      <c r="J21" s="218"/>
      <c r="K21" s="219"/>
      <c r="L21" s="218"/>
      <c r="M21" s="218"/>
      <c r="N21" s="219"/>
      <c r="O21" s="218"/>
      <c r="P21" s="218"/>
      <c r="Q21" s="219"/>
      <c r="R21" s="218"/>
      <c r="S21" s="218"/>
      <c r="T21" s="219"/>
      <c r="U21" s="218"/>
      <c r="V21" s="218"/>
      <c r="W21" s="219"/>
      <c r="X21" s="218"/>
      <c r="Y21" s="218"/>
      <c r="Z21" s="219"/>
      <c r="AA21" s="218"/>
      <c r="AB21" s="218"/>
      <c r="AC21" s="219"/>
      <c r="AD21" s="6"/>
      <c r="AE21" s="240"/>
      <c r="AF21" s="226"/>
      <c r="AG21" s="241"/>
      <c r="AH21" s="242"/>
      <c r="AI21" s="243"/>
      <c r="AJ21" s="244"/>
      <c r="AK21" s="64"/>
      <c r="AL21" s="64"/>
      <c r="AO21" s="167"/>
      <c r="AP21" s="167"/>
      <c r="AQ21" s="167"/>
      <c r="AR21" s="167"/>
      <c r="AS21" s="6"/>
      <c r="AT21" s="167"/>
      <c r="AU21" s="167"/>
      <c r="AV21" s="167"/>
      <c r="AW21" s="6"/>
      <c r="AX21" s="167"/>
      <c r="AY21" s="167"/>
      <c r="AZ21" s="167"/>
      <c r="BA21" s="6"/>
      <c r="BB21" s="38"/>
      <c r="BC21" s="38"/>
      <c r="BD21" s="39"/>
      <c r="BE21" s="39"/>
      <c r="BF21" s="39"/>
      <c r="BG21" s="39"/>
      <c r="BH21" s="39"/>
      <c r="BI21" s="39"/>
    </row>
    <row r="22" spans="1:124" hidden="1" outlineLevel="1" x14ac:dyDescent="0.2">
      <c r="B22" s="248"/>
      <c r="C22" s="248"/>
      <c r="D22" s="248"/>
      <c r="E22" s="38"/>
      <c r="F22" s="215"/>
      <c r="G22" s="216"/>
      <c r="H22" s="217"/>
      <c r="I22" s="218"/>
      <c r="J22" s="218"/>
      <c r="K22" s="219"/>
      <c r="L22" s="218"/>
      <c r="M22" s="218"/>
      <c r="N22" s="219"/>
      <c r="O22" s="218"/>
      <c r="P22" s="218"/>
      <c r="Q22" s="219"/>
      <c r="R22" s="218"/>
      <c r="S22" s="218"/>
      <c r="T22" s="219"/>
      <c r="U22" s="218"/>
      <c r="V22" s="218"/>
      <c r="W22" s="219"/>
      <c r="X22" s="218"/>
      <c r="Y22" s="218"/>
      <c r="Z22" s="219"/>
      <c r="AA22" s="218"/>
      <c r="AB22" s="218"/>
      <c r="AC22" s="219"/>
      <c r="AD22" s="6"/>
      <c r="AE22" s="240"/>
      <c r="AF22" s="226"/>
      <c r="AG22" s="241"/>
      <c r="AH22" s="242"/>
      <c r="AI22" s="243"/>
      <c r="AJ22" s="244"/>
      <c r="AK22" s="64"/>
      <c r="AL22" s="64"/>
      <c r="AO22" s="167"/>
      <c r="AP22" s="167"/>
      <c r="AQ22" s="167"/>
      <c r="AR22" s="167"/>
      <c r="AS22" s="6"/>
      <c r="AT22" s="167"/>
      <c r="AU22" s="167"/>
      <c r="AV22" s="167"/>
      <c r="AW22" s="6"/>
      <c r="AX22" s="167"/>
      <c r="AY22" s="167"/>
      <c r="AZ22" s="167"/>
      <c r="BA22" s="6"/>
      <c r="BB22" s="38"/>
      <c r="BC22" s="38"/>
      <c r="BD22" s="39"/>
      <c r="BE22" s="39"/>
      <c r="BF22" s="39"/>
      <c r="BG22" s="39"/>
      <c r="BH22" s="39"/>
      <c r="BI22" s="39"/>
    </row>
    <row r="23" spans="1:124" hidden="1" outlineLevel="1" x14ac:dyDescent="0.2">
      <c r="B23" s="248"/>
      <c r="C23" s="248"/>
      <c r="D23" s="248"/>
      <c r="E23" s="38"/>
      <c r="F23" s="215"/>
      <c r="G23" s="216"/>
      <c r="H23" s="217"/>
      <c r="I23" s="218"/>
      <c r="J23" s="218"/>
      <c r="K23" s="219"/>
      <c r="L23" s="218"/>
      <c r="M23" s="218"/>
      <c r="N23" s="219"/>
      <c r="O23" s="218"/>
      <c r="P23" s="218"/>
      <c r="Q23" s="219"/>
      <c r="R23" s="218"/>
      <c r="S23" s="218"/>
      <c r="T23" s="219"/>
      <c r="U23" s="218"/>
      <c r="V23" s="218"/>
      <c r="W23" s="219"/>
      <c r="X23" s="218"/>
      <c r="Y23" s="218"/>
      <c r="Z23" s="219"/>
      <c r="AA23" s="218"/>
      <c r="AB23" s="218"/>
      <c r="AC23" s="219"/>
      <c r="AD23" s="6"/>
      <c r="AE23" s="240"/>
      <c r="AF23" s="226"/>
      <c r="AG23" s="241"/>
      <c r="AH23" s="242"/>
      <c r="AI23" s="243"/>
      <c r="AJ23" s="244"/>
      <c r="AK23" s="64"/>
      <c r="AL23" s="64"/>
      <c r="AO23" s="167"/>
      <c r="AP23" s="167"/>
      <c r="AQ23" s="167"/>
      <c r="AR23" s="167"/>
      <c r="AS23" s="6"/>
      <c r="AT23" s="167"/>
      <c r="AU23" s="167"/>
      <c r="AV23" s="167"/>
      <c r="AW23" s="6"/>
      <c r="AX23" s="167"/>
      <c r="AY23" s="167"/>
      <c r="AZ23" s="167"/>
      <c r="BA23" s="6"/>
      <c r="BB23" s="38"/>
      <c r="BC23" s="38"/>
      <c r="BD23" s="39"/>
      <c r="BE23" s="39"/>
      <c r="BF23" s="39"/>
      <c r="BG23" s="39"/>
      <c r="BH23" s="39"/>
      <c r="BI23" s="39"/>
    </row>
    <row r="24" spans="1:124" hidden="1" outlineLevel="1" x14ac:dyDescent="0.2">
      <c r="B24" s="248"/>
      <c r="C24" s="248"/>
      <c r="D24" s="248"/>
      <c r="E24" s="38"/>
      <c r="F24" s="215"/>
      <c r="G24" s="216"/>
      <c r="H24" s="217"/>
      <c r="I24" s="218"/>
      <c r="J24" s="218"/>
      <c r="K24" s="219"/>
      <c r="L24" s="218"/>
      <c r="M24" s="218"/>
      <c r="N24" s="219"/>
      <c r="O24" s="218"/>
      <c r="P24" s="218"/>
      <c r="Q24" s="219"/>
      <c r="R24" s="218"/>
      <c r="S24" s="218"/>
      <c r="T24" s="219"/>
      <c r="U24" s="218"/>
      <c r="V24" s="218"/>
      <c r="W24" s="219"/>
      <c r="X24" s="218"/>
      <c r="Y24" s="218"/>
      <c r="Z24" s="219"/>
      <c r="AA24" s="218"/>
      <c r="AB24" s="218"/>
      <c r="AC24" s="219"/>
      <c r="AD24" s="6"/>
      <c r="AE24" s="240"/>
      <c r="AF24" s="226"/>
      <c r="AG24" s="241"/>
      <c r="AH24" s="242"/>
      <c r="AI24" s="243"/>
      <c r="AJ24" s="244"/>
      <c r="AK24" s="64"/>
      <c r="AL24" s="64"/>
      <c r="AO24" s="167"/>
      <c r="AP24" s="167"/>
      <c r="AQ24" s="167"/>
      <c r="AR24" s="167"/>
      <c r="AS24" s="6"/>
      <c r="AT24" s="167"/>
      <c r="AU24" s="167"/>
      <c r="AV24" s="167"/>
      <c r="AW24" s="6"/>
      <c r="AX24" s="167"/>
      <c r="AY24" s="167"/>
      <c r="AZ24" s="167"/>
      <c r="BA24" s="6"/>
      <c r="BB24" s="38"/>
      <c r="BC24" s="38"/>
      <c r="BD24" s="39"/>
      <c r="BE24" s="39"/>
      <c r="BF24" s="39"/>
      <c r="BG24" s="39"/>
      <c r="BH24" s="39"/>
      <c r="BI24" s="39"/>
    </row>
    <row r="25" spans="1:124" hidden="1" outlineLevel="1" x14ac:dyDescent="0.2">
      <c r="B25" s="248"/>
      <c r="C25" s="248"/>
      <c r="D25" s="248"/>
      <c r="E25" s="38"/>
      <c r="F25" s="215"/>
      <c r="G25" s="216"/>
      <c r="H25" s="217"/>
      <c r="I25" s="218"/>
      <c r="J25" s="218"/>
      <c r="K25" s="219"/>
      <c r="L25" s="218"/>
      <c r="M25" s="218"/>
      <c r="N25" s="219"/>
      <c r="O25" s="218"/>
      <c r="P25" s="218"/>
      <c r="Q25" s="219"/>
      <c r="R25" s="218"/>
      <c r="S25" s="218"/>
      <c r="T25" s="219"/>
      <c r="U25" s="218"/>
      <c r="V25" s="218"/>
      <c r="W25" s="219"/>
      <c r="X25" s="218"/>
      <c r="Y25" s="218"/>
      <c r="Z25" s="219"/>
      <c r="AA25" s="218"/>
      <c r="AB25" s="218"/>
      <c r="AC25" s="219"/>
      <c r="AD25" s="6"/>
      <c r="AE25" s="240"/>
      <c r="AF25" s="226"/>
      <c r="AG25" s="241"/>
      <c r="AH25" s="242"/>
      <c r="AI25" s="243"/>
      <c r="AJ25" s="244"/>
      <c r="AK25" s="64"/>
      <c r="AL25" s="64"/>
      <c r="AO25" s="167"/>
      <c r="AP25" s="167"/>
      <c r="AQ25" s="167"/>
      <c r="AR25" s="167"/>
      <c r="AS25" s="6"/>
      <c r="AT25" s="167"/>
      <c r="AU25" s="167"/>
      <c r="AV25" s="167"/>
      <c r="AW25" s="6"/>
      <c r="AX25" s="167"/>
      <c r="AY25" s="167"/>
      <c r="AZ25" s="167"/>
      <c r="BA25" s="6"/>
      <c r="BB25" s="38"/>
      <c r="BC25" s="38"/>
      <c r="BD25" s="39"/>
      <c r="BE25" s="39"/>
      <c r="BF25" s="39"/>
      <c r="BG25" s="39"/>
      <c r="BH25" s="39"/>
      <c r="BI25" s="39"/>
    </row>
    <row r="26" spans="1:124" hidden="1" outlineLevel="1" x14ac:dyDescent="0.2">
      <c r="B26" s="248"/>
      <c r="C26" s="248"/>
      <c r="D26" s="248"/>
      <c r="E26" s="38"/>
      <c r="F26" s="215"/>
      <c r="G26" s="216"/>
      <c r="H26" s="217"/>
      <c r="I26" s="218"/>
      <c r="J26" s="218"/>
      <c r="K26" s="219"/>
      <c r="L26" s="218"/>
      <c r="M26" s="218"/>
      <c r="N26" s="219"/>
      <c r="O26" s="218"/>
      <c r="P26" s="218"/>
      <c r="Q26" s="219"/>
      <c r="R26" s="218"/>
      <c r="S26" s="218"/>
      <c r="T26" s="219"/>
      <c r="U26" s="218"/>
      <c r="V26" s="218"/>
      <c r="W26" s="219"/>
      <c r="X26" s="218"/>
      <c r="Y26" s="218"/>
      <c r="Z26" s="219"/>
      <c r="AA26" s="218"/>
      <c r="AB26" s="218"/>
      <c r="AC26" s="219"/>
      <c r="AD26" s="6"/>
      <c r="AE26" s="240"/>
      <c r="AF26" s="226"/>
      <c r="AG26" s="241"/>
      <c r="AH26" s="242"/>
      <c r="AI26" s="243"/>
      <c r="AJ26" s="244"/>
      <c r="AK26" s="64"/>
      <c r="AL26" s="64"/>
      <c r="AO26" s="167"/>
      <c r="AP26" s="167"/>
      <c r="AQ26" s="167"/>
      <c r="AR26" s="167"/>
      <c r="AS26" s="6"/>
      <c r="AT26" s="167"/>
      <c r="AU26" s="167"/>
      <c r="AV26" s="167"/>
      <c r="AW26" s="6"/>
      <c r="AX26" s="167"/>
      <c r="AY26" s="167"/>
      <c r="AZ26" s="167"/>
      <c r="BA26" s="6"/>
      <c r="BB26" s="38"/>
      <c r="BC26" s="38"/>
      <c r="BD26" s="39"/>
      <c r="BE26" s="39"/>
      <c r="BF26" s="39"/>
      <c r="BG26" s="39"/>
      <c r="BH26" s="39"/>
      <c r="BI26" s="39"/>
    </row>
    <row r="27" spans="1:124" hidden="1" outlineLevel="1" x14ac:dyDescent="0.2">
      <c r="B27" s="248"/>
      <c r="C27" s="248"/>
      <c r="D27" s="248"/>
      <c r="E27" s="38"/>
      <c r="F27" s="215"/>
      <c r="G27" s="216"/>
      <c r="H27" s="217"/>
      <c r="I27" s="218"/>
      <c r="J27" s="218"/>
      <c r="K27" s="219"/>
      <c r="L27" s="218"/>
      <c r="M27" s="218"/>
      <c r="N27" s="219"/>
      <c r="O27" s="218"/>
      <c r="P27" s="218"/>
      <c r="Q27" s="219"/>
      <c r="R27" s="218"/>
      <c r="S27" s="218"/>
      <c r="T27" s="219"/>
      <c r="U27" s="218"/>
      <c r="V27" s="218"/>
      <c r="W27" s="219"/>
      <c r="X27" s="218"/>
      <c r="Y27" s="218"/>
      <c r="Z27" s="219"/>
      <c r="AA27" s="218"/>
      <c r="AB27" s="218"/>
      <c r="AC27" s="219"/>
      <c r="AD27" s="6"/>
      <c r="AE27" s="240"/>
      <c r="AF27" s="226"/>
      <c r="AG27" s="241"/>
      <c r="AH27" s="242"/>
      <c r="AI27" s="243"/>
      <c r="AJ27" s="244"/>
      <c r="AK27" s="64"/>
      <c r="AL27" s="64"/>
      <c r="AO27" s="167"/>
      <c r="AP27" s="167"/>
      <c r="AQ27" s="167"/>
      <c r="AR27" s="167"/>
      <c r="AS27" s="6"/>
      <c r="AT27" s="167"/>
      <c r="AU27" s="167"/>
      <c r="AV27" s="167"/>
      <c r="AW27" s="6"/>
      <c r="AX27" s="167"/>
      <c r="AY27" s="167"/>
      <c r="AZ27" s="167"/>
      <c r="BA27" s="6"/>
      <c r="BB27" s="38"/>
      <c r="BC27" s="38"/>
      <c r="BD27" s="39"/>
      <c r="BE27" s="39"/>
      <c r="BF27" s="39"/>
      <c r="BG27" s="39"/>
      <c r="BH27" s="39"/>
      <c r="BI27" s="39"/>
    </row>
    <row r="28" spans="1:124" hidden="1" outlineLevel="1" x14ac:dyDescent="0.2">
      <c r="B28" s="248"/>
      <c r="C28" s="248"/>
      <c r="D28" s="248"/>
      <c r="E28" s="38"/>
      <c r="F28" s="215"/>
      <c r="G28" s="216"/>
      <c r="H28" s="217"/>
      <c r="I28" s="218"/>
      <c r="J28" s="218"/>
      <c r="K28" s="219"/>
      <c r="L28" s="218"/>
      <c r="M28" s="218"/>
      <c r="N28" s="219"/>
      <c r="O28" s="218"/>
      <c r="P28" s="218"/>
      <c r="Q28" s="219"/>
      <c r="R28" s="218"/>
      <c r="S28" s="218"/>
      <c r="T28" s="219"/>
      <c r="U28" s="218"/>
      <c r="V28" s="218"/>
      <c r="W28" s="219"/>
      <c r="X28" s="218"/>
      <c r="Y28" s="218"/>
      <c r="Z28" s="219"/>
      <c r="AA28" s="218"/>
      <c r="AB28" s="218"/>
      <c r="AC28" s="219"/>
      <c r="AD28" s="6"/>
      <c r="AE28" s="240"/>
      <c r="AF28" s="226"/>
      <c r="AG28" s="241"/>
      <c r="AH28" s="242"/>
      <c r="AI28" s="243"/>
      <c r="AJ28" s="244"/>
      <c r="AK28" s="64"/>
      <c r="AL28" s="64"/>
      <c r="AO28" s="167"/>
      <c r="AP28" s="167"/>
      <c r="AQ28" s="167"/>
      <c r="AR28" s="167"/>
      <c r="AS28" s="6"/>
      <c r="AT28" s="167"/>
      <c r="AU28" s="167"/>
      <c r="AV28" s="167"/>
      <c r="AW28" s="6"/>
      <c r="AX28" s="167"/>
      <c r="AY28" s="167"/>
      <c r="AZ28" s="167"/>
      <c r="BA28" s="6"/>
      <c r="BB28" s="38"/>
      <c r="BC28" s="38"/>
      <c r="BD28" s="39"/>
      <c r="BE28" s="39"/>
      <c r="BF28" s="39"/>
      <c r="BG28" s="39"/>
      <c r="BH28" s="39"/>
      <c r="BI28" s="39"/>
    </row>
    <row r="29" spans="1:124" hidden="1" outlineLevel="1" x14ac:dyDescent="0.2">
      <c r="B29" s="248"/>
      <c r="C29" s="248"/>
      <c r="D29" s="248"/>
      <c r="E29" s="38"/>
      <c r="F29" s="215"/>
      <c r="G29" s="216"/>
      <c r="H29" s="217"/>
      <c r="I29" s="218"/>
      <c r="J29" s="218"/>
      <c r="K29" s="219"/>
      <c r="L29" s="218"/>
      <c r="M29" s="218"/>
      <c r="N29" s="219"/>
      <c r="O29" s="218"/>
      <c r="P29" s="218"/>
      <c r="Q29" s="219"/>
      <c r="R29" s="218"/>
      <c r="S29" s="218"/>
      <c r="T29" s="219"/>
      <c r="U29" s="218"/>
      <c r="V29" s="218"/>
      <c r="W29" s="219"/>
      <c r="X29" s="218"/>
      <c r="Y29" s="218"/>
      <c r="Z29" s="219"/>
      <c r="AA29" s="218"/>
      <c r="AB29" s="218"/>
      <c r="AC29" s="219"/>
      <c r="AD29" s="6"/>
      <c r="AE29" s="240"/>
      <c r="AF29" s="226"/>
      <c r="AG29" s="241"/>
      <c r="AH29" s="242"/>
      <c r="AI29" s="243"/>
      <c r="AJ29" s="244"/>
      <c r="AK29" s="64"/>
      <c r="AL29" s="64"/>
      <c r="AO29" s="167"/>
      <c r="AP29" s="167"/>
      <c r="AQ29" s="167"/>
      <c r="AR29" s="167"/>
      <c r="AS29" s="6"/>
      <c r="AT29" s="167"/>
      <c r="AU29" s="167"/>
      <c r="AV29" s="167"/>
      <c r="AW29" s="6"/>
      <c r="AX29" s="167"/>
      <c r="AY29" s="167"/>
      <c r="AZ29" s="167"/>
      <c r="BA29" s="6"/>
      <c r="BB29" s="38"/>
      <c r="BC29" s="38"/>
      <c r="BD29" s="39"/>
      <c r="BE29" s="39"/>
      <c r="BF29" s="39"/>
      <c r="BG29" s="39"/>
      <c r="BH29" s="39"/>
      <c r="BI29" s="39"/>
    </row>
    <row r="30" spans="1:124" hidden="1" outlineLevel="1" x14ac:dyDescent="0.2">
      <c r="B30" s="248"/>
      <c r="C30" s="248"/>
      <c r="D30" s="248"/>
      <c r="E30" s="38"/>
      <c r="F30" s="215"/>
      <c r="G30" s="216"/>
      <c r="H30" s="217"/>
      <c r="I30" s="218"/>
      <c r="J30" s="218"/>
      <c r="K30" s="219"/>
      <c r="L30" s="218"/>
      <c r="M30" s="218"/>
      <c r="N30" s="219"/>
      <c r="O30" s="218"/>
      <c r="P30" s="218"/>
      <c r="Q30" s="219"/>
      <c r="R30" s="218"/>
      <c r="S30" s="218"/>
      <c r="T30" s="219"/>
      <c r="U30" s="218"/>
      <c r="V30" s="218"/>
      <c r="W30" s="219"/>
      <c r="X30" s="218"/>
      <c r="Y30" s="218"/>
      <c r="Z30" s="219"/>
      <c r="AA30" s="218"/>
      <c r="AB30" s="218"/>
      <c r="AC30" s="219"/>
      <c r="AD30" s="6"/>
      <c r="AE30" s="240"/>
      <c r="AF30" s="226"/>
      <c r="AG30" s="241"/>
      <c r="AH30" s="242"/>
      <c r="AI30" s="243"/>
      <c r="AJ30" s="244"/>
      <c r="AK30" s="64"/>
      <c r="AL30" s="64"/>
      <c r="AO30" s="167"/>
      <c r="AP30" s="167"/>
      <c r="AQ30" s="167"/>
      <c r="AR30" s="167"/>
      <c r="AS30" s="6"/>
      <c r="AT30" s="167"/>
      <c r="AU30" s="167"/>
      <c r="AV30" s="167"/>
      <c r="AW30" s="6"/>
      <c r="AX30" s="167"/>
      <c r="AY30" s="167"/>
      <c r="AZ30" s="167"/>
      <c r="BA30" s="6"/>
      <c r="BB30" s="38"/>
      <c r="BC30" s="38"/>
      <c r="BD30" s="39"/>
      <c r="BE30" s="39"/>
      <c r="BF30" s="39"/>
      <c r="BG30" s="39"/>
      <c r="BH30" s="39"/>
      <c r="BI30" s="39"/>
    </row>
    <row r="31" spans="1:124" hidden="1" outlineLevel="1" x14ac:dyDescent="0.2">
      <c r="B31" s="248"/>
      <c r="C31" s="248"/>
      <c r="D31" s="248"/>
      <c r="E31" s="38"/>
      <c r="F31" s="215"/>
      <c r="G31" s="216"/>
      <c r="H31" s="217"/>
      <c r="I31" s="218"/>
      <c r="J31" s="218"/>
      <c r="K31" s="219"/>
      <c r="L31" s="218"/>
      <c r="M31" s="218"/>
      <c r="N31" s="219"/>
      <c r="O31" s="218"/>
      <c r="P31" s="218"/>
      <c r="Q31" s="219"/>
      <c r="R31" s="218"/>
      <c r="S31" s="218"/>
      <c r="T31" s="219"/>
      <c r="U31" s="218"/>
      <c r="V31" s="218"/>
      <c r="W31" s="219"/>
      <c r="X31" s="218"/>
      <c r="Y31" s="218"/>
      <c r="Z31" s="219"/>
      <c r="AA31" s="218"/>
      <c r="AB31" s="218"/>
      <c r="AC31" s="219"/>
      <c r="AD31" s="6"/>
      <c r="AE31" s="240"/>
      <c r="AF31" s="226"/>
      <c r="AG31" s="241"/>
      <c r="AH31" s="242"/>
      <c r="AI31" s="243"/>
      <c r="AJ31" s="244"/>
      <c r="AK31" s="64"/>
      <c r="AL31" s="64"/>
      <c r="AO31" s="167"/>
      <c r="AP31" s="167"/>
      <c r="AQ31" s="167"/>
      <c r="AR31" s="167"/>
      <c r="AS31" s="6"/>
      <c r="AT31" s="167"/>
      <c r="AU31" s="167"/>
      <c r="AV31" s="167"/>
      <c r="AW31" s="6"/>
      <c r="AX31" s="167"/>
      <c r="AY31" s="167"/>
      <c r="AZ31" s="167"/>
      <c r="BA31" s="6"/>
      <c r="BB31" s="38"/>
      <c r="BC31" s="38"/>
      <c r="BD31" s="39"/>
      <c r="BE31" s="39"/>
      <c r="BF31" s="39"/>
      <c r="BG31" s="39"/>
      <c r="BH31" s="39"/>
      <c r="BI31" s="39"/>
    </row>
    <row r="32" spans="1:124" hidden="1" outlineLevel="1" x14ac:dyDescent="0.2">
      <c r="AG32" s="245"/>
      <c r="AH32" s="246"/>
      <c r="AI32" s="245"/>
      <c r="AJ32" s="247"/>
    </row>
    <row r="33" spans="2:53" hidden="1" outlineLevel="1" x14ac:dyDescent="0.2"/>
    <row r="34" spans="2:53" hidden="1" outlineLevel="1" x14ac:dyDescent="0.2"/>
    <row r="35" spans="2:53" hidden="1" outlineLevel="1" x14ac:dyDescent="0.2"/>
    <row r="36" spans="2:53" hidden="1" outlineLevel="1" x14ac:dyDescent="0.2"/>
    <row r="37" spans="2:53" hidden="1" outlineLevel="1" x14ac:dyDescent="0.2"/>
    <row r="38" spans="2:53" hidden="1" outlineLevel="1" x14ac:dyDescent="0.2"/>
    <row r="39" spans="2:53" hidden="1" outlineLevel="1" x14ac:dyDescent="0.2"/>
    <row r="40" spans="2:53" hidden="1" outlineLevel="1" x14ac:dyDescent="0.2"/>
    <row r="41" spans="2:53" hidden="1" outlineLevel="1" x14ac:dyDescent="0.2"/>
    <row r="42" spans="2:53" hidden="1" outlineLevel="1" x14ac:dyDescent="0.2"/>
    <row r="43" spans="2:53" hidden="1" outlineLevel="1" x14ac:dyDescent="0.2"/>
    <row r="44" spans="2:53" hidden="1" outlineLevel="1" x14ac:dyDescent="0.2"/>
    <row r="45" spans="2:53" hidden="1" outlineLevel="1" x14ac:dyDescent="0.2"/>
    <row r="46" spans="2:53" collapsed="1" x14ac:dyDescent="0.2"/>
    <row r="47" spans="2:53" x14ac:dyDescent="0.2">
      <c r="B47" s="136" t="s">
        <v>95</v>
      </c>
      <c r="C47" s="211">
        <f>SUM(C3:C20)</f>
        <v>12</v>
      </c>
      <c r="F47" s="148">
        <f>SUMPRODUCT(C4:C20,F4:F20)</f>
        <v>24</v>
      </c>
      <c r="AD47" s="61" t="s">
        <v>62</v>
      </c>
      <c r="AE47" s="67">
        <f>SUMPRODUCT($C$4:$C$20,$AH$4:$AH$20,AE4:AE20)/SUM($AH$4:$AH$20)</f>
        <v>12.122222222222222</v>
      </c>
      <c r="AF47" s="67">
        <f>SUMPRODUCT($C$4:$C$20,$AH$4:$AH$20,AF4:AF20)/SUM($AH$4:$AH$20)</f>
        <v>15.488888888888887</v>
      </c>
      <c r="AG47" s="67">
        <f>SUMPRODUCT($C$4:$C$20,$AH$4:$AH$20,AG4:AG20)/SUM($AH$4:$AH$20)</f>
        <v>17.888888888888893</v>
      </c>
      <c r="AH47" s="67" t="str">
        <f>SUMPRODUCT($C$4:$C$20,$AH$4:$AH$20)&amp;" ("&amp;ROUND(SUMPRODUCT($C$4:$C$20,$AH$4:$AH$20)/$F$47*100,0)&amp;"%)"</f>
        <v>7 (29%)</v>
      </c>
      <c r="AI47" s="66">
        <f>SUMPRODUCT(C4:C20,AH4:AH20,AI4:AI20)/SUM(AH4:AH20)</f>
        <v>8.2111111111111121</v>
      </c>
      <c r="AJ47" s="63">
        <f>SUMPRODUCT(C4:C20,AH4:AH20,AJ4:AJ20)/SUM(AH4:AH20)</f>
        <v>-3.9111111111111114</v>
      </c>
      <c r="AK47" s="65">
        <f>SUMPRODUCT(C4:C20,AH4:AH20,AK4:AK20)/SUM(AH4:AH20)</f>
        <v>-7.2777777777777777</v>
      </c>
      <c r="AL47" s="65">
        <f>SUMPRODUCT(C4:C20,AH4:AH20,AL4:AL20)/SUM(AH4:AH20)</f>
        <v>-9.6777777777777789</v>
      </c>
      <c r="AM47" s="64"/>
      <c r="AN47" s="153" t="s">
        <v>62</v>
      </c>
      <c r="AO47" s="186">
        <f>SUMPRODUCT($C$4:$C$19,$AH$4:$AH$19,AO4:AO19)/SUM($AH$4:$AH$19)</f>
        <v>6349.0966666666673</v>
      </c>
      <c r="AP47" s="186">
        <f>-1*SUMPRODUCT($C$4:$C$20,$AH$4:$AH$20,AP4:AP20,AJ4:AJ20)/SUM($AH$4:$AH$20)</f>
        <v>1488.8109066287823</v>
      </c>
      <c r="AQ47" s="186">
        <f>-1*SUMPRODUCT($C$4:$C$20,$AH$4:$AH$20,AQ4:AQ20,AK4:AK20)/SUM($AH$4:$AH$20)</f>
        <v>2703.2387414763584</v>
      </c>
      <c r="AR47" s="187">
        <f>-1*SUMPRODUCT($C$4:$C$20,$AH$4:$AH$20,AR4:AR20,AL4:AL20)/SUM($AH$4:$AH$20)</f>
        <v>3234.9333403542728</v>
      </c>
      <c r="AS47" s="51"/>
      <c r="AT47" s="185">
        <f>SUMPRODUCT($C$4:$C$20,$AH$4:$AH$20,AT4:AT20)/SUM($AH$4:$AH$20)</f>
        <v>3352.0168888888898</v>
      </c>
      <c r="AU47" s="186">
        <f>SUMPRODUCT($C$4:$C$20,$AH$4:$AH$20,AU4:AU20)/SUM($AH$4:$AH$20)</f>
        <v>3327.5075555555563</v>
      </c>
      <c r="AV47" s="187">
        <f>SUMPRODUCT($C$4:$C$20,$AH$4:$AH$20,AV4:AV20)/SUM($AH$4:$AH$20)</f>
        <v>3310.0355555555566</v>
      </c>
      <c r="AW47" s="51"/>
      <c r="AX47" s="185">
        <f>SUMPRODUCT($C$4:$C$20,$AH$4:$AH$20,AX4:AX20)/SUM($AH$4:$AH$20)</f>
        <v>2894.7666666666673</v>
      </c>
      <c r="AY47" s="186">
        <f>SUMPRODUCT($C$4:$C$20,$AH$4:$AH$20,AY4:AY20)/SUM($AH$4:$AH$20)</f>
        <v>2743.2666666666673</v>
      </c>
      <c r="AZ47" s="187">
        <f>SUMPRODUCT($C$4:$C$20,$AH$4:$AH$20,AZ4:AZ20)/SUM($AH$4:$AH$20)</f>
        <v>2635.2666666666673</v>
      </c>
      <c r="BA47" s="51"/>
    </row>
    <row r="48" spans="2:53" x14ac:dyDescent="0.2">
      <c r="B48" s="142" t="s">
        <v>85</v>
      </c>
      <c r="C48" s="212">
        <f>COUNT(C3:C20)</f>
        <v>16</v>
      </c>
      <c r="F48" s="149">
        <f>SUM(F4:F20)</f>
        <v>28</v>
      </c>
      <c r="AD48" s="61" t="s">
        <v>63</v>
      </c>
      <c r="AE48" s="67">
        <f>SUMPRODUCT($C$4:$C$20,$D$4:$D$20,$AH$4:$AH$20,AE4:AE20)/SUM($AH$4:$AH$20)</f>
        <v>2.7555555555555551</v>
      </c>
      <c r="AF48" s="67">
        <f>SUMPRODUCT($C$4:$C$20,$D$4:$D$20,$AH$4:$AH$20,AF4:AF20)/SUM($AH$4:$AH$20)</f>
        <v>3.5555555555555554</v>
      </c>
      <c r="AG48" s="67">
        <f>SUMPRODUCT($C$4:$C$20,$D$4:$D$20,$AH$4:$AH$20,AG4:AG20)/SUM($AH$4:$AH$20)</f>
        <v>3.9111111111111114</v>
      </c>
      <c r="AH48" s="67" t="str">
        <f>SUMPRODUCT($C$4:$C$20,$AH$4:$AH$20,$D$4:$D$20)&amp;" ("&amp;ROUND(SUMPRODUCT($C$4:$C$20,$AH$4:$AH$20,$D$4:$D$20)/$F$47*100,0)&amp;"%)"</f>
        <v>2 (8%)</v>
      </c>
      <c r="AI48" s="66">
        <f>SUMPRODUCT(C4:C20,D4:D20,AH4:AH20,AI4:AI20)/SUM(AH4:AH20)</f>
        <v>1.8888888888888888</v>
      </c>
      <c r="AJ48" s="63">
        <f>SUMPRODUCT(C4:C20,D4:D20,AH4:AH20,AJ4:AJ20)/SUM(AH4:AH20)</f>
        <v>-0.86666666666666659</v>
      </c>
      <c r="AK48" s="65">
        <f>SUMPRODUCT(C4:C20,D4:D20,AH4:AH20,AK4:AK20)/SUM(AH4:AH20)</f>
        <v>-1.6666666666666667</v>
      </c>
      <c r="AL48" s="65">
        <f>SUMPRODUCT(C4:C20,D4:D20,AH4:AH20,AL4:AL20)/SUM(AH4:AH20)</f>
        <v>-2.0222222222222226</v>
      </c>
      <c r="AM48" s="64"/>
      <c r="AN48" s="151" t="s">
        <v>63</v>
      </c>
      <c r="AO48" s="189">
        <f>SUMPRODUCT($C$4:$C$20,$D$4:$D$20,$AH$4:$AH$20,AO4:AO20)/SUM($AH$4:$AH$20)</f>
        <v>1326.1499999999999</v>
      </c>
      <c r="AP48" s="189">
        <f>-1*SUMPRODUCT($C$4:$C$20,$D$4:$D$20,$AH$4:$AH$20,AP4:AP20,AJ4:AJ20)/SUM($AH$4:$AH$20)</f>
        <v>385.76698179271705</v>
      </c>
      <c r="AQ48" s="189">
        <f>-1*SUMPRODUCT($C$4:$C$20,$D$4:$D$20,$AH$4:$AH$20,AQ4:AQ20,AK4:AK20)/SUM($AH$4:$AH$20)</f>
        <v>600.69596332731919</v>
      </c>
      <c r="AR48" s="190">
        <f>-1*SUMPRODUCT($C$4:$C$20,$D$4:$D$20,$AH$4:$AH$20,AR4:AR20,AL4:AL20)/SUM($AH$4:$AH$20)</f>
        <v>687.09174382716049</v>
      </c>
      <c r="AS48" s="51"/>
      <c r="AT48" s="188">
        <f>SUMPRODUCT($C$4:$C$20,$D$4:$D$20,$AH$4:$AH$20,AT4:AT20)/SUM($AH$4:$AH$20)</f>
        <v>962.87288888888907</v>
      </c>
      <c r="AU48" s="189">
        <f>SUMPRODUCT($C$4:$C$20,$D$4:$D$20,$AH$4:$AH$20,AU4:AU20)/SUM($AH$4:$AH$20)</f>
        <v>957.04888888888911</v>
      </c>
      <c r="AV48" s="190">
        <f>SUMPRODUCT($C$4:$C$20,$D$4:$D$20,$AH$4:$AH$20,AV4:AV20)/SUM($AH$4:$AH$20)</f>
        <v>954.46044444444442</v>
      </c>
      <c r="AW48" s="51"/>
      <c r="AX48" s="188">
        <f>SUMPRODUCT($C$4:$C$20,$D$4:$D$20,$AH$4:$AH$20,AX4:AX20)/SUM($AH$4:$AH$20)</f>
        <v>858.93333333333351</v>
      </c>
      <c r="AY48" s="189">
        <f>SUMPRODUCT($C$4:$C$20,$D$4:$D$20,$AH$4:$AH$20,AY4:AY20)/SUM($AH$4:$AH$20)</f>
        <v>822.93333333333351</v>
      </c>
      <c r="AZ48" s="190">
        <f>SUMPRODUCT($C$4:$C$20,$D$4:$D$20,$AH$4:$AH$20,AZ4:AZ20)/SUM($AH$4:$AH$20)</f>
        <v>806.93333333333351</v>
      </c>
      <c r="BA48" s="51"/>
    </row>
    <row r="49" spans="30:53" x14ac:dyDescent="0.2">
      <c r="AD49" s="61" t="s">
        <v>61</v>
      </c>
      <c r="AE49" s="67">
        <f>SUMPRODUCT($C$4:$C$20,$E$4:$E$20,$AH$4:$AH$20,AE4:AE20)/SUM($AH$4:$AH$20)</f>
        <v>8.6</v>
      </c>
      <c r="AF49" s="67">
        <f>SUMPRODUCT($C$4:$C$20,$E$4:$E$20,$AH$4:$AH$20,AF4:AF20)/SUM($AH$4:$AH$20)</f>
        <v>10.6</v>
      </c>
      <c r="AG49" s="67">
        <f>SUMPRODUCT($C$4:$C$20,$E$4:$E$20,$AH$4:$AH$20,AG4:AG20)/SUM($AH$4:$AH$20)</f>
        <v>12.177777777777779</v>
      </c>
      <c r="AH49" s="67" t="str">
        <f>SUMPRODUCT($C$4:$C$20,$AH$4:$AH$20,$E$4:$E$20)&amp;" ("&amp;ROUND(SUMPRODUCT($C$4:$C$20,$AH$4:$AH$20,$E$4:$E$20)/$F$47*100,0)&amp;"%)"</f>
        <v>4 (17%)</v>
      </c>
      <c r="AI49" s="66">
        <f>SUMPRODUCT(C4:C20,E4:E20,AH4:AH20,AI4:AI20)/SUM(AH4:AH20)</f>
        <v>4.6555555555555559</v>
      </c>
      <c r="AJ49" s="63">
        <f>SUMPRODUCT(C4:C20,E4:E20,AH4:AH20,AJ4:AJ20)/SUM(AH4:AH20)</f>
        <v>-3.9444444444444446</v>
      </c>
      <c r="AK49" s="65">
        <f>SUMPRODUCT(C4:C20,E4:E20,AH4:AH20,AK4:AK20)/SUM(AH4:AH20)</f>
        <v>-5.9444444444444446</v>
      </c>
      <c r="AL49" s="65">
        <f>SUMPRODUCT(C4:C20,E4:E20,AH4:AH20,AL4:AL20)/SUM(AH4:AH20)</f>
        <v>-7.5222222222222221</v>
      </c>
      <c r="AM49" s="64"/>
      <c r="AN49" s="151" t="s">
        <v>61</v>
      </c>
      <c r="AO49" s="189">
        <f>SUMPRODUCT($C$4:$C$20,$E$4:$E$20,$AH$4:$AH$20,AO4:AO20)/SUM($AH$4:$AH$20)</f>
        <v>4329.6255555555563</v>
      </c>
      <c r="AP49" s="189">
        <f>-1*SUMPRODUCT($C$4:$C$20,$E$4:$E$20,$AH$4:$AH$20,AP4:AP20,AJ4:AJ20)/SUM($AH$4:$AH$20)</f>
        <v>1916.9426204882391</v>
      </c>
      <c r="AQ49" s="189">
        <f>-1*SUMPRODUCT($C$4:$C$20,$E$4:$E$20,$AH$4:$AH$20,AQ4:AQ20,AK4:AK20)/SUM($AH$4:$AH$20)</f>
        <v>2275.873055926817</v>
      </c>
      <c r="AR49" s="190">
        <f>-1*SUMPRODUCT($C$4:$C$20,$E$4:$E$20,$AH$4:$AH$20,AR4:AR20,AL4:AL20)/SUM($AH$4:$AH$20)</f>
        <v>2496.4844771855487</v>
      </c>
      <c r="AS49" s="51"/>
      <c r="AT49" s="188">
        <f>SUMPRODUCT($C$4:$C$20,$E$4:$E$20,$AH$4:$AH$20,AT4:AT20)/SUM($AH$4:$AH$20)</f>
        <v>1903.2586666666673</v>
      </c>
      <c r="AU49" s="189">
        <f>SUMPRODUCT($C$4:$C$20,$E$4:$E$20,$AH$4:$AH$20,AU4:AU20)/SUM($AH$4:$AH$20)</f>
        <v>1888.6986666666671</v>
      </c>
      <c r="AV49" s="190">
        <f>SUMPRODUCT($C$4:$C$20,$E$4:$E$20,$AH$4:$AH$20,AV4:AV20)/SUM($AH$4:$AH$20)</f>
        <v>1877.2124444444448</v>
      </c>
      <c r="AW49" s="51"/>
      <c r="AX49" s="188">
        <f>SUMPRODUCT($C$4:$C$20,$E$4:$E$20,$AH$4:$AH$20,AX4:AX20)/SUM($AH$4:$AH$20)</f>
        <v>1578.866666666667</v>
      </c>
      <c r="AY49" s="189">
        <f>SUMPRODUCT($C$4:$C$20,$E$4:$E$20,$AH$4:$AH$20,AY4:AY20)/SUM($AH$4:$AH$20)</f>
        <v>1488.866666666667</v>
      </c>
      <c r="AZ49" s="190">
        <f>SUMPRODUCT($C$4:$C$20,$E$4:$E$20,$AH$4:$AH$20,AZ4:AZ20)/SUM($AH$4:$AH$20)</f>
        <v>1417.866666666667</v>
      </c>
      <c r="BA49" s="51"/>
    </row>
    <row r="50" spans="30:53" x14ac:dyDescent="0.2">
      <c r="AD50" s="61" t="s">
        <v>64</v>
      </c>
      <c r="AE50" s="67"/>
      <c r="AF50" s="67"/>
      <c r="AG50" s="67"/>
      <c r="AH50" s="67"/>
      <c r="AI50" s="66"/>
      <c r="AJ50" s="63"/>
      <c r="AK50" s="65"/>
      <c r="AL50" s="65"/>
      <c r="AM50" s="64"/>
      <c r="AN50" s="151" t="s">
        <v>64</v>
      </c>
      <c r="AO50" s="189"/>
      <c r="AP50" s="189"/>
      <c r="AQ50" s="189"/>
      <c r="AR50" s="190"/>
      <c r="AS50" s="51"/>
      <c r="AT50" s="188"/>
      <c r="AU50" s="189"/>
      <c r="AV50" s="190"/>
      <c r="AW50" s="51"/>
      <c r="AX50" s="188"/>
      <c r="AY50" s="189"/>
      <c r="AZ50" s="190"/>
      <c r="BA50" s="51"/>
    </row>
    <row r="51" spans="30:53" x14ac:dyDescent="0.2">
      <c r="AD51" s="61" t="s">
        <v>65</v>
      </c>
      <c r="AE51" s="63">
        <f t="shared" ref="AE51:AG51" si="27">AE4</f>
        <v>20.2</v>
      </c>
      <c r="AF51" s="63">
        <f t="shared" si="27"/>
        <v>23.2</v>
      </c>
      <c r="AG51" s="63">
        <f t="shared" si="27"/>
        <v>25.8</v>
      </c>
      <c r="AH51" s="67" t="str">
        <f>AH4&amp;" ("&amp;ROUND(AH4/$F$47*100,0)&amp;"%)"</f>
        <v>3 (13%)</v>
      </c>
      <c r="AI51" s="63">
        <f>AI4</f>
        <v>12.3</v>
      </c>
      <c r="AJ51" s="63">
        <f>AJ4</f>
        <v>-7.8999999999999986</v>
      </c>
      <c r="AK51" s="63">
        <f t="shared" ref="AK51:AL51" si="28">AK4</f>
        <v>-10.899999999999999</v>
      </c>
      <c r="AL51" s="63">
        <f t="shared" si="28"/>
        <v>-13.5</v>
      </c>
      <c r="AM51" s="64"/>
      <c r="AN51" s="151" t="s">
        <v>65</v>
      </c>
      <c r="AO51" s="189">
        <f>AO4</f>
        <v>10833.28</v>
      </c>
      <c r="AP51" s="189">
        <f>AP4*AJ4</f>
        <v>-4236.7778217821779</v>
      </c>
      <c r="AQ51" s="189">
        <f t="shared" ref="AQ51:AR51" si="29">AQ4*AK4</f>
        <v>-5089.773793103448</v>
      </c>
      <c r="AR51" s="190">
        <f t="shared" si="29"/>
        <v>-5668.5767441860471</v>
      </c>
      <c r="AS51" s="51"/>
      <c r="AT51" s="188">
        <f>AT4</f>
        <v>4276.1440000000011</v>
      </c>
      <c r="AU51" s="189">
        <f t="shared" ref="AU51:AV51" si="30">AU4</f>
        <v>4254.304000000001</v>
      </c>
      <c r="AV51" s="190">
        <f t="shared" si="30"/>
        <v>4235.3760000000011</v>
      </c>
      <c r="AW51" s="51"/>
      <c r="AX51" s="188">
        <f>AX4</f>
        <v>3514.2000000000007</v>
      </c>
      <c r="AY51" s="189">
        <f t="shared" ref="AY51:AZ51" si="31">AY4</f>
        <v>3379.2000000000007</v>
      </c>
      <c r="AZ51" s="190">
        <f t="shared" si="31"/>
        <v>3262.2000000000007</v>
      </c>
      <c r="BA51" s="51"/>
    </row>
    <row r="52" spans="30:53" x14ac:dyDescent="0.2">
      <c r="AD52" s="61" t="s">
        <v>84</v>
      </c>
      <c r="AE52" s="63"/>
      <c r="AF52" s="63"/>
      <c r="AG52" s="63"/>
      <c r="AH52" s="67"/>
      <c r="AI52" s="63" t="str">
        <f>AI7</f>
        <v/>
      </c>
      <c r="AJ52" s="63" t="str">
        <f>AJ7</f>
        <v/>
      </c>
      <c r="AK52" s="63" t="str">
        <f t="shared" ref="AK52:AL52" si="32">AK7</f>
        <v/>
      </c>
      <c r="AL52" s="63" t="str">
        <f t="shared" si="32"/>
        <v/>
      </c>
      <c r="AM52" s="64"/>
      <c r="AN52" s="151" t="s">
        <v>84</v>
      </c>
      <c r="AO52" s="189"/>
      <c r="AP52" s="189"/>
      <c r="AQ52" s="189"/>
      <c r="AR52" s="190"/>
      <c r="AS52" s="51"/>
      <c r="AT52" s="188"/>
      <c r="AU52" s="189"/>
      <c r="AV52" s="190"/>
      <c r="AW52" s="51"/>
      <c r="AX52" s="188"/>
      <c r="AY52" s="189"/>
      <c r="AZ52" s="190"/>
      <c r="BA52" s="51"/>
    </row>
    <row r="53" spans="30:53" x14ac:dyDescent="0.2">
      <c r="AD53" s="61" t="s">
        <v>119</v>
      </c>
      <c r="AE53" s="63"/>
      <c r="AF53" s="63"/>
      <c r="AG53" s="63"/>
      <c r="AH53" s="67"/>
      <c r="AI53" s="63"/>
      <c r="AJ53" s="63"/>
      <c r="AK53" s="63"/>
      <c r="AL53" s="63"/>
      <c r="AM53" s="64"/>
      <c r="AN53" s="152" t="s">
        <v>119</v>
      </c>
      <c r="AO53" s="192"/>
      <c r="AP53" s="192"/>
      <c r="AQ53" s="192"/>
      <c r="AR53" s="193"/>
      <c r="AS53" s="51"/>
      <c r="AT53" s="191"/>
      <c r="AU53" s="192"/>
      <c r="AV53" s="193"/>
      <c r="AW53" s="51"/>
      <c r="AX53" s="191"/>
      <c r="AY53" s="192"/>
      <c r="AZ53" s="193"/>
      <c r="BA53" s="51"/>
    </row>
  </sheetData>
  <mergeCells count="1">
    <mergeCell ref="C1:C2"/>
  </mergeCells>
  <conditionalFormatting sqref="B4:B31">
    <cfRule type="expression" dxfId="2" priority="2">
      <formula>C4=0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CAF3-D4DF-475B-8EFF-2BF125C5E44D}">
  <sheetPr>
    <tabColor theme="0" tint="-0.34998626667073579"/>
  </sheetPr>
  <dimension ref="A1:DU53"/>
  <sheetViews>
    <sheetView showGridLines="0" zoomScaleNormal="100" workbookViewId="0">
      <pane xSplit="3" ySplit="3" topLeftCell="V4" activePane="bottomRight" state="frozen"/>
      <selection pane="bottomLeft" activeCell="A4" sqref="A4"/>
      <selection pane="topRight" activeCell="D1" sqref="D1"/>
      <selection pane="bottomRight" activeCell="AG13" sqref="AG13"/>
    </sheetView>
  </sheetViews>
  <sheetFormatPr defaultColWidth="10.76171875" defaultRowHeight="15" outlineLevelRow="1" x14ac:dyDescent="0.2"/>
  <cols>
    <col min="1" max="1" width="14.9296875" style="50" customWidth="1"/>
    <col min="3" max="3" width="16.94921875" style="174" customWidth="1"/>
    <col min="4" max="5" width="6.9921875" customWidth="1"/>
    <col min="6" max="6" width="7.26171875" style="40" customWidth="1"/>
    <col min="7" max="7" width="7.53125" style="5" customWidth="1"/>
    <col min="8" max="8" width="7.93359375" style="44" customWidth="1"/>
    <col min="9" max="9" width="7.26171875" style="40" customWidth="1"/>
    <col min="10" max="10" width="7.53125" style="5" customWidth="1"/>
    <col min="11" max="11" width="7.93359375" style="42" customWidth="1"/>
    <col min="12" max="12" width="7.26171875" style="40" customWidth="1"/>
    <col min="13" max="13" width="7.53125" style="5" customWidth="1"/>
    <col min="14" max="14" width="7.93359375" style="42" customWidth="1"/>
    <col min="15" max="15" width="7.26171875" style="40" customWidth="1"/>
    <col min="16" max="16" width="7.53125" style="5" customWidth="1"/>
    <col min="17" max="17" width="7.93359375" style="42" customWidth="1"/>
    <col min="18" max="19" width="8.7421875" style="8" customWidth="1"/>
    <col min="20" max="20" width="8.7421875" style="44" customWidth="1"/>
    <col min="21" max="22" width="8.7421875" style="8" customWidth="1"/>
    <col min="23" max="23" width="8.7421875" style="44" customWidth="1"/>
    <col min="24" max="25" width="8.7421875" style="8" customWidth="1"/>
    <col min="26" max="26" width="8.7421875" style="44" customWidth="1"/>
    <col min="27" max="28" width="8.7421875" style="8" customWidth="1"/>
    <col min="29" max="29" width="8.7421875" style="44" customWidth="1"/>
    <col min="30" max="30" width="12.64453125" customWidth="1"/>
    <col min="31" max="31" width="16.27734375" style="8" customWidth="1"/>
    <col min="32" max="33" width="14.2578125" customWidth="1"/>
    <col min="34" max="34" width="11.43359375" style="174"/>
    <col min="35" max="35" width="13.046875" customWidth="1"/>
    <col min="36" max="39" width="14.52734375" style="60" customWidth="1"/>
    <col min="41" max="41" width="14.2578125" customWidth="1"/>
    <col min="42" max="42" width="12.9140625" bestFit="1" customWidth="1"/>
    <col min="43" max="53" width="12.64453125" customWidth="1"/>
    <col min="54" max="54" width="18.96484375" style="218" bestFit="1" customWidth="1"/>
    <col min="55" max="124" width="11.43359375" style="218"/>
    <col min="125" max="125" width="11.43359375" style="5"/>
  </cols>
  <sheetData>
    <row r="1" spans="1:125" s="26" customFormat="1" x14ac:dyDescent="0.2">
      <c r="A1" s="49"/>
      <c r="C1" s="294" t="s">
        <v>173</v>
      </c>
      <c r="F1" s="52" t="s">
        <v>6</v>
      </c>
      <c r="G1" s="53"/>
      <c r="H1" s="213"/>
      <c r="I1" s="52" t="s">
        <v>107</v>
      </c>
      <c r="J1" s="53"/>
      <c r="K1" s="54"/>
      <c r="L1" s="52" t="s">
        <v>108</v>
      </c>
      <c r="M1" s="53"/>
      <c r="N1" s="54"/>
      <c r="O1" s="52" t="s">
        <v>109</v>
      </c>
      <c r="P1" s="53"/>
      <c r="Q1" s="54"/>
      <c r="R1" s="55" t="s">
        <v>59</v>
      </c>
      <c r="S1" s="55"/>
      <c r="T1" s="54"/>
      <c r="U1" s="55" t="s">
        <v>88</v>
      </c>
      <c r="V1" s="55"/>
      <c r="W1" s="54"/>
      <c r="X1" s="55" t="s">
        <v>89</v>
      </c>
      <c r="Y1" s="55"/>
      <c r="Z1" s="54"/>
      <c r="AA1" s="55" t="s">
        <v>90</v>
      </c>
      <c r="AB1" s="55"/>
      <c r="AC1" s="54"/>
      <c r="AE1" s="165" t="s">
        <v>91</v>
      </c>
      <c r="AH1" s="175" t="s">
        <v>167</v>
      </c>
      <c r="AI1" s="165" t="s">
        <v>121</v>
      </c>
      <c r="AJ1" s="159">
        <f>VALUE(1&amp;Coûts!N5&amp;Coûts!N7)</f>
        <v>122</v>
      </c>
      <c r="AL1" s="58"/>
      <c r="AM1" s="58"/>
      <c r="AO1" s="165" t="s">
        <v>128</v>
      </c>
      <c r="AT1" s="164" t="s">
        <v>136</v>
      </c>
      <c r="BB1" s="230" t="s">
        <v>168</v>
      </c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  <c r="BO1" s="231"/>
      <c r="BP1" s="231"/>
      <c r="BQ1" s="231"/>
      <c r="BR1" s="231"/>
      <c r="BS1" s="231"/>
      <c r="BT1" s="231"/>
      <c r="BU1" s="231"/>
      <c r="BV1" s="231"/>
      <c r="BW1" s="231"/>
      <c r="BX1" s="231"/>
      <c r="BY1" s="231"/>
      <c r="BZ1" s="231"/>
      <c r="CA1" s="231"/>
      <c r="CB1" s="231"/>
      <c r="CC1" s="231"/>
      <c r="CD1" s="231"/>
      <c r="CE1" s="231"/>
      <c r="CF1" s="231"/>
      <c r="CG1" s="231"/>
      <c r="CH1" s="231"/>
      <c r="CI1" s="231"/>
      <c r="CJ1" s="231"/>
      <c r="CK1" s="231"/>
      <c r="CL1" s="231"/>
      <c r="CM1" s="231"/>
      <c r="CN1" s="231"/>
      <c r="CO1" s="231"/>
      <c r="CP1" s="231"/>
      <c r="CQ1" s="231"/>
      <c r="CR1" s="231"/>
      <c r="CS1" s="231"/>
      <c r="CT1" s="231"/>
      <c r="CU1" s="231"/>
      <c r="CV1" s="231"/>
      <c r="CW1" s="231"/>
      <c r="CX1" s="231"/>
      <c r="CY1" s="231"/>
      <c r="CZ1" s="231"/>
      <c r="DA1" s="231"/>
      <c r="DB1" s="231"/>
      <c r="DC1" s="231"/>
      <c r="DD1" s="231"/>
      <c r="DE1" s="231"/>
      <c r="DF1" s="231"/>
      <c r="DG1" s="231"/>
      <c r="DH1" s="231"/>
      <c r="DI1" s="231"/>
      <c r="DJ1" s="231"/>
      <c r="DK1" s="231"/>
      <c r="DL1" s="231"/>
      <c r="DM1" s="231"/>
      <c r="DN1" s="231"/>
      <c r="DO1" s="231"/>
      <c r="DP1" s="231"/>
      <c r="DQ1" s="231"/>
      <c r="DR1" s="231"/>
      <c r="DS1" s="231"/>
      <c r="DT1" s="231"/>
      <c r="DU1" s="45"/>
    </row>
    <row r="2" spans="1:125" s="26" customFormat="1" x14ac:dyDescent="0.2">
      <c r="A2" s="49"/>
      <c r="C2" s="295"/>
      <c r="F2" s="56">
        <v>111</v>
      </c>
      <c r="G2" s="45"/>
      <c r="H2" s="214"/>
      <c r="I2" s="56">
        <v>112</v>
      </c>
      <c r="J2" s="45"/>
      <c r="K2" s="46"/>
      <c r="L2" s="56">
        <v>113</v>
      </c>
      <c r="M2" s="45"/>
      <c r="N2" s="46"/>
      <c r="O2" s="56">
        <v>114</v>
      </c>
      <c r="P2" s="45"/>
      <c r="Q2" s="46"/>
      <c r="R2" s="57">
        <v>121</v>
      </c>
      <c r="T2" s="46"/>
      <c r="U2" s="57">
        <v>122</v>
      </c>
      <c r="W2" s="46"/>
      <c r="X2" s="57">
        <v>123</v>
      </c>
      <c r="Z2" s="46"/>
      <c r="AA2" s="57">
        <v>124</v>
      </c>
      <c r="AC2" s="46"/>
      <c r="AE2" s="43"/>
      <c r="AH2" s="173"/>
      <c r="AI2" s="47"/>
      <c r="AJ2" s="59"/>
      <c r="AK2" s="59"/>
      <c r="AL2" s="59"/>
      <c r="AM2" s="59"/>
      <c r="AT2" s="26" t="s">
        <v>137</v>
      </c>
      <c r="AX2" s="26" t="s">
        <v>138</v>
      </c>
      <c r="BB2" s="232" t="s">
        <v>6</v>
      </c>
      <c r="BC2" s="231"/>
      <c r="BD2" s="231"/>
      <c r="BE2" s="231"/>
      <c r="BF2" s="231"/>
      <c r="BG2" s="231"/>
      <c r="BH2" s="231"/>
      <c r="BI2" s="231"/>
      <c r="BJ2" s="231"/>
      <c r="BK2" s="231" t="s">
        <v>59</v>
      </c>
      <c r="BL2" s="231"/>
      <c r="BM2" s="231"/>
      <c r="BN2" s="231"/>
      <c r="BO2" s="231"/>
      <c r="BP2" s="231"/>
      <c r="BQ2" s="231"/>
      <c r="BR2" s="231"/>
      <c r="BS2" s="231"/>
      <c r="BT2" s="231" t="s">
        <v>88</v>
      </c>
      <c r="BU2" s="231"/>
      <c r="BV2" s="231"/>
      <c r="BW2" s="231"/>
      <c r="BX2" s="231"/>
      <c r="BY2" s="231"/>
      <c r="BZ2" s="231"/>
      <c r="CA2" s="231"/>
      <c r="CB2" s="231"/>
      <c r="CC2" s="231" t="s">
        <v>89</v>
      </c>
      <c r="CD2" s="231"/>
      <c r="CE2" s="231"/>
      <c r="CF2" s="231"/>
      <c r="CG2" s="231"/>
      <c r="CH2" s="231"/>
      <c r="CI2" s="231"/>
      <c r="CJ2" s="231"/>
      <c r="CK2" s="231"/>
      <c r="CL2" s="231" t="s">
        <v>90</v>
      </c>
      <c r="CM2" s="231"/>
      <c r="CN2" s="231"/>
      <c r="CO2" s="231"/>
      <c r="CP2" s="231"/>
      <c r="CQ2" s="231"/>
      <c r="CR2" s="231"/>
      <c r="CS2" s="231"/>
      <c r="CT2" s="231"/>
      <c r="CU2" s="231" t="s">
        <v>104</v>
      </c>
      <c r="CV2" s="231"/>
      <c r="CW2" s="231"/>
      <c r="CX2" s="231"/>
      <c r="CY2" s="231"/>
      <c r="CZ2" s="231"/>
      <c r="DA2" s="231"/>
      <c r="DB2" s="231"/>
      <c r="DC2" s="231"/>
      <c r="DD2" s="231" t="s">
        <v>105</v>
      </c>
      <c r="DE2" s="231"/>
      <c r="DF2" s="231"/>
      <c r="DG2" s="231"/>
      <c r="DH2" s="231"/>
      <c r="DI2" s="231"/>
      <c r="DJ2" s="231"/>
      <c r="DK2" s="231"/>
      <c r="DL2" s="231"/>
      <c r="DM2" s="231" t="s">
        <v>106</v>
      </c>
      <c r="DN2" s="231"/>
      <c r="DO2" s="231"/>
      <c r="DP2" s="231"/>
      <c r="DQ2" s="231"/>
      <c r="DR2" s="231"/>
      <c r="DS2" s="231"/>
      <c r="DT2" s="231"/>
      <c r="DU2" s="45"/>
    </row>
    <row r="3" spans="1:125" s="8" customFormat="1" x14ac:dyDescent="0.2">
      <c r="A3" s="160"/>
      <c r="B3" s="136" t="s">
        <v>8</v>
      </c>
      <c r="C3" s="137" t="s">
        <v>174</v>
      </c>
      <c r="D3" s="154" t="s">
        <v>122</v>
      </c>
      <c r="E3" s="154" t="s">
        <v>123</v>
      </c>
      <c r="F3" s="136" t="s">
        <v>0</v>
      </c>
      <c r="G3" s="138" t="s">
        <v>1</v>
      </c>
      <c r="H3" s="139" t="s">
        <v>2</v>
      </c>
      <c r="I3" s="136" t="s">
        <v>0</v>
      </c>
      <c r="J3" s="138" t="s">
        <v>1</v>
      </c>
      <c r="K3" s="139" t="s">
        <v>2</v>
      </c>
      <c r="L3" s="136" t="s">
        <v>0</v>
      </c>
      <c r="M3" s="138" t="s">
        <v>1</v>
      </c>
      <c r="N3" s="139" t="s">
        <v>2</v>
      </c>
      <c r="O3" s="136" t="s">
        <v>0</v>
      </c>
      <c r="P3" s="138" t="s">
        <v>1</v>
      </c>
      <c r="Q3" s="139" t="s">
        <v>2</v>
      </c>
      <c r="R3" s="138" t="s">
        <v>0</v>
      </c>
      <c r="S3" s="138" t="s">
        <v>1</v>
      </c>
      <c r="T3" s="139" t="s">
        <v>2</v>
      </c>
      <c r="U3" s="138" t="s">
        <v>0</v>
      </c>
      <c r="V3" s="138" t="s">
        <v>1</v>
      </c>
      <c r="W3" s="139" t="s">
        <v>2</v>
      </c>
      <c r="X3" s="138" t="s">
        <v>0</v>
      </c>
      <c r="Y3" s="138" t="s">
        <v>1</v>
      </c>
      <c r="Z3" s="139" t="s">
        <v>2</v>
      </c>
      <c r="AA3" s="138" t="s">
        <v>0</v>
      </c>
      <c r="AB3" s="138" t="s">
        <v>1</v>
      </c>
      <c r="AC3" s="139" t="s">
        <v>2</v>
      </c>
      <c r="AD3" s="48"/>
      <c r="AE3" s="150" t="s">
        <v>92</v>
      </c>
      <c r="AF3" s="155" t="s">
        <v>93</v>
      </c>
      <c r="AG3" s="163" t="s">
        <v>94</v>
      </c>
      <c r="AH3" s="180" t="s">
        <v>0</v>
      </c>
      <c r="AI3" s="181" t="s">
        <v>124</v>
      </c>
      <c r="AJ3" s="155" t="s">
        <v>92</v>
      </c>
      <c r="AK3" s="155" t="s">
        <v>93</v>
      </c>
      <c r="AL3" s="163" t="s">
        <v>94</v>
      </c>
      <c r="AM3" s="48"/>
      <c r="AO3" s="172" t="s">
        <v>166</v>
      </c>
      <c r="AP3" s="155" t="s">
        <v>92</v>
      </c>
      <c r="AQ3" s="155" t="s">
        <v>93</v>
      </c>
      <c r="AR3" s="163" t="s">
        <v>94</v>
      </c>
      <c r="AS3" s="48"/>
      <c r="AT3" s="150" t="s">
        <v>92</v>
      </c>
      <c r="AU3" s="155" t="s">
        <v>93</v>
      </c>
      <c r="AV3" s="163" t="s">
        <v>94</v>
      </c>
      <c r="AW3" s="48"/>
      <c r="AX3" s="150" t="s">
        <v>92</v>
      </c>
      <c r="AY3" s="155" t="s">
        <v>93</v>
      </c>
      <c r="AZ3" s="163" t="s">
        <v>94</v>
      </c>
      <c r="BA3" s="48"/>
      <c r="BB3" s="136" t="s">
        <v>8</v>
      </c>
      <c r="BC3" s="138" t="s">
        <v>58</v>
      </c>
      <c r="BD3" s="138" t="s">
        <v>0</v>
      </c>
      <c r="BE3" s="138" t="s">
        <v>4</v>
      </c>
      <c r="BF3" s="138" t="s">
        <v>1</v>
      </c>
      <c r="BG3" s="138" t="s">
        <v>2</v>
      </c>
      <c r="BH3" s="138" t="s">
        <v>3</v>
      </c>
      <c r="BI3" s="139" t="s">
        <v>5</v>
      </c>
      <c r="BJ3" s="218"/>
      <c r="BK3" s="136" t="s">
        <v>8</v>
      </c>
      <c r="BL3" s="138" t="s">
        <v>58</v>
      </c>
      <c r="BM3" s="138" t="s">
        <v>0</v>
      </c>
      <c r="BN3" s="138" t="s">
        <v>4</v>
      </c>
      <c r="BO3" s="138" t="s">
        <v>1</v>
      </c>
      <c r="BP3" s="138" t="s">
        <v>2</v>
      </c>
      <c r="BQ3" s="138" t="s">
        <v>3</v>
      </c>
      <c r="BR3" s="139" t="s">
        <v>5</v>
      </c>
      <c r="BS3" s="218"/>
      <c r="BT3" s="136" t="s">
        <v>8</v>
      </c>
      <c r="BU3" s="138" t="s">
        <v>58</v>
      </c>
      <c r="BV3" s="138" t="s">
        <v>0</v>
      </c>
      <c r="BW3" s="138" t="s">
        <v>4</v>
      </c>
      <c r="BX3" s="138" t="s">
        <v>1</v>
      </c>
      <c r="BY3" s="138" t="s">
        <v>2</v>
      </c>
      <c r="BZ3" s="138" t="s">
        <v>3</v>
      </c>
      <c r="CA3" s="139" t="s">
        <v>5</v>
      </c>
      <c r="CB3" s="218"/>
      <c r="CC3" s="136" t="s">
        <v>8</v>
      </c>
      <c r="CD3" s="138" t="s">
        <v>58</v>
      </c>
      <c r="CE3" s="138" t="s">
        <v>0</v>
      </c>
      <c r="CF3" s="138" t="s">
        <v>4</v>
      </c>
      <c r="CG3" s="138" t="s">
        <v>1</v>
      </c>
      <c r="CH3" s="138" t="s">
        <v>2</v>
      </c>
      <c r="CI3" s="138" t="s">
        <v>3</v>
      </c>
      <c r="CJ3" s="139" t="s">
        <v>5</v>
      </c>
      <c r="CK3" s="218"/>
      <c r="CL3" s="136" t="s">
        <v>8</v>
      </c>
      <c r="CM3" s="138" t="s">
        <v>58</v>
      </c>
      <c r="CN3" s="138" t="s">
        <v>0</v>
      </c>
      <c r="CO3" s="138" t="s">
        <v>4</v>
      </c>
      <c r="CP3" s="138" t="s">
        <v>1</v>
      </c>
      <c r="CQ3" s="138" t="s">
        <v>2</v>
      </c>
      <c r="CR3" s="138" t="s">
        <v>3</v>
      </c>
      <c r="CS3" s="139" t="s">
        <v>5</v>
      </c>
      <c r="CT3" s="218"/>
      <c r="CU3" s="136" t="s">
        <v>8</v>
      </c>
      <c r="CV3" s="138" t="s">
        <v>58</v>
      </c>
      <c r="CW3" s="138" t="s">
        <v>0</v>
      </c>
      <c r="CX3" s="138" t="s">
        <v>4</v>
      </c>
      <c r="CY3" s="138" t="s">
        <v>1</v>
      </c>
      <c r="CZ3" s="138" t="s">
        <v>2</v>
      </c>
      <c r="DA3" s="138" t="s">
        <v>3</v>
      </c>
      <c r="DB3" s="139" t="s">
        <v>5</v>
      </c>
      <c r="DC3" s="218"/>
      <c r="DD3" s="136" t="s">
        <v>8</v>
      </c>
      <c r="DE3" s="138" t="s">
        <v>58</v>
      </c>
      <c r="DF3" s="138" t="s">
        <v>0</v>
      </c>
      <c r="DG3" s="138" t="s">
        <v>4</v>
      </c>
      <c r="DH3" s="138" t="s">
        <v>1</v>
      </c>
      <c r="DI3" s="138" t="s">
        <v>2</v>
      </c>
      <c r="DJ3" s="138" t="s">
        <v>3</v>
      </c>
      <c r="DK3" s="139" t="s">
        <v>5</v>
      </c>
      <c r="DL3" s="218"/>
      <c r="DM3" s="136" t="s">
        <v>8</v>
      </c>
      <c r="DN3" s="138" t="s">
        <v>58</v>
      </c>
      <c r="DO3" s="138" t="s">
        <v>0</v>
      </c>
      <c r="DP3" s="138" t="s">
        <v>4</v>
      </c>
      <c r="DQ3" s="138" t="s">
        <v>1</v>
      </c>
      <c r="DR3" s="138" t="s">
        <v>2</v>
      </c>
      <c r="DS3" s="138" t="s">
        <v>3</v>
      </c>
      <c r="DT3" s="139" t="s">
        <v>5</v>
      </c>
      <c r="DU3" s="51"/>
    </row>
    <row r="4" spans="1:125" x14ac:dyDescent="0.2">
      <c r="B4" s="146" t="s">
        <v>187</v>
      </c>
      <c r="C4" s="209">
        <v>1</v>
      </c>
      <c r="D4" s="38">
        <f>IF(RIGHT(B4,1)="3",1,0)</f>
        <v>0</v>
      </c>
      <c r="E4" s="38">
        <f>IF(RIGHT(B4,1)="4",1,0)</f>
        <v>1</v>
      </c>
      <c r="F4" s="215">
        <v>1</v>
      </c>
      <c r="G4" s="216">
        <v>6</v>
      </c>
      <c r="H4" s="217" t="s">
        <v>87</v>
      </c>
      <c r="I4" s="218">
        <f t="shared" ref="I4:I15" si="0">IF(ISNA(VLOOKUP($B4,$CU$4:$DB$14,2,FALSE)),"",VLOOKUP($B4,$CU$4:$DB$14,2,FALSE))</f>
        <v>1</v>
      </c>
      <c r="J4" s="218">
        <f t="shared" ref="J4:J15" si="1">IF(ISNA(VLOOKUP($B4,$CU$4:$DB$14,5,FALSE)),"",VLOOKUP($B4,$CU$4:$DB$14,5,FALSE))</f>
        <v>6</v>
      </c>
      <c r="K4" s="219" t="str">
        <f t="shared" ref="K4:K15" si="2">IF(ISNA(VLOOKUP($B4,$CU$4:$DB$14,6,FALSE)),"",VLOOKUP($B4,$CU$4:$DB$14,6,FALSE))</f>
        <v>.</v>
      </c>
      <c r="L4" s="218">
        <f t="shared" ref="L4:L15" si="3">IF(ISNA(VLOOKUP($B4,$DD$4:$DK$14,2,FALSE)),"",VLOOKUP($B4,$DD$4:$DK$14,2,FALSE))</f>
        <v>1</v>
      </c>
      <c r="M4" s="218">
        <f t="shared" ref="M4:M15" si="4">IF(ISNA(VLOOKUP($B4,$DD$4:$DK$14,5,FALSE)),"",VLOOKUP($B4,$DD$4:$DK$14,5,FALSE))</f>
        <v>6</v>
      </c>
      <c r="N4" s="219" t="str">
        <f t="shared" ref="N4:N15" si="5">IF(ISNA(VLOOKUP($B4,$DD$4:$DK$14,6,FALSE)),"",VLOOKUP($B4,$DD$4:$DK$14,6,FALSE))</f>
        <v>.</v>
      </c>
      <c r="O4" s="218">
        <f t="shared" ref="O4:O15" si="6">IF(ISNA(VLOOKUP($B4,$DM$4:$DT$14,2,FALSE)),"",VLOOKUP($B4,$DM$4:$DT$14,2,FALSE))</f>
        <v>1</v>
      </c>
      <c r="P4" s="218">
        <f t="shared" ref="P4:P15" si="7">IF(ISNA(VLOOKUP($B4,$DM$4:$DT$14,5,FALSE)),"",VLOOKUP($B4,$DM$4:$DT$14,5,FALSE))</f>
        <v>6</v>
      </c>
      <c r="Q4" s="219" t="str">
        <f t="shared" ref="Q4:Q15" si="8">IF(ISNA(VLOOKUP($B4,$DM$4:$DT$14,6,FALSE)),"",VLOOKUP($B4,$DM$4:$DT$14,6,FALSE))</f>
        <v>.</v>
      </c>
      <c r="R4" s="218">
        <f t="shared" ref="R4:R15" si="9">IF(ISNA(VLOOKUP($B4,$BK$4:$BR$14,2,FALSE)),"",VLOOKUP($B4,$BK$4:$BR$14,2,FALSE))</f>
        <v>1</v>
      </c>
      <c r="S4" s="218">
        <f t="shared" ref="S4:S15" si="10">IF(ISNA(VLOOKUP($B4,$BK$4:$BR$14,5,FALSE)),"",VLOOKUP($B4,$BK$4:$BR$14,5,FALSE))</f>
        <v>6</v>
      </c>
      <c r="T4" s="219" t="str">
        <f t="shared" ref="T4:T15" si="11">IF(ISNA(VLOOKUP($B4,$BK$4:$BR$14,6,FALSE)),"",VLOOKUP($B4,$BK$4:$BR$14,6,FALSE))</f>
        <v>.</v>
      </c>
      <c r="U4" s="218">
        <f t="shared" ref="U4:U15" si="12">IF(ISNA(VLOOKUP($B4,$BT$4:$CA$14,2,FALSE)),"",VLOOKUP($B4,$BT$4:$CA$14,2,FALSE))</f>
        <v>1</v>
      </c>
      <c r="V4" s="218">
        <f t="shared" ref="V4:V15" si="13">IF(ISNA(VLOOKUP($B4,$BT$4:$CA$14,5,FALSE)),"",VLOOKUP($B4,$BT$4:$CA$14,5,FALSE))</f>
        <v>6</v>
      </c>
      <c r="W4" s="219" t="str">
        <f t="shared" ref="W4:W15" si="14">IF(ISNA(VLOOKUP($B4,$BT$4:$CA$14,6,FALSE)),"",VLOOKUP($B4,$BT$4:$CA$14,6,FALSE))</f>
        <v>.</v>
      </c>
      <c r="X4" s="218">
        <f t="shared" ref="X4:X15" si="15">IF(ISNA(VLOOKUP($B4,$CC$4:$CJ$14,2,FALSE)),"",VLOOKUP($B4,$CC$4:$CJ$14,2,FALSE))</f>
        <v>1</v>
      </c>
      <c r="Y4" s="218">
        <f t="shared" ref="Y4:Y15" si="16">IF(ISNA(VLOOKUP($B4,$CC$4:$CJ$14,5,FALSE)),"",VLOOKUP($B4,$CC$4:$CJ$14,5,FALSE))</f>
        <v>6</v>
      </c>
      <c r="Z4" s="219" t="str">
        <f t="shared" ref="Z4:Z15" si="17">IF(ISNA(VLOOKUP($B4,$CC$4:$CJ$14,6,FALSE)),"",VLOOKUP($B4,$CC$4:$CJ$14,6,FALSE))</f>
        <v>.</v>
      </c>
      <c r="AA4" s="218">
        <f t="shared" ref="AA4:AA15" si="18">IF(ISNA(VLOOKUP($B4,$CL$3:$CS$14,2,FALSE)),"",VLOOKUP($B4,$CL$3:$CS$14,2,FALSE))</f>
        <v>1</v>
      </c>
      <c r="AB4" s="218">
        <f t="shared" ref="AB4:AB15" si="19">IF(ISNA(VLOOKUP($B4,$CL$3:$CS$14,5,FALSE)),"",VLOOKUP($B4,$CL$3:$CS$14,5,FALSE))</f>
        <v>6</v>
      </c>
      <c r="AC4" s="219" t="str">
        <f t="shared" ref="AC4:AC15" si="20">IF(ISNA(VLOOKUP($B4,$CL$3:$CS$14,6,FALSE)),"",VLOOKUP($B4,$CL$3:$CS$14,6,FALSE))</f>
        <v>.</v>
      </c>
      <c r="AD4" s="6"/>
      <c r="AE4" s="251">
        <v>27.8</v>
      </c>
      <c r="AF4" s="252">
        <v>40.5</v>
      </c>
      <c r="AG4" s="253">
        <v>45.6</v>
      </c>
      <c r="AH4" s="176">
        <f t="shared" ref="AH4:AI15" si="21">IF($AJ$1=111,F4,IF($AJ$1=112,I4,IF($AJ$1=113,L4,IF($AJ$1=114,O4,IF($AJ$1=121,R4,IF($AJ$1=122,U4,IF($AJ$1=123,X4,AA4)))))))</f>
        <v>1</v>
      </c>
      <c r="AI4" s="177">
        <f t="shared" si="21"/>
        <v>6</v>
      </c>
      <c r="AJ4" s="64">
        <f t="shared" ref="AJ4:AL15" si="22">IF($AI4&lt;&gt;"",$AI4-AE4,"")</f>
        <v>-21.8</v>
      </c>
      <c r="AK4" s="64">
        <f t="shared" si="22"/>
        <v>-34.5</v>
      </c>
      <c r="AL4" s="156">
        <f t="shared" si="22"/>
        <v>-39.6</v>
      </c>
      <c r="AO4" s="166">
        <f>VLOOKUP(B4,Coûts!$C$10:$G$85,5,FALSE)</f>
        <v>18949.580000000002</v>
      </c>
      <c r="AP4" s="167">
        <f t="shared" ref="AP4:AR14" si="23">IF(AE4&lt;&gt;0,$AO4/AE4,"")</f>
        <v>681.63956834532382</v>
      </c>
      <c r="AQ4" s="167">
        <f t="shared" si="23"/>
        <v>467.8908641975309</v>
      </c>
      <c r="AR4" s="168">
        <f t="shared" si="23"/>
        <v>415.56096491228072</v>
      </c>
      <c r="AS4" s="6"/>
      <c r="AT4" s="166">
        <f>Coûts!$I$5-AE4*Coûts!$I$3</f>
        <v>4220.8160000000007</v>
      </c>
      <c r="AU4" s="167">
        <f>Coûts!$I$5-AF4*Coûts!$I$3</f>
        <v>4128.3600000000006</v>
      </c>
      <c r="AV4" s="168">
        <f>Coûts!$I$5-AG4*Coûts!$I$3</f>
        <v>4091.2320000000009</v>
      </c>
      <c r="AW4" s="6"/>
      <c r="AX4" s="166">
        <f>Coûts!$I$5-AE4*Coûts!$I$4</f>
        <v>3172.2000000000007</v>
      </c>
      <c r="AY4" s="167">
        <f>Coûts!$I$5-AF4*Coûts!$I$4</f>
        <v>2600.7000000000007</v>
      </c>
      <c r="AZ4" s="168">
        <f>Coûts!$I$5-AG4*Coûts!$I$4</f>
        <v>2371.2000000000007</v>
      </c>
      <c r="BA4" s="6"/>
      <c r="BB4" s="37" t="s">
        <v>187</v>
      </c>
      <c r="BC4" s="38">
        <v>1</v>
      </c>
      <c r="BD4" s="216">
        <v>1</v>
      </c>
      <c r="BE4" s="216">
        <v>6</v>
      </c>
      <c r="BF4" s="216">
        <v>6</v>
      </c>
      <c r="BG4" s="216" t="s">
        <v>87</v>
      </c>
      <c r="BH4" s="216">
        <v>6</v>
      </c>
      <c r="BI4" s="217">
        <v>6</v>
      </c>
      <c r="BK4" s="37" t="s">
        <v>187</v>
      </c>
      <c r="BL4" s="38">
        <v>1</v>
      </c>
      <c r="BM4" s="216">
        <v>1</v>
      </c>
      <c r="BN4" s="216">
        <v>6</v>
      </c>
      <c r="BO4" s="216">
        <v>6</v>
      </c>
      <c r="BP4" s="216" t="s">
        <v>87</v>
      </c>
      <c r="BQ4" s="216">
        <v>6</v>
      </c>
      <c r="BR4" s="217">
        <v>6</v>
      </c>
      <c r="BT4" s="37" t="s">
        <v>187</v>
      </c>
      <c r="BU4" s="38">
        <v>1</v>
      </c>
      <c r="BV4" s="216">
        <v>1</v>
      </c>
      <c r="BW4" s="216">
        <v>6</v>
      </c>
      <c r="BX4" s="216">
        <v>6</v>
      </c>
      <c r="BY4" s="216" t="s">
        <v>87</v>
      </c>
      <c r="BZ4" s="216">
        <v>6</v>
      </c>
      <c r="CA4" s="217">
        <v>6</v>
      </c>
      <c r="CC4" s="37" t="s">
        <v>187</v>
      </c>
      <c r="CD4" s="38">
        <v>1</v>
      </c>
      <c r="CE4" s="216">
        <v>1</v>
      </c>
      <c r="CF4" s="216">
        <v>6</v>
      </c>
      <c r="CG4" s="216">
        <v>6</v>
      </c>
      <c r="CH4" s="216" t="s">
        <v>87</v>
      </c>
      <c r="CI4" s="216">
        <v>6</v>
      </c>
      <c r="CJ4" s="217">
        <v>6</v>
      </c>
      <c r="CL4" s="37" t="s">
        <v>187</v>
      </c>
      <c r="CM4" s="38">
        <v>1</v>
      </c>
      <c r="CN4" s="216">
        <v>1</v>
      </c>
      <c r="CO4" s="216">
        <v>6</v>
      </c>
      <c r="CP4" s="216">
        <v>6</v>
      </c>
      <c r="CQ4" s="216" t="s">
        <v>87</v>
      </c>
      <c r="CR4" s="216">
        <v>6</v>
      </c>
      <c r="CS4" s="217">
        <v>6</v>
      </c>
      <c r="CU4" s="37" t="s">
        <v>187</v>
      </c>
      <c r="CV4" s="38">
        <v>1</v>
      </c>
      <c r="CW4" s="216">
        <v>1</v>
      </c>
      <c r="CX4" s="216">
        <v>6</v>
      </c>
      <c r="CY4" s="216">
        <v>6</v>
      </c>
      <c r="CZ4" s="216" t="s">
        <v>87</v>
      </c>
      <c r="DA4" s="216">
        <v>6</v>
      </c>
      <c r="DB4" s="217">
        <v>6</v>
      </c>
      <c r="DD4" s="37" t="s">
        <v>187</v>
      </c>
      <c r="DE4" s="38">
        <v>1</v>
      </c>
      <c r="DF4" s="216">
        <v>1</v>
      </c>
      <c r="DG4" s="216">
        <v>6</v>
      </c>
      <c r="DH4" s="216">
        <v>6</v>
      </c>
      <c r="DI4" s="216" t="s">
        <v>87</v>
      </c>
      <c r="DJ4" s="216">
        <v>6</v>
      </c>
      <c r="DK4" s="217">
        <v>6</v>
      </c>
      <c r="DM4" s="37" t="s">
        <v>187</v>
      </c>
      <c r="DN4" s="38">
        <v>1</v>
      </c>
      <c r="DO4" s="216">
        <v>1</v>
      </c>
      <c r="DP4" s="216">
        <v>6</v>
      </c>
      <c r="DQ4" s="216">
        <v>6</v>
      </c>
      <c r="DR4" s="216" t="s">
        <v>87</v>
      </c>
      <c r="DS4" s="216">
        <v>6</v>
      </c>
      <c r="DT4" s="217">
        <v>6</v>
      </c>
    </row>
    <row r="5" spans="1:125" x14ac:dyDescent="0.2">
      <c r="B5" s="146" t="s">
        <v>188</v>
      </c>
      <c r="C5" s="209">
        <v>1</v>
      </c>
      <c r="D5" s="38">
        <f t="shared" ref="D5:D13" si="24">IF(RIGHT(B5,1)="3",1,0)</f>
        <v>1</v>
      </c>
      <c r="E5" s="38">
        <f t="shared" ref="E5:E13" si="25">IF(RIGHT(B5,1)="4",1,0)</f>
        <v>0</v>
      </c>
      <c r="F5" s="215">
        <v>1</v>
      </c>
      <c r="G5" s="216">
        <v>42</v>
      </c>
      <c r="H5" s="217" t="s">
        <v>87</v>
      </c>
      <c r="I5" s="218" t="str">
        <f t="shared" si="0"/>
        <v/>
      </c>
      <c r="J5" s="218" t="str">
        <f t="shared" si="1"/>
        <v/>
      </c>
      <c r="K5" s="219" t="str">
        <f t="shared" si="2"/>
        <v/>
      </c>
      <c r="L5" s="218" t="str">
        <f t="shared" si="3"/>
        <v/>
      </c>
      <c r="M5" s="218" t="str">
        <f t="shared" si="4"/>
        <v/>
      </c>
      <c r="N5" s="219" t="str">
        <f t="shared" si="5"/>
        <v/>
      </c>
      <c r="O5" s="218">
        <f t="shared" si="6"/>
        <v>1</v>
      </c>
      <c r="P5" s="218">
        <f t="shared" si="7"/>
        <v>42</v>
      </c>
      <c r="Q5" s="219" t="str">
        <f t="shared" si="8"/>
        <v>.</v>
      </c>
      <c r="R5" s="218">
        <f t="shared" si="9"/>
        <v>1</v>
      </c>
      <c r="S5" s="218">
        <f t="shared" si="10"/>
        <v>42</v>
      </c>
      <c r="T5" s="219" t="str">
        <f t="shared" si="11"/>
        <v>.</v>
      </c>
      <c r="U5" s="218" t="str">
        <f t="shared" si="12"/>
        <v/>
      </c>
      <c r="V5" s="218" t="str">
        <f t="shared" si="13"/>
        <v/>
      </c>
      <c r="W5" s="219" t="str">
        <f t="shared" si="14"/>
        <v/>
      </c>
      <c r="X5" s="218" t="str">
        <f t="shared" si="15"/>
        <v/>
      </c>
      <c r="Y5" s="218" t="str">
        <f t="shared" si="16"/>
        <v/>
      </c>
      <c r="Z5" s="219" t="str">
        <f t="shared" si="17"/>
        <v/>
      </c>
      <c r="AA5" s="218">
        <f t="shared" si="18"/>
        <v>1</v>
      </c>
      <c r="AB5" s="218">
        <f t="shared" si="19"/>
        <v>42</v>
      </c>
      <c r="AC5" s="219" t="str">
        <f t="shared" si="20"/>
        <v>.</v>
      </c>
      <c r="AD5" s="6"/>
      <c r="AE5" s="251">
        <v>12.1</v>
      </c>
      <c r="AF5" s="252">
        <v>15.7</v>
      </c>
      <c r="AG5" s="253">
        <v>19.399999999999999</v>
      </c>
      <c r="AH5" s="176" t="str">
        <f t="shared" si="21"/>
        <v/>
      </c>
      <c r="AI5" s="177" t="str">
        <f t="shared" si="21"/>
        <v/>
      </c>
      <c r="AJ5" s="64" t="str">
        <f t="shared" si="22"/>
        <v/>
      </c>
      <c r="AK5" s="64" t="str">
        <f t="shared" si="22"/>
        <v/>
      </c>
      <c r="AL5" s="156" t="str">
        <f t="shared" si="22"/>
        <v/>
      </c>
      <c r="AO5" s="166">
        <f>VLOOKUP(B5,Coûts!$C$10:$G$85,5,FALSE)</f>
        <v>4489.04</v>
      </c>
      <c r="AP5" s="167">
        <f t="shared" si="23"/>
        <v>370.99504132231408</v>
      </c>
      <c r="AQ5" s="167">
        <f t="shared" si="23"/>
        <v>285.92611464968155</v>
      </c>
      <c r="AR5" s="168">
        <f t="shared" si="23"/>
        <v>231.3938144329897</v>
      </c>
      <c r="AS5" s="6"/>
      <c r="AT5" s="166">
        <f>Coûts!$I$5-AE5*Coûts!$I$3</f>
        <v>4335.112000000001</v>
      </c>
      <c r="AU5" s="167">
        <f>Coûts!$I$5-AF5*Coûts!$I$3</f>
        <v>4308.9040000000005</v>
      </c>
      <c r="AV5" s="168">
        <f>Coûts!$I$5-AG5*Coûts!$I$3</f>
        <v>4281.9680000000008</v>
      </c>
      <c r="AW5" s="6"/>
      <c r="AX5" s="166">
        <f>Coûts!$I$5-AE5*Coûts!$I$4</f>
        <v>3878.7000000000007</v>
      </c>
      <c r="AY5" s="167">
        <f>Coûts!$I$5-AF5*Coûts!$I$4</f>
        <v>3716.7000000000007</v>
      </c>
      <c r="AZ5" s="168">
        <f>Coûts!$I$5-AG5*Coûts!$I$4</f>
        <v>3550.2000000000007</v>
      </c>
      <c r="BA5" s="6"/>
      <c r="BB5" s="37" t="s">
        <v>188</v>
      </c>
      <c r="BC5" s="38">
        <v>1</v>
      </c>
      <c r="BD5" s="216">
        <v>1</v>
      </c>
      <c r="BE5" s="216">
        <v>42</v>
      </c>
      <c r="BF5" s="216">
        <v>42</v>
      </c>
      <c r="BG5" s="216" t="s">
        <v>87</v>
      </c>
      <c r="BH5" s="216">
        <v>42</v>
      </c>
      <c r="BI5" s="217">
        <v>42</v>
      </c>
      <c r="BK5" s="37" t="s">
        <v>188</v>
      </c>
      <c r="BL5" s="38">
        <v>1</v>
      </c>
      <c r="BM5" s="216">
        <v>1</v>
      </c>
      <c r="BN5" s="216">
        <v>42</v>
      </c>
      <c r="BO5" s="216">
        <v>42</v>
      </c>
      <c r="BP5" s="216" t="s">
        <v>87</v>
      </c>
      <c r="BQ5" s="216">
        <v>42</v>
      </c>
      <c r="BR5" s="217">
        <v>42</v>
      </c>
      <c r="BT5" s="37" t="s">
        <v>189</v>
      </c>
      <c r="BU5" s="38">
        <v>1</v>
      </c>
      <c r="BV5" s="216">
        <v>1</v>
      </c>
      <c r="BW5" s="216">
        <v>2</v>
      </c>
      <c r="BX5" s="216">
        <v>2</v>
      </c>
      <c r="BY5" s="216" t="s">
        <v>87</v>
      </c>
      <c r="BZ5" s="216">
        <v>2</v>
      </c>
      <c r="CA5" s="217">
        <v>2</v>
      </c>
      <c r="CC5" s="37" t="s">
        <v>178</v>
      </c>
      <c r="CD5" s="38">
        <v>1</v>
      </c>
      <c r="CE5" s="216">
        <v>1</v>
      </c>
      <c r="CF5" s="216">
        <v>18</v>
      </c>
      <c r="CG5" s="216">
        <v>18</v>
      </c>
      <c r="CH5" s="216" t="s">
        <v>87</v>
      </c>
      <c r="CI5" s="216">
        <v>18</v>
      </c>
      <c r="CJ5" s="217">
        <v>18</v>
      </c>
      <c r="CL5" s="37" t="s">
        <v>188</v>
      </c>
      <c r="CM5" s="38">
        <v>1</v>
      </c>
      <c r="CN5" s="216">
        <v>1</v>
      </c>
      <c r="CO5" s="216">
        <v>42</v>
      </c>
      <c r="CP5" s="216">
        <v>42</v>
      </c>
      <c r="CQ5" s="216" t="s">
        <v>87</v>
      </c>
      <c r="CR5" s="216">
        <v>42</v>
      </c>
      <c r="CS5" s="217">
        <v>42</v>
      </c>
      <c r="CU5" s="37" t="s">
        <v>189</v>
      </c>
      <c r="CV5" s="38">
        <v>1</v>
      </c>
      <c r="CW5" s="216">
        <v>1</v>
      </c>
      <c r="CX5" s="216">
        <v>2</v>
      </c>
      <c r="CY5" s="216">
        <v>2</v>
      </c>
      <c r="CZ5" s="216" t="s">
        <v>87</v>
      </c>
      <c r="DA5" s="216">
        <v>2</v>
      </c>
      <c r="DB5" s="217">
        <v>2</v>
      </c>
      <c r="DD5" s="37" t="s">
        <v>178</v>
      </c>
      <c r="DE5" s="38">
        <v>1</v>
      </c>
      <c r="DF5" s="216">
        <v>1</v>
      </c>
      <c r="DG5" s="216">
        <v>18</v>
      </c>
      <c r="DH5" s="216">
        <v>18</v>
      </c>
      <c r="DI5" s="216" t="s">
        <v>87</v>
      </c>
      <c r="DJ5" s="216">
        <v>18</v>
      </c>
      <c r="DK5" s="217">
        <v>18</v>
      </c>
      <c r="DM5" s="37" t="s">
        <v>188</v>
      </c>
      <c r="DN5" s="38">
        <v>1</v>
      </c>
      <c r="DO5" s="216">
        <v>1</v>
      </c>
      <c r="DP5" s="216">
        <v>42</v>
      </c>
      <c r="DQ5" s="216">
        <v>42</v>
      </c>
      <c r="DR5" s="216" t="s">
        <v>87</v>
      </c>
      <c r="DS5" s="216">
        <v>42</v>
      </c>
      <c r="DT5" s="217">
        <v>42</v>
      </c>
    </row>
    <row r="6" spans="1:125" x14ac:dyDescent="0.2">
      <c r="B6" s="146" t="s">
        <v>178</v>
      </c>
      <c r="C6" s="209">
        <v>1</v>
      </c>
      <c r="D6" s="38">
        <f t="shared" si="24"/>
        <v>1</v>
      </c>
      <c r="E6" s="38">
        <f t="shared" si="25"/>
        <v>0</v>
      </c>
      <c r="F6" s="215">
        <v>1</v>
      </c>
      <c r="G6" s="216">
        <v>18</v>
      </c>
      <c r="H6" s="217" t="s">
        <v>87</v>
      </c>
      <c r="I6" s="218" t="str">
        <f t="shared" si="0"/>
        <v/>
      </c>
      <c r="J6" s="218" t="str">
        <f t="shared" si="1"/>
        <v/>
      </c>
      <c r="K6" s="219" t="str">
        <f t="shared" si="2"/>
        <v/>
      </c>
      <c r="L6" s="218">
        <f t="shared" si="3"/>
        <v>1</v>
      </c>
      <c r="M6" s="218">
        <f t="shared" si="4"/>
        <v>18</v>
      </c>
      <c r="N6" s="219" t="str">
        <f t="shared" si="5"/>
        <v>.</v>
      </c>
      <c r="O6" s="218">
        <f t="shared" si="6"/>
        <v>1</v>
      </c>
      <c r="P6" s="218">
        <f t="shared" si="7"/>
        <v>18</v>
      </c>
      <c r="Q6" s="219" t="str">
        <f t="shared" si="8"/>
        <v>.</v>
      </c>
      <c r="R6" s="218">
        <f t="shared" si="9"/>
        <v>1</v>
      </c>
      <c r="S6" s="218">
        <f t="shared" si="10"/>
        <v>18</v>
      </c>
      <c r="T6" s="219" t="str">
        <f t="shared" si="11"/>
        <v>.</v>
      </c>
      <c r="U6" s="218" t="str">
        <f t="shared" si="12"/>
        <v/>
      </c>
      <c r="V6" s="218" t="str">
        <f t="shared" si="13"/>
        <v/>
      </c>
      <c r="W6" s="219" t="str">
        <f t="shared" si="14"/>
        <v/>
      </c>
      <c r="X6" s="218">
        <f t="shared" si="15"/>
        <v>1</v>
      </c>
      <c r="Y6" s="218">
        <f t="shared" si="16"/>
        <v>18</v>
      </c>
      <c r="Z6" s="219" t="str">
        <f t="shared" si="17"/>
        <v>.</v>
      </c>
      <c r="AA6" s="218">
        <f t="shared" si="18"/>
        <v>1</v>
      </c>
      <c r="AB6" s="218">
        <f t="shared" si="19"/>
        <v>18</v>
      </c>
      <c r="AC6" s="219" t="str">
        <f t="shared" si="20"/>
        <v>.</v>
      </c>
      <c r="AD6" s="6"/>
      <c r="AE6" s="251">
        <v>11.2</v>
      </c>
      <c r="AF6" s="252">
        <v>14.3</v>
      </c>
      <c r="AG6" s="253">
        <v>14.4</v>
      </c>
      <c r="AH6" s="176" t="str">
        <f t="shared" si="21"/>
        <v/>
      </c>
      <c r="AI6" s="177" t="str">
        <f t="shared" si="21"/>
        <v/>
      </c>
      <c r="AJ6" s="64" t="str">
        <f t="shared" si="22"/>
        <v/>
      </c>
      <c r="AK6" s="64" t="str">
        <f t="shared" si="22"/>
        <v/>
      </c>
      <c r="AL6" s="156" t="str">
        <f t="shared" si="22"/>
        <v/>
      </c>
      <c r="AO6" s="166">
        <f>VLOOKUP(B6,Coûts!$C$10:$G$85,5,FALSE)</f>
        <v>4919.24</v>
      </c>
      <c r="AP6" s="167">
        <f t="shared" si="23"/>
        <v>439.21785714285716</v>
      </c>
      <c r="AQ6" s="167">
        <f t="shared" si="23"/>
        <v>344.00279720279718</v>
      </c>
      <c r="AR6" s="168">
        <f t="shared" si="23"/>
        <v>341.61388888888888</v>
      </c>
      <c r="AS6" s="6"/>
      <c r="AT6" s="166">
        <f>Coûts!$I$5-AE6*Coûts!$I$3</f>
        <v>4341.6640000000007</v>
      </c>
      <c r="AU6" s="167">
        <f>Coûts!$I$5-AF6*Coûts!$I$3</f>
        <v>4319.0960000000005</v>
      </c>
      <c r="AV6" s="168">
        <f>Coûts!$I$5-AG6*Coûts!$I$3</f>
        <v>4318.3680000000004</v>
      </c>
      <c r="AW6" s="6"/>
      <c r="AX6" s="166">
        <f>Coûts!$I$5-AE6*Coûts!$I$4</f>
        <v>3919.2000000000007</v>
      </c>
      <c r="AY6" s="167">
        <f>Coûts!$I$5-AF6*Coûts!$I$4</f>
        <v>3779.7000000000007</v>
      </c>
      <c r="AZ6" s="168">
        <f>Coûts!$I$5-AG6*Coûts!$I$4</f>
        <v>3775.2000000000007</v>
      </c>
      <c r="BA6" s="6"/>
      <c r="BB6" s="37" t="s">
        <v>178</v>
      </c>
      <c r="BC6" s="38">
        <v>1</v>
      </c>
      <c r="BD6" s="216">
        <v>1</v>
      </c>
      <c r="BE6" s="216">
        <v>18</v>
      </c>
      <c r="BF6" s="216">
        <v>18</v>
      </c>
      <c r="BG6" s="216" t="s">
        <v>87</v>
      </c>
      <c r="BH6" s="216">
        <v>18</v>
      </c>
      <c r="BI6" s="217">
        <v>18</v>
      </c>
      <c r="BK6" s="37" t="s">
        <v>178</v>
      </c>
      <c r="BL6" s="38">
        <v>1</v>
      </c>
      <c r="BM6" s="216">
        <v>1</v>
      </c>
      <c r="BN6" s="216">
        <v>18</v>
      </c>
      <c r="BO6" s="216">
        <v>18</v>
      </c>
      <c r="BP6" s="216" t="s">
        <v>87</v>
      </c>
      <c r="BQ6" s="216">
        <v>18</v>
      </c>
      <c r="BR6" s="217">
        <v>18</v>
      </c>
      <c r="BT6" s="37" t="s">
        <v>190</v>
      </c>
      <c r="BU6" s="38">
        <v>1</v>
      </c>
      <c r="BV6" s="216">
        <v>1</v>
      </c>
      <c r="BW6" s="216">
        <v>7</v>
      </c>
      <c r="BX6" s="216">
        <v>7</v>
      </c>
      <c r="BY6" s="216" t="s">
        <v>87</v>
      </c>
      <c r="BZ6" s="216">
        <v>7</v>
      </c>
      <c r="CA6" s="217">
        <v>7</v>
      </c>
      <c r="CC6" s="37" t="s">
        <v>189</v>
      </c>
      <c r="CD6" s="38">
        <v>1</v>
      </c>
      <c r="CE6" s="216">
        <v>1</v>
      </c>
      <c r="CF6" s="216">
        <v>2</v>
      </c>
      <c r="CG6" s="216">
        <v>2</v>
      </c>
      <c r="CH6" s="216" t="s">
        <v>87</v>
      </c>
      <c r="CI6" s="216">
        <v>2</v>
      </c>
      <c r="CJ6" s="217">
        <v>2</v>
      </c>
      <c r="CL6" s="37" t="s">
        <v>178</v>
      </c>
      <c r="CM6" s="38">
        <v>1</v>
      </c>
      <c r="CN6" s="216">
        <v>1</v>
      </c>
      <c r="CO6" s="216">
        <v>18</v>
      </c>
      <c r="CP6" s="216">
        <v>18</v>
      </c>
      <c r="CQ6" s="216" t="s">
        <v>87</v>
      </c>
      <c r="CR6" s="216">
        <v>18</v>
      </c>
      <c r="CS6" s="217">
        <v>18</v>
      </c>
      <c r="CU6" s="37" t="s">
        <v>190</v>
      </c>
      <c r="CV6" s="38">
        <v>1</v>
      </c>
      <c r="CW6" s="216">
        <v>1</v>
      </c>
      <c r="CX6" s="216">
        <v>7</v>
      </c>
      <c r="CY6" s="216">
        <v>7</v>
      </c>
      <c r="CZ6" s="216" t="s">
        <v>87</v>
      </c>
      <c r="DA6" s="216">
        <v>7</v>
      </c>
      <c r="DB6" s="217">
        <v>7</v>
      </c>
      <c r="DD6" s="37" t="s">
        <v>189</v>
      </c>
      <c r="DE6" s="38">
        <v>1</v>
      </c>
      <c r="DF6" s="216">
        <v>1</v>
      </c>
      <c r="DG6" s="216">
        <v>2</v>
      </c>
      <c r="DH6" s="216">
        <v>2</v>
      </c>
      <c r="DI6" s="216" t="s">
        <v>87</v>
      </c>
      <c r="DJ6" s="216">
        <v>2</v>
      </c>
      <c r="DK6" s="217">
        <v>2</v>
      </c>
      <c r="DM6" s="37" t="s">
        <v>178</v>
      </c>
      <c r="DN6" s="38">
        <v>1</v>
      </c>
      <c r="DO6" s="216">
        <v>1</v>
      </c>
      <c r="DP6" s="216">
        <v>18</v>
      </c>
      <c r="DQ6" s="216">
        <v>18</v>
      </c>
      <c r="DR6" s="216" t="s">
        <v>87</v>
      </c>
      <c r="DS6" s="216">
        <v>18</v>
      </c>
      <c r="DT6" s="217">
        <v>18</v>
      </c>
    </row>
    <row r="7" spans="1:125" x14ac:dyDescent="0.2">
      <c r="A7" s="50" t="s">
        <v>97</v>
      </c>
      <c r="B7" s="146" t="s">
        <v>189</v>
      </c>
      <c r="C7" s="209">
        <v>0</v>
      </c>
      <c r="D7" s="38">
        <f t="shared" si="24"/>
        <v>0</v>
      </c>
      <c r="E7" s="38">
        <f t="shared" si="25"/>
        <v>0</v>
      </c>
      <c r="F7" s="215">
        <v>1</v>
      </c>
      <c r="G7" s="216">
        <v>2</v>
      </c>
      <c r="H7" s="217" t="s">
        <v>87</v>
      </c>
      <c r="I7" s="218">
        <f t="shared" si="0"/>
        <v>1</v>
      </c>
      <c r="J7" s="218">
        <f t="shared" si="1"/>
        <v>2</v>
      </c>
      <c r="K7" s="219" t="str">
        <f t="shared" si="2"/>
        <v>.</v>
      </c>
      <c r="L7" s="218">
        <f t="shared" si="3"/>
        <v>1</v>
      </c>
      <c r="M7" s="218">
        <f t="shared" si="4"/>
        <v>2</v>
      </c>
      <c r="N7" s="219" t="str">
        <f t="shared" si="5"/>
        <v>.</v>
      </c>
      <c r="O7" s="218">
        <f t="shared" si="6"/>
        <v>1</v>
      </c>
      <c r="P7" s="218">
        <f t="shared" si="7"/>
        <v>2</v>
      </c>
      <c r="Q7" s="219" t="str">
        <f t="shared" si="8"/>
        <v>.</v>
      </c>
      <c r="R7" s="218">
        <f t="shared" si="9"/>
        <v>1</v>
      </c>
      <c r="S7" s="218">
        <f t="shared" si="10"/>
        <v>2</v>
      </c>
      <c r="T7" s="219" t="str">
        <f t="shared" si="11"/>
        <v>.</v>
      </c>
      <c r="U7" s="218">
        <f t="shared" si="12"/>
        <v>1</v>
      </c>
      <c r="V7" s="218">
        <f t="shared" si="13"/>
        <v>2</v>
      </c>
      <c r="W7" s="219" t="str">
        <f t="shared" si="14"/>
        <v>.</v>
      </c>
      <c r="X7" s="218">
        <f t="shared" si="15"/>
        <v>1</v>
      </c>
      <c r="Y7" s="218">
        <f t="shared" si="16"/>
        <v>2</v>
      </c>
      <c r="Z7" s="219" t="str">
        <f t="shared" si="17"/>
        <v>.</v>
      </c>
      <c r="AA7" s="218">
        <f t="shared" si="18"/>
        <v>1</v>
      </c>
      <c r="AB7" s="218">
        <f t="shared" si="19"/>
        <v>2</v>
      </c>
      <c r="AC7" s="219" t="str">
        <f t="shared" si="20"/>
        <v>.</v>
      </c>
      <c r="AD7" s="6"/>
      <c r="AE7" s="251">
        <v>0</v>
      </c>
      <c r="AF7" s="252"/>
      <c r="AG7" s="253"/>
      <c r="AH7" s="176">
        <f t="shared" si="21"/>
        <v>1</v>
      </c>
      <c r="AI7" s="177">
        <f t="shared" si="21"/>
        <v>2</v>
      </c>
      <c r="AJ7" s="64">
        <f t="shared" si="22"/>
        <v>2</v>
      </c>
      <c r="AK7" s="64">
        <f t="shared" si="22"/>
        <v>2</v>
      </c>
      <c r="AL7" s="156">
        <f t="shared" si="22"/>
        <v>2</v>
      </c>
      <c r="AO7" s="166">
        <f>VLOOKUP(B7,Coûts!$C$10:$G$85,5,FALSE)</f>
        <v>1467.47</v>
      </c>
      <c r="AP7" s="167" t="str">
        <f t="shared" si="23"/>
        <v/>
      </c>
      <c r="AQ7" s="167" t="str">
        <f t="shared" si="23"/>
        <v/>
      </c>
      <c r="AR7" s="168" t="str">
        <f t="shared" si="23"/>
        <v/>
      </c>
      <c r="AS7" s="6"/>
      <c r="AT7" s="166">
        <f>Coûts!$I$5-AE7*Coûts!$I$3</f>
        <v>4423.2000000000007</v>
      </c>
      <c r="AU7" s="167">
        <f>Coûts!$I$5-AF7*Coûts!$I$3</f>
        <v>4423.2000000000007</v>
      </c>
      <c r="AV7" s="168">
        <f>Coûts!$I$5-AG7*Coûts!$I$3</f>
        <v>4423.2000000000007</v>
      </c>
      <c r="AW7" s="6"/>
      <c r="AX7" s="166">
        <f>Coûts!$I$5-AE7*Coûts!$I$4</f>
        <v>4423.2000000000007</v>
      </c>
      <c r="AY7" s="167">
        <f>Coûts!$I$5-AF7*Coûts!$I$4</f>
        <v>4423.2000000000007</v>
      </c>
      <c r="AZ7" s="168">
        <f>Coûts!$I$5-AG7*Coûts!$I$4</f>
        <v>4423.2000000000007</v>
      </c>
      <c r="BA7" s="6"/>
      <c r="BB7" s="37" t="s">
        <v>189</v>
      </c>
      <c r="BC7" s="38">
        <v>1</v>
      </c>
      <c r="BD7" s="216">
        <v>1</v>
      </c>
      <c r="BE7" s="216">
        <v>2</v>
      </c>
      <c r="BF7" s="216">
        <v>2</v>
      </c>
      <c r="BG7" s="216" t="s">
        <v>87</v>
      </c>
      <c r="BH7" s="216">
        <v>2</v>
      </c>
      <c r="BI7" s="217">
        <v>2</v>
      </c>
      <c r="BK7" s="37" t="s">
        <v>189</v>
      </c>
      <c r="BL7" s="38">
        <v>1</v>
      </c>
      <c r="BM7" s="216">
        <v>1</v>
      </c>
      <c r="BN7" s="216">
        <v>2</v>
      </c>
      <c r="BO7" s="216">
        <v>2</v>
      </c>
      <c r="BP7" s="216" t="s">
        <v>87</v>
      </c>
      <c r="BQ7" s="216">
        <v>2</v>
      </c>
      <c r="BR7" s="217">
        <v>2</v>
      </c>
      <c r="BT7" s="37" t="s">
        <v>191</v>
      </c>
      <c r="BU7" s="38">
        <v>1</v>
      </c>
      <c r="BV7" s="216">
        <v>1</v>
      </c>
      <c r="BW7" s="216">
        <v>13</v>
      </c>
      <c r="BX7" s="216">
        <v>13</v>
      </c>
      <c r="BY7" s="216" t="s">
        <v>87</v>
      </c>
      <c r="BZ7" s="216">
        <v>13</v>
      </c>
      <c r="CA7" s="217">
        <v>13</v>
      </c>
      <c r="CC7" s="37" t="s">
        <v>190</v>
      </c>
      <c r="CD7" s="38">
        <v>1</v>
      </c>
      <c r="CE7" s="216">
        <v>1</v>
      </c>
      <c r="CF7" s="216">
        <v>7</v>
      </c>
      <c r="CG7" s="216">
        <v>7</v>
      </c>
      <c r="CH7" s="216" t="s">
        <v>87</v>
      </c>
      <c r="CI7" s="216">
        <v>7</v>
      </c>
      <c r="CJ7" s="217">
        <v>7</v>
      </c>
      <c r="CL7" s="37" t="s">
        <v>189</v>
      </c>
      <c r="CM7" s="38">
        <v>1</v>
      </c>
      <c r="CN7" s="216">
        <v>1</v>
      </c>
      <c r="CO7" s="216">
        <v>2</v>
      </c>
      <c r="CP7" s="216">
        <v>2</v>
      </c>
      <c r="CQ7" s="216" t="s">
        <v>87</v>
      </c>
      <c r="CR7" s="216">
        <v>2</v>
      </c>
      <c r="CS7" s="217">
        <v>2</v>
      </c>
      <c r="CU7" s="37" t="s">
        <v>191</v>
      </c>
      <c r="CV7" s="38">
        <v>1</v>
      </c>
      <c r="CW7" s="216">
        <v>1</v>
      </c>
      <c r="CX7" s="216">
        <v>13</v>
      </c>
      <c r="CY7" s="216">
        <v>13</v>
      </c>
      <c r="CZ7" s="216" t="s">
        <v>87</v>
      </c>
      <c r="DA7" s="216">
        <v>13</v>
      </c>
      <c r="DB7" s="217">
        <v>13</v>
      </c>
      <c r="DD7" s="37" t="s">
        <v>190</v>
      </c>
      <c r="DE7" s="38">
        <v>1</v>
      </c>
      <c r="DF7" s="216">
        <v>1</v>
      </c>
      <c r="DG7" s="216">
        <v>7</v>
      </c>
      <c r="DH7" s="216">
        <v>7</v>
      </c>
      <c r="DI7" s="216" t="s">
        <v>87</v>
      </c>
      <c r="DJ7" s="216">
        <v>7</v>
      </c>
      <c r="DK7" s="217">
        <v>7</v>
      </c>
      <c r="DM7" s="37" t="s">
        <v>189</v>
      </c>
      <c r="DN7" s="38">
        <v>1</v>
      </c>
      <c r="DO7" s="216">
        <v>1</v>
      </c>
      <c r="DP7" s="216">
        <v>2</v>
      </c>
      <c r="DQ7" s="216">
        <v>2</v>
      </c>
      <c r="DR7" s="216" t="s">
        <v>87</v>
      </c>
      <c r="DS7" s="216">
        <v>2</v>
      </c>
      <c r="DT7" s="217">
        <v>2</v>
      </c>
    </row>
    <row r="8" spans="1:125" x14ac:dyDescent="0.2">
      <c r="A8" s="50" t="s">
        <v>200</v>
      </c>
      <c r="B8" s="146" t="s">
        <v>190</v>
      </c>
      <c r="C8" s="209">
        <v>0</v>
      </c>
      <c r="D8" s="38">
        <f t="shared" si="24"/>
        <v>0</v>
      </c>
      <c r="E8" s="38">
        <f t="shared" si="25"/>
        <v>0</v>
      </c>
      <c r="F8" s="215">
        <v>1</v>
      </c>
      <c r="G8" s="216">
        <v>7</v>
      </c>
      <c r="H8" s="217" t="s">
        <v>87</v>
      </c>
      <c r="I8" s="218">
        <f t="shared" si="0"/>
        <v>1</v>
      </c>
      <c r="J8" s="218">
        <f t="shared" si="1"/>
        <v>7</v>
      </c>
      <c r="K8" s="219" t="str">
        <f t="shared" si="2"/>
        <v>.</v>
      </c>
      <c r="L8" s="218">
        <f t="shared" si="3"/>
        <v>1</v>
      </c>
      <c r="M8" s="218">
        <f t="shared" si="4"/>
        <v>7</v>
      </c>
      <c r="N8" s="219" t="str">
        <f t="shared" si="5"/>
        <v>.</v>
      </c>
      <c r="O8" s="218">
        <f t="shared" si="6"/>
        <v>1</v>
      </c>
      <c r="P8" s="218">
        <f t="shared" si="7"/>
        <v>7</v>
      </c>
      <c r="Q8" s="219" t="str">
        <f t="shared" si="8"/>
        <v>.</v>
      </c>
      <c r="R8" s="218">
        <f t="shared" si="9"/>
        <v>1</v>
      </c>
      <c r="S8" s="218">
        <f t="shared" si="10"/>
        <v>7</v>
      </c>
      <c r="T8" s="219" t="str">
        <f t="shared" si="11"/>
        <v>.</v>
      </c>
      <c r="U8" s="218">
        <f t="shared" si="12"/>
        <v>1</v>
      </c>
      <c r="V8" s="218">
        <f t="shared" si="13"/>
        <v>7</v>
      </c>
      <c r="W8" s="219" t="str">
        <f t="shared" si="14"/>
        <v>.</v>
      </c>
      <c r="X8" s="218">
        <f t="shared" si="15"/>
        <v>1</v>
      </c>
      <c r="Y8" s="218">
        <f t="shared" si="16"/>
        <v>7</v>
      </c>
      <c r="Z8" s="219" t="str">
        <f t="shared" si="17"/>
        <v>.</v>
      </c>
      <c r="AA8" s="218">
        <f t="shared" si="18"/>
        <v>1</v>
      </c>
      <c r="AB8" s="218">
        <f t="shared" si="19"/>
        <v>7</v>
      </c>
      <c r="AC8" s="219" t="str">
        <f t="shared" si="20"/>
        <v>.</v>
      </c>
      <c r="AD8" s="6"/>
      <c r="AE8" s="251">
        <v>0</v>
      </c>
      <c r="AF8" s="252"/>
      <c r="AG8" s="253"/>
      <c r="AH8" s="176">
        <f t="shared" si="21"/>
        <v>1</v>
      </c>
      <c r="AI8" s="177">
        <f t="shared" si="21"/>
        <v>7</v>
      </c>
      <c r="AJ8" s="64">
        <f t="shared" si="22"/>
        <v>7</v>
      </c>
      <c r="AK8" s="64">
        <f t="shared" si="22"/>
        <v>7</v>
      </c>
      <c r="AL8" s="156">
        <f t="shared" si="22"/>
        <v>7</v>
      </c>
      <c r="AO8" s="166">
        <f>VLOOKUP(B8,Coûts!$C$10:$G$85,5,FALSE)</f>
        <v>3794.17</v>
      </c>
      <c r="AP8" s="167" t="str">
        <f t="shared" si="23"/>
        <v/>
      </c>
      <c r="AQ8" s="167" t="str">
        <f t="shared" si="23"/>
        <v/>
      </c>
      <c r="AR8" s="168" t="str">
        <f t="shared" si="23"/>
        <v/>
      </c>
      <c r="AS8" s="6"/>
      <c r="AT8" s="166">
        <f>Coûts!$I$5-AE8*Coûts!$I$3</f>
        <v>4423.2000000000007</v>
      </c>
      <c r="AU8" s="167">
        <f>Coûts!$I$5-AF8*Coûts!$I$3</f>
        <v>4423.2000000000007</v>
      </c>
      <c r="AV8" s="168">
        <f>Coûts!$I$5-AG8*Coûts!$I$3</f>
        <v>4423.2000000000007</v>
      </c>
      <c r="AW8" s="6"/>
      <c r="AX8" s="166">
        <f>Coûts!$I$5-AE8*Coûts!$I$4</f>
        <v>4423.2000000000007</v>
      </c>
      <c r="AY8" s="167">
        <f>Coûts!$I$5-AF8*Coûts!$I$4</f>
        <v>4423.2000000000007</v>
      </c>
      <c r="AZ8" s="168">
        <f>Coûts!$I$5-AG8*Coûts!$I$4</f>
        <v>4423.2000000000007</v>
      </c>
      <c r="BA8" s="6"/>
      <c r="BB8" s="37" t="s">
        <v>190</v>
      </c>
      <c r="BC8" s="38">
        <v>1</v>
      </c>
      <c r="BD8" s="216">
        <v>1</v>
      </c>
      <c r="BE8" s="216">
        <v>7</v>
      </c>
      <c r="BF8" s="216">
        <v>7</v>
      </c>
      <c r="BG8" s="216" t="s">
        <v>87</v>
      </c>
      <c r="BH8" s="216">
        <v>7</v>
      </c>
      <c r="BI8" s="217">
        <v>7</v>
      </c>
      <c r="BK8" s="37" t="s">
        <v>190</v>
      </c>
      <c r="BL8" s="38">
        <v>1</v>
      </c>
      <c r="BM8" s="216">
        <v>1</v>
      </c>
      <c r="BN8" s="216">
        <v>7</v>
      </c>
      <c r="BO8" s="216">
        <v>7</v>
      </c>
      <c r="BP8" s="216" t="s">
        <v>87</v>
      </c>
      <c r="BQ8" s="216">
        <v>7</v>
      </c>
      <c r="BR8" s="217">
        <v>7</v>
      </c>
      <c r="BT8" s="37" t="s">
        <v>192</v>
      </c>
      <c r="BU8" s="38">
        <v>1</v>
      </c>
      <c r="BV8" s="216">
        <v>1</v>
      </c>
      <c r="BW8" s="216">
        <v>9</v>
      </c>
      <c r="BX8" s="216">
        <v>9</v>
      </c>
      <c r="BY8" s="216" t="s">
        <v>87</v>
      </c>
      <c r="BZ8" s="216">
        <v>9</v>
      </c>
      <c r="CA8" s="217">
        <v>9</v>
      </c>
      <c r="CC8" s="37" t="s">
        <v>191</v>
      </c>
      <c r="CD8" s="38">
        <v>1</v>
      </c>
      <c r="CE8" s="216">
        <v>1</v>
      </c>
      <c r="CF8" s="216">
        <v>13</v>
      </c>
      <c r="CG8" s="216">
        <v>13</v>
      </c>
      <c r="CH8" s="216" t="s">
        <v>87</v>
      </c>
      <c r="CI8" s="216">
        <v>13</v>
      </c>
      <c r="CJ8" s="217">
        <v>13</v>
      </c>
      <c r="CL8" s="37" t="s">
        <v>190</v>
      </c>
      <c r="CM8" s="38">
        <v>1</v>
      </c>
      <c r="CN8" s="216">
        <v>1</v>
      </c>
      <c r="CO8" s="216">
        <v>7</v>
      </c>
      <c r="CP8" s="216">
        <v>7</v>
      </c>
      <c r="CQ8" s="216" t="s">
        <v>87</v>
      </c>
      <c r="CR8" s="216">
        <v>7</v>
      </c>
      <c r="CS8" s="217">
        <v>7</v>
      </c>
      <c r="CU8" s="37" t="s">
        <v>192</v>
      </c>
      <c r="CV8" s="38">
        <v>1</v>
      </c>
      <c r="CW8" s="216">
        <v>1</v>
      </c>
      <c r="CX8" s="216">
        <v>9</v>
      </c>
      <c r="CY8" s="216">
        <v>9</v>
      </c>
      <c r="CZ8" s="216" t="s">
        <v>87</v>
      </c>
      <c r="DA8" s="216">
        <v>9</v>
      </c>
      <c r="DB8" s="217">
        <v>9</v>
      </c>
      <c r="DD8" s="37" t="s">
        <v>191</v>
      </c>
      <c r="DE8" s="38">
        <v>1</v>
      </c>
      <c r="DF8" s="216">
        <v>1</v>
      </c>
      <c r="DG8" s="216">
        <v>13</v>
      </c>
      <c r="DH8" s="216">
        <v>13</v>
      </c>
      <c r="DI8" s="216" t="s">
        <v>87</v>
      </c>
      <c r="DJ8" s="216">
        <v>13</v>
      </c>
      <c r="DK8" s="217">
        <v>13</v>
      </c>
      <c r="DM8" s="37" t="s">
        <v>190</v>
      </c>
      <c r="DN8" s="38">
        <v>1</v>
      </c>
      <c r="DO8" s="216">
        <v>1</v>
      </c>
      <c r="DP8" s="216">
        <v>7</v>
      </c>
      <c r="DQ8" s="216">
        <v>7</v>
      </c>
      <c r="DR8" s="216" t="s">
        <v>87</v>
      </c>
      <c r="DS8" s="216">
        <v>7</v>
      </c>
      <c r="DT8" s="217">
        <v>7</v>
      </c>
    </row>
    <row r="9" spans="1:125" x14ac:dyDescent="0.2">
      <c r="B9" s="146" t="s">
        <v>191</v>
      </c>
      <c r="C9" s="209">
        <v>1</v>
      </c>
      <c r="D9" s="38">
        <f t="shared" si="24"/>
        <v>0</v>
      </c>
      <c r="E9" s="38">
        <f t="shared" si="25"/>
        <v>0</v>
      </c>
      <c r="F9" s="215">
        <v>1</v>
      </c>
      <c r="G9" s="216">
        <v>13</v>
      </c>
      <c r="H9" s="217" t="s">
        <v>87</v>
      </c>
      <c r="I9" s="218">
        <f t="shared" si="0"/>
        <v>1</v>
      </c>
      <c r="J9" s="218">
        <f t="shared" si="1"/>
        <v>13</v>
      </c>
      <c r="K9" s="219" t="str">
        <f t="shared" si="2"/>
        <v>.</v>
      </c>
      <c r="L9" s="218">
        <f t="shared" si="3"/>
        <v>1</v>
      </c>
      <c r="M9" s="218">
        <f t="shared" si="4"/>
        <v>13</v>
      </c>
      <c r="N9" s="219" t="str">
        <f t="shared" si="5"/>
        <v>.</v>
      </c>
      <c r="O9" s="218">
        <f t="shared" si="6"/>
        <v>1</v>
      </c>
      <c r="P9" s="218">
        <f t="shared" si="7"/>
        <v>13</v>
      </c>
      <c r="Q9" s="219" t="str">
        <f t="shared" si="8"/>
        <v>.</v>
      </c>
      <c r="R9" s="218">
        <f t="shared" si="9"/>
        <v>1</v>
      </c>
      <c r="S9" s="218">
        <f t="shared" si="10"/>
        <v>13</v>
      </c>
      <c r="T9" s="219" t="str">
        <f t="shared" si="11"/>
        <v>.</v>
      </c>
      <c r="U9" s="218">
        <f t="shared" si="12"/>
        <v>1</v>
      </c>
      <c r="V9" s="218">
        <f t="shared" si="13"/>
        <v>13</v>
      </c>
      <c r="W9" s="219" t="str">
        <f t="shared" si="14"/>
        <v>.</v>
      </c>
      <c r="X9" s="218">
        <f t="shared" si="15"/>
        <v>1</v>
      </c>
      <c r="Y9" s="218">
        <f t="shared" si="16"/>
        <v>13</v>
      </c>
      <c r="Z9" s="219" t="str">
        <f t="shared" si="17"/>
        <v>.</v>
      </c>
      <c r="AA9" s="218">
        <f t="shared" si="18"/>
        <v>1</v>
      </c>
      <c r="AB9" s="218">
        <f t="shared" si="19"/>
        <v>13</v>
      </c>
      <c r="AC9" s="219" t="str">
        <f t="shared" si="20"/>
        <v>.</v>
      </c>
      <c r="AD9" s="6"/>
      <c r="AE9" s="251">
        <v>6.1</v>
      </c>
      <c r="AF9" s="252">
        <v>9.1999999999999993</v>
      </c>
      <c r="AG9" s="253">
        <v>9.3000000000000007</v>
      </c>
      <c r="AH9" s="176">
        <f t="shared" si="21"/>
        <v>1</v>
      </c>
      <c r="AI9" s="177">
        <f t="shared" si="21"/>
        <v>13</v>
      </c>
      <c r="AJ9" s="64">
        <f t="shared" si="22"/>
        <v>6.9</v>
      </c>
      <c r="AK9" s="64">
        <f t="shared" si="22"/>
        <v>3.8000000000000007</v>
      </c>
      <c r="AL9" s="156">
        <f t="shared" si="22"/>
        <v>3.6999999999999993</v>
      </c>
      <c r="AO9" s="166">
        <f>VLOOKUP(B9,Coûts!$C$10:$G$85,5,FALSE)</f>
        <v>2938.67</v>
      </c>
      <c r="AP9" s="167">
        <f t="shared" si="23"/>
        <v>481.74918032786888</v>
      </c>
      <c r="AQ9" s="167">
        <f t="shared" si="23"/>
        <v>319.42065217391308</v>
      </c>
      <c r="AR9" s="168">
        <f t="shared" si="23"/>
        <v>315.9860215053763</v>
      </c>
      <c r="AS9" s="6"/>
      <c r="AT9" s="166">
        <f>Coûts!$I$5-AE9*Coûts!$I$3</f>
        <v>4378.7920000000004</v>
      </c>
      <c r="AU9" s="167">
        <f>Coûts!$I$5-AF9*Coûts!$I$3</f>
        <v>4356.2240000000011</v>
      </c>
      <c r="AV9" s="168">
        <f>Coûts!$I$5-AG9*Coûts!$I$3</f>
        <v>4355.496000000001</v>
      </c>
      <c r="AW9" s="6"/>
      <c r="AX9" s="166">
        <f>Coûts!$I$5-AE9*Coûts!$I$4</f>
        <v>4148.7000000000007</v>
      </c>
      <c r="AY9" s="167">
        <f>Coûts!$I$5-AF9*Coûts!$I$4</f>
        <v>4009.2000000000007</v>
      </c>
      <c r="AZ9" s="168">
        <f>Coûts!$I$5-AG9*Coûts!$I$4</f>
        <v>4004.7000000000007</v>
      </c>
      <c r="BA9" s="6"/>
      <c r="BB9" s="37" t="s">
        <v>191</v>
      </c>
      <c r="BC9" s="38">
        <v>1</v>
      </c>
      <c r="BD9" s="216">
        <v>1</v>
      </c>
      <c r="BE9" s="216">
        <v>13</v>
      </c>
      <c r="BF9" s="216">
        <v>13</v>
      </c>
      <c r="BG9" s="216" t="s">
        <v>87</v>
      </c>
      <c r="BH9" s="216">
        <v>13</v>
      </c>
      <c r="BI9" s="217">
        <v>13</v>
      </c>
      <c r="BK9" s="37" t="s">
        <v>191</v>
      </c>
      <c r="BL9" s="38">
        <v>1</v>
      </c>
      <c r="BM9" s="216">
        <v>1</v>
      </c>
      <c r="BN9" s="216">
        <v>13</v>
      </c>
      <c r="BO9" s="216">
        <v>13</v>
      </c>
      <c r="BP9" s="216" t="s">
        <v>87</v>
      </c>
      <c r="BQ9" s="216">
        <v>13</v>
      </c>
      <c r="BR9" s="217">
        <v>13</v>
      </c>
      <c r="BT9" s="142" t="s">
        <v>195</v>
      </c>
      <c r="BU9" s="143">
        <v>1</v>
      </c>
      <c r="BV9" s="221">
        <v>1</v>
      </c>
      <c r="BW9" s="221">
        <v>2</v>
      </c>
      <c r="BX9" s="221">
        <v>2</v>
      </c>
      <c r="BY9" s="221" t="s">
        <v>87</v>
      </c>
      <c r="BZ9" s="221">
        <v>2</v>
      </c>
      <c r="CA9" s="222">
        <v>2</v>
      </c>
      <c r="CC9" s="37" t="s">
        <v>192</v>
      </c>
      <c r="CD9" s="38">
        <v>1</v>
      </c>
      <c r="CE9" s="216">
        <v>1</v>
      </c>
      <c r="CF9" s="216">
        <v>9</v>
      </c>
      <c r="CG9" s="216">
        <v>9</v>
      </c>
      <c r="CH9" s="216" t="s">
        <v>87</v>
      </c>
      <c r="CI9" s="216">
        <v>9</v>
      </c>
      <c r="CJ9" s="217">
        <v>9</v>
      </c>
      <c r="CL9" s="37" t="s">
        <v>191</v>
      </c>
      <c r="CM9" s="38">
        <v>1</v>
      </c>
      <c r="CN9" s="216">
        <v>1</v>
      </c>
      <c r="CO9" s="216">
        <v>13</v>
      </c>
      <c r="CP9" s="216">
        <v>13</v>
      </c>
      <c r="CQ9" s="216" t="s">
        <v>87</v>
      </c>
      <c r="CR9" s="216">
        <v>13</v>
      </c>
      <c r="CS9" s="217">
        <v>13</v>
      </c>
      <c r="CU9" s="142" t="s">
        <v>195</v>
      </c>
      <c r="CV9" s="143">
        <v>1</v>
      </c>
      <c r="CW9" s="221">
        <v>1</v>
      </c>
      <c r="CX9" s="221">
        <v>2</v>
      </c>
      <c r="CY9" s="221">
        <v>2</v>
      </c>
      <c r="CZ9" s="221" t="s">
        <v>87</v>
      </c>
      <c r="DA9" s="221">
        <v>2</v>
      </c>
      <c r="DB9" s="222">
        <v>2</v>
      </c>
      <c r="DD9" s="37" t="s">
        <v>192</v>
      </c>
      <c r="DE9" s="38">
        <v>1</v>
      </c>
      <c r="DF9" s="216">
        <v>1</v>
      </c>
      <c r="DG9" s="216">
        <v>9</v>
      </c>
      <c r="DH9" s="216">
        <v>9</v>
      </c>
      <c r="DI9" s="216" t="s">
        <v>87</v>
      </c>
      <c r="DJ9" s="216">
        <v>9</v>
      </c>
      <c r="DK9" s="217">
        <v>9</v>
      </c>
      <c r="DM9" s="37" t="s">
        <v>191</v>
      </c>
      <c r="DN9" s="38">
        <v>1</v>
      </c>
      <c r="DO9" s="216">
        <v>1</v>
      </c>
      <c r="DP9" s="216">
        <v>13</v>
      </c>
      <c r="DQ9" s="216">
        <v>13</v>
      </c>
      <c r="DR9" s="216" t="s">
        <v>87</v>
      </c>
      <c r="DS9" s="216">
        <v>13</v>
      </c>
      <c r="DT9" s="217">
        <v>13</v>
      </c>
    </row>
    <row r="10" spans="1:125" x14ac:dyDescent="0.2">
      <c r="B10" s="146" t="s">
        <v>192</v>
      </c>
      <c r="C10" s="209">
        <v>1</v>
      </c>
      <c r="D10" s="38">
        <f t="shared" si="24"/>
        <v>1</v>
      </c>
      <c r="E10" s="38">
        <f t="shared" si="25"/>
        <v>0</v>
      </c>
      <c r="F10" s="215">
        <v>1</v>
      </c>
      <c r="G10" s="216">
        <v>9</v>
      </c>
      <c r="H10" s="217" t="s">
        <v>87</v>
      </c>
      <c r="I10" s="218">
        <f t="shared" si="0"/>
        <v>1</v>
      </c>
      <c r="J10" s="218">
        <f t="shared" si="1"/>
        <v>9</v>
      </c>
      <c r="K10" s="219" t="str">
        <f t="shared" si="2"/>
        <v>.</v>
      </c>
      <c r="L10" s="218">
        <f t="shared" si="3"/>
        <v>1</v>
      </c>
      <c r="M10" s="218">
        <f t="shared" si="4"/>
        <v>9</v>
      </c>
      <c r="N10" s="219" t="str">
        <f t="shared" si="5"/>
        <v>.</v>
      </c>
      <c r="O10" s="218">
        <f t="shared" si="6"/>
        <v>1</v>
      </c>
      <c r="P10" s="218">
        <f t="shared" si="7"/>
        <v>9</v>
      </c>
      <c r="Q10" s="219" t="str">
        <f t="shared" si="8"/>
        <v>.</v>
      </c>
      <c r="R10" s="218">
        <f t="shared" si="9"/>
        <v>1</v>
      </c>
      <c r="S10" s="218">
        <f t="shared" si="10"/>
        <v>9</v>
      </c>
      <c r="T10" s="219" t="str">
        <f t="shared" si="11"/>
        <v>.</v>
      </c>
      <c r="U10" s="218">
        <f t="shared" si="12"/>
        <v>1</v>
      </c>
      <c r="V10" s="218">
        <f t="shared" si="13"/>
        <v>9</v>
      </c>
      <c r="W10" s="219" t="str">
        <f t="shared" si="14"/>
        <v>.</v>
      </c>
      <c r="X10" s="218">
        <f t="shared" si="15"/>
        <v>1</v>
      </c>
      <c r="Y10" s="218">
        <f t="shared" si="16"/>
        <v>9</v>
      </c>
      <c r="Z10" s="219" t="str">
        <f t="shared" si="17"/>
        <v>.</v>
      </c>
      <c r="AA10" s="218">
        <f t="shared" si="18"/>
        <v>1</v>
      </c>
      <c r="AB10" s="218">
        <f t="shared" si="19"/>
        <v>9</v>
      </c>
      <c r="AC10" s="219" t="str">
        <f t="shared" si="20"/>
        <v>.</v>
      </c>
      <c r="AD10" s="6"/>
      <c r="AE10" s="251">
        <v>10.6</v>
      </c>
      <c r="AF10" s="252">
        <v>16.899999999999999</v>
      </c>
      <c r="AG10" s="253">
        <v>16.399999999999999</v>
      </c>
      <c r="AH10" s="176">
        <f t="shared" si="21"/>
        <v>1</v>
      </c>
      <c r="AI10" s="177">
        <f t="shared" si="21"/>
        <v>9</v>
      </c>
      <c r="AJ10" s="64">
        <f t="shared" si="22"/>
        <v>-1.5999999999999996</v>
      </c>
      <c r="AK10" s="64">
        <f t="shared" si="22"/>
        <v>-7.8999999999999986</v>
      </c>
      <c r="AL10" s="156">
        <f t="shared" si="22"/>
        <v>-7.3999999999999986</v>
      </c>
      <c r="AO10" s="166">
        <f>VLOOKUP(B10,Coûts!$C$10:$G$85,5,FALSE)</f>
        <v>4087.68</v>
      </c>
      <c r="AP10" s="167">
        <f t="shared" si="23"/>
        <v>385.63018867924529</v>
      </c>
      <c r="AQ10" s="167">
        <f t="shared" si="23"/>
        <v>241.87455621301777</v>
      </c>
      <c r="AR10" s="168">
        <f t="shared" si="23"/>
        <v>249.24878048780488</v>
      </c>
      <c r="AS10" s="6"/>
      <c r="AT10" s="166">
        <f>Coûts!$I$5-AE10*Coûts!$I$3</f>
        <v>4346.0320000000011</v>
      </c>
      <c r="AU10" s="167">
        <f>Coûts!$I$5-AF10*Coûts!$I$3</f>
        <v>4300.1680000000006</v>
      </c>
      <c r="AV10" s="168">
        <f>Coûts!$I$5-AG10*Coûts!$I$3</f>
        <v>4303.8080000000009</v>
      </c>
      <c r="AW10" s="6"/>
      <c r="AX10" s="166">
        <f>Coûts!$I$5-AE10*Coûts!$I$4</f>
        <v>3946.2000000000007</v>
      </c>
      <c r="AY10" s="167">
        <f>Coûts!$I$5-AF10*Coûts!$I$4</f>
        <v>3662.7000000000007</v>
      </c>
      <c r="AZ10" s="168">
        <f>Coûts!$I$5-AG10*Coûts!$I$4</f>
        <v>3685.2000000000007</v>
      </c>
      <c r="BA10" s="6"/>
      <c r="BB10" s="37" t="s">
        <v>192</v>
      </c>
      <c r="BC10" s="38">
        <v>1</v>
      </c>
      <c r="BD10" s="216">
        <v>1</v>
      </c>
      <c r="BE10" s="216">
        <v>9</v>
      </c>
      <c r="BF10" s="216">
        <v>9</v>
      </c>
      <c r="BG10" s="216" t="s">
        <v>87</v>
      </c>
      <c r="BH10" s="216">
        <v>9</v>
      </c>
      <c r="BI10" s="217">
        <v>9</v>
      </c>
      <c r="BK10" s="37" t="s">
        <v>192</v>
      </c>
      <c r="BL10" s="38">
        <v>1</v>
      </c>
      <c r="BM10" s="216">
        <v>1</v>
      </c>
      <c r="BN10" s="216">
        <v>9</v>
      </c>
      <c r="BO10" s="216">
        <v>9</v>
      </c>
      <c r="BP10" s="216" t="s">
        <v>87</v>
      </c>
      <c r="BQ10" s="216">
        <v>9</v>
      </c>
      <c r="BR10" s="217">
        <v>9</v>
      </c>
      <c r="BT10" s="38"/>
      <c r="BU10" s="38"/>
      <c r="BV10" s="216"/>
      <c r="BW10" s="216"/>
      <c r="BX10" s="216"/>
      <c r="BY10" s="216"/>
      <c r="BZ10" s="216"/>
      <c r="CA10" s="216"/>
      <c r="CC10" s="142" t="s">
        <v>195</v>
      </c>
      <c r="CD10" s="143">
        <v>1</v>
      </c>
      <c r="CE10" s="221">
        <v>1</v>
      </c>
      <c r="CF10" s="221">
        <v>2</v>
      </c>
      <c r="CG10" s="221">
        <v>2</v>
      </c>
      <c r="CH10" s="221" t="s">
        <v>87</v>
      </c>
      <c r="CI10" s="221">
        <v>2</v>
      </c>
      <c r="CJ10" s="222">
        <v>2</v>
      </c>
      <c r="CL10" s="37" t="s">
        <v>192</v>
      </c>
      <c r="CM10" s="38">
        <v>1</v>
      </c>
      <c r="CN10" s="216">
        <v>1</v>
      </c>
      <c r="CO10" s="216">
        <v>9</v>
      </c>
      <c r="CP10" s="216">
        <v>9</v>
      </c>
      <c r="CQ10" s="216" t="s">
        <v>87</v>
      </c>
      <c r="CR10" s="216">
        <v>9</v>
      </c>
      <c r="CS10" s="217">
        <v>9</v>
      </c>
      <c r="CU10" s="38"/>
      <c r="CV10" s="38"/>
      <c r="CW10" s="216"/>
      <c r="CX10" s="216"/>
      <c r="CY10" s="216"/>
      <c r="CZ10" s="216"/>
      <c r="DA10" s="216"/>
      <c r="DB10" s="216"/>
      <c r="DD10" s="142" t="s">
        <v>195</v>
      </c>
      <c r="DE10" s="143">
        <v>1</v>
      </c>
      <c r="DF10" s="221">
        <v>1</v>
      </c>
      <c r="DG10" s="221">
        <v>2</v>
      </c>
      <c r="DH10" s="221">
        <v>2</v>
      </c>
      <c r="DI10" s="221" t="s">
        <v>87</v>
      </c>
      <c r="DJ10" s="221">
        <v>2</v>
      </c>
      <c r="DK10" s="222">
        <v>2</v>
      </c>
      <c r="DM10" s="37" t="s">
        <v>192</v>
      </c>
      <c r="DN10" s="38">
        <v>1</v>
      </c>
      <c r="DO10" s="216">
        <v>1</v>
      </c>
      <c r="DP10" s="216">
        <v>9</v>
      </c>
      <c r="DQ10" s="216">
        <v>9</v>
      </c>
      <c r="DR10" s="216" t="s">
        <v>87</v>
      </c>
      <c r="DS10" s="216">
        <v>9</v>
      </c>
      <c r="DT10" s="217">
        <v>9</v>
      </c>
    </row>
    <row r="11" spans="1:125" x14ac:dyDescent="0.2">
      <c r="B11" s="146" t="s">
        <v>193</v>
      </c>
      <c r="C11" s="209">
        <v>1</v>
      </c>
      <c r="D11" s="38">
        <f t="shared" si="24"/>
        <v>0</v>
      </c>
      <c r="E11" s="38">
        <f t="shared" si="25"/>
        <v>1</v>
      </c>
      <c r="F11" s="215">
        <v>1</v>
      </c>
      <c r="G11" s="216">
        <v>21</v>
      </c>
      <c r="H11" s="217" t="s">
        <v>87</v>
      </c>
      <c r="I11" s="218" t="str">
        <f t="shared" si="0"/>
        <v/>
      </c>
      <c r="J11" s="218" t="str">
        <f t="shared" si="1"/>
        <v/>
      </c>
      <c r="K11" s="219" t="str">
        <f t="shared" si="2"/>
        <v/>
      </c>
      <c r="L11" s="218" t="str">
        <f t="shared" si="3"/>
        <v/>
      </c>
      <c r="M11" s="218" t="str">
        <f t="shared" si="4"/>
        <v/>
      </c>
      <c r="N11" s="219" t="str">
        <f t="shared" si="5"/>
        <v/>
      </c>
      <c r="O11" s="218">
        <f t="shared" si="6"/>
        <v>1</v>
      </c>
      <c r="P11" s="218">
        <f t="shared" si="7"/>
        <v>21</v>
      </c>
      <c r="Q11" s="219" t="str">
        <f t="shared" si="8"/>
        <v>.</v>
      </c>
      <c r="R11" s="218">
        <f t="shared" si="9"/>
        <v>1</v>
      </c>
      <c r="S11" s="218">
        <f t="shared" si="10"/>
        <v>21</v>
      </c>
      <c r="T11" s="219" t="str">
        <f t="shared" si="11"/>
        <v>.</v>
      </c>
      <c r="U11" s="218" t="str">
        <f t="shared" si="12"/>
        <v/>
      </c>
      <c r="V11" s="218" t="str">
        <f t="shared" si="13"/>
        <v/>
      </c>
      <c r="W11" s="219" t="str">
        <f t="shared" si="14"/>
        <v/>
      </c>
      <c r="X11" s="218" t="str">
        <f t="shared" si="15"/>
        <v/>
      </c>
      <c r="Y11" s="218" t="str">
        <f t="shared" si="16"/>
        <v/>
      </c>
      <c r="Z11" s="219" t="str">
        <f t="shared" si="17"/>
        <v/>
      </c>
      <c r="AA11" s="218">
        <f t="shared" si="18"/>
        <v>1</v>
      </c>
      <c r="AB11" s="218">
        <f t="shared" si="19"/>
        <v>21</v>
      </c>
      <c r="AC11" s="219" t="str">
        <f t="shared" si="20"/>
        <v>.</v>
      </c>
      <c r="AD11" s="6"/>
      <c r="AE11" s="251">
        <v>15.6</v>
      </c>
      <c r="AF11" s="252">
        <v>22.5</v>
      </c>
      <c r="AG11" s="253">
        <v>20.8</v>
      </c>
      <c r="AH11" s="176" t="str">
        <f t="shared" si="21"/>
        <v/>
      </c>
      <c r="AI11" s="177" t="str">
        <f t="shared" si="21"/>
        <v/>
      </c>
      <c r="AJ11" s="64" t="str">
        <f t="shared" si="22"/>
        <v/>
      </c>
      <c r="AK11" s="64" t="str">
        <f t="shared" si="22"/>
        <v/>
      </c>
      <c r="AL11" s="156" t="str">
        <f t="shared" si="22"/>
        <v/>
      </c>
      <c r="AO11" s="166">
        <f>VLOOKUP(B11,Coûts!$C$10:$G$85,5,FALSE)</f>
        <v>5961.16</v>
      </c>
      <c r="AP11" s="167">
        <f t="shared" si="23"/>
        <v>382.12564102564102</v>
      </c>
      <c r="AQ11" s="167">
        <f t="shared" si="23"/>
        <v>264.94044444444444</v>
      </c>
      <c r="AR11" s="168">
        <f t="shared" si="23"/>
        <v>286.59423076923076</v>
      </c>
      <c r="AS11" s="6"/>
      <c r="AT11" s="166">
        <f>Coûts!$I$5-AE11*Coûts!$I$3</f>
        <v>4309.6320000000005</v>
      </c>
      <c r="AU11" s="167">
        <f>Coûts!$I$5-AF11*Coûts!$I$3</f>
        <v>4259.4000000000005</v>
      </c>
      <c r="AV11" s="168">
        <f>Coûts!$I$5-AG11*Coûts!$I$3</f>
        <v>4271.7760000000007</v>
      </c>
      <c r="AW11" s="6"/>
      <c r="AX11" s="166">
        <f>Coûts!$I$5-AE11*Coûts!$I$4</f>
        <v>3721.2000000000007</v>
      </c>
      <c r="AY11" s="167">
        <f>Coûts!$I$5-AF11*Coûts!$I$4</f>
        <v>3410.7000000000007</v>
      </c>
      <c r="AZ11" s="168">
        <f>Coûts!$I$5-AG11*Coûts!$I$4</f>
        <v>3487.2000000000007</v>
      </c>
      <c r="BA11" s="6"/>
      <c r="BB11" s="37" t="s">
        <v>193</v>
      </c>
      <c r="BC11" s="38">
        <v>1</v>
      </c>
      <c r="BD11" s="216">
        <v>1</v>
      </c>
      <c r="BE11" s="216">
        <v>21</v>
      </c>
      <c r="BF11" s="216">
        <v>21</v>
      </c>
      <c r="BG11" s="216" t="s">
        <v>87</v>
      </c>
      <c r="BH11" s="216">
        <v>21</v>
      </c>
      <c r="BI11" s="217">
        <v>21</v>
      </c>
      <c r="BK11" s="37" t="s">
        <v>193</v>
      </c>
      <c r="BL11" s="38">
        <v>1</v>
      </c>
      <c r="BM11" s="216">
        <v>1</v>
      </c>
      <c r="BN11" s="216">
        <v>21</v>
      </c>
      <c r="BO11" s="216">
        <v>21</v>
      </c>
      <c r="BP11" s="216" t="s">
        <v>87</v>
      </c>
      <c r="BQ11" s="216">
        <v>21</v>
      </c>
      <c r="BR11" s="217">
        <v>21</v>
      </c>
      <c r="BT11" s="38"/>
      <c r="BU11" s="38"/>
      <c r="BV11" s="216"/>
      <c r="BW11" s="216"/>
      <c r="BX11" s="216"/>
      <c r="BY11" s="216"/>
      <c r="BZ11" s="216"/>
      <c r="CA11" s="216"/>
      <c r="CC11" s="38"/>
      <c r="CD11" s="38"/>
      <c r="CE11" s="216"/>
      <c r="CF11" s="216"/>
      <c r="CG11" s="216"/>
      <c r="CH11" s="216"/>
      <c r="CI11" s="216"/>
      <c r="CJ11" s="216"/>
      <c r="CL11" s="37" t="s">
        <v>193</v>
      </c>
      <c r="CM11" s="38">
        <v>1</v>
      </c>
      <c r="CN11" s="216">
        <v>1</v>
      </c>
      <c r="CO11" s="216">
        <v>21</v>
      </c>
      <c r="CP11" s="216">
        <v>21</v>
      </c>
      <c r="CQ11" s="216" t="s">
        <v>87</v>
      </c>
      <c r="CR11" s="216">
        <v>21</v>
      </c>
      <c r="CS11" s="217">
        <v>21</v>
      </c>
      <c r="CU11" s="38"/>
      <c r="CV11" s="38"/>
      <c r="CW11" s="216"/>
      <c r="CX11" s="216"/>
      <c r="CY11" s="216"/>
      <c r="CZ11" s="216"/>
      <c r="DA11" s="216"/>
      <c r="DB11" s="216"/>
      <c r="DD11" s="38"/>
      <c r="DE11" s="38"/>
      <c r="DF11" s="216"/>
      <c r="DG11" s="216"/>
      <c r="DH11" s="216"/>
      <c r="DI11" s="216"/>
      <c r="DJ11" s="216"/>
      <c r="DK11" s="216"/>
      <c r="DM11" s="37" t="s">
        <v>193</v>
      </c>
      <c r="DN11" s="38">
        <v>1</v>
      </c>
      <c r="DO11" s="216">
        <v>1</v>
      </c>
      <c r="DP11" s="216">
        <v>21</v>
      </c>
      <c r="DQ11" s="216">
        <v>21</v>
      </c>
      <c r="DR11" s="216" t="s">
        <v>87</v>
      </c>
      <c r="DS11" s="216">
        <v>21</v>
      </c>
      <c r="DT11" s="217">
        <v>21</v>
      </c>
    </row>
    <row r="12" spans="1:125" x14ac:dyDescent="0.2">
      <c r="A12" s="50" t="s">
        <v>201</v>
      </c>
      <c r="B12" s="146" t="s">
        <v>194</v>
      </c>
      <c r="C12" s="209">
        <v>0</v>
      </c>
      <c r="D12" s="38">
        <f t="shared" si="24"/>
        <v>0</v>
      </c>
      <c r="E12" s="38">
        <f t="shared" si="25"/>
        <v>1</v>
      </c>
      <c r="F12" s="215">
        <v>1</v>
      </c>
      <c r="G12" s="216">
        <v>311</v>
      </c>
      <c r="H12" s="217" t="s">
        <v>87</v>
      </c>
      <c r="I12" s="218" t="str">
        <f t="shared" si="0"/>
        <v/>
      </c>
      <c r="J12" s="218" t="str">
        <f t="shared" si="1"/>
        <v/>
      </c>
      <c r="K12" s="219" t="str">
        <f t="shared" si="2"/>
        <v/>
      </c>
      <c r="L12" s="218" t="str">
        <f t="shared" si="3"/>
        <v/>
      </c>
      <c r="M12" s="218" t="str">
        <f t="shared" si="4"/>
        <v/>
      </c>
      <c r="N12" s="219" t="str">
        <f t="shared" si="5"/>
        <v/>
      </c>
      <c r="O12" s="218" t="str">
        <f t="shared" si="6"/>
        <v/>
      </c>
      <c r="P12" s="218" t="str">
        <f t="shared" si="7"/>
        <v/>
      </c>
      <c r="Q12" s="219" t="str">
        <f t="shared" si="8"/>
        <v/>
      </c>
      <c r="R12" s="218">
        <f t="shared" si="9"/>
        <v>1</v>
      </c>
      <c r="S12" s="218">
        <f t="shared" si="10"/>
        <v>311</v>
      </c>
      <c r="T12" s="219" t="str">
        <f t="shared" si="11"/>
        <v>.</v>
      </c>
      <c r="U12" s="218" t="str">
        <f t="shared" si="12"/>
        <v/>
      </c>
      <c r="V12" s="218" t="str">
        <f t="shared" si="13"/>
        <v/>
      </c>
      <c r="W12" s="219" t="str">
        <f t="shared" si="14"/>
        <v/>
      </c>
      <c r="X12" s="218" t="str">
        <f t="shared" si="15"/>
        <v/>
      </c>
      <c r="Y12" s="218" t="str">
        <f t="shared" si="16"/>
        <v/>
      </c>
      <c r="Z12" s="219" t="str">
        <f t="shared" si="17"/>
        <v/>
      </c>
      <c r="AA12" s="218" t="str">
        <f t="shared" si="18"/>
        <v/>
      </c>
      <c r="AB12" s="218" t="str">
        <f t="shared" si="19"/>
        <v/>
      </c>
      <c r="AC12" s="219" t="str">
        <f t="shared" si="20"/>
        <v/>
      </c>
      <c r="AD12" s="6"/>
      <c r="AE12" s="251">
        <v>14.8</v>
      </c>
      <c r="AF12" s="252">
        <v>30.3</v>
      </c>
      <c r="AG12" s="253">
        <v>30.3</v>
      </c>
      <c r="AH12" s="176" t="str">
        <f t="shared" si="21"/>
        <v/>
      </c>
      <c r="AI12" s="177" t="str">
        <f t="shared" si="21"/>
        <v/>
      </c>
      <c r="AJ12" s="64" t="str">
        <f t="shared" si="22"/>
        <v/>
      </c>
      <c r="AK12" s="64" t="str">
        <f t="shared" si="22"/>
        <v/>
      </c>
      <c r="AL12" s="156" t="str">
        <f t="shared" si="22"/>
        <v/>
      </c>
      <c r="AO12" s="166">
        <f>VLOOKUP(B12,Coûts!$C$10:$G$85,5,FALSE)</f>
        <v>4884.3999999999996</v>
      </c>
      <c r="AP12" s="167">
        <f t="shared" si="23"/>
        <v>330.02702702702697</v>
      </c>
      <c r="AQ12" s="167">
        <f t="shared" si="23"/>
        <v>161.20132013201319</v>
      </c>
      <c r="AR12" s="168">
        <f t="shared" si="23"/>
        <v>161.20132013201319</v>
      </c>
      <c r="AS12" s="6"/>
      <c r="AT12" s="166">
        <f>Coûts!$I$5-AE12*Coûts!$I$3</f>
        <v>4315.456000000001</v>
      </c>
      <c r="AU12" s="167">
        <f>Coûts!$I$5-AF12*Coûts!$I$3</f>
        <v>4202.6160000000009</v>
      </c>
      <c r="AV12" s="168">
        <f>Coûts!$I$5-AG12*Coûts!$I$3</f>
        <v>4202.6160000000009</v>
      </c>
      <c r="AW12" s="6"/>
      <c r="AX12" s="166">
        <f>Coûts!$I$5-AE12*Coûts!$I$4</f>
        <v>3757.2000000000007</v>
      </c>
      <c r="AY12" s="167">
        <f>Coûts!$I$5-AF12*Coûts!$I$4</f>
        <v>3059.7000000000007</v>
      </c>
      <c r="AZ12" s="168">
        <f>Coûts!$I$5-AG12*Coûts!$I$4</f>
        <v>3059.7000000000007</v>
      </c>
      <c r="BA12" s="6"/>
      <c r="BB12" s="37" t="s">
        <v>194</v>
      </c>
      <c r="BC12" s="38">
        <v>1</v>
      </c>
      <c r="BD12" s="216">
        <v>1</v>
      </c>
      <c r="BE12" s="216">
        <v>311</v>
      </c>
      <c r="BF12" s="216">
        <v>311</v>
      </c>
      <c r="BG12" s="216" t="s">
        <v>87</v>
      </c>
      <c r="BH12" s="216">
        <v>311</v>
      </c>
      <c r="BI12" s="217">
        <v>311</v>
      </c>
      <c r="BK12" s="37" t="s">
        <v>194</v>
      </c>
      <c r="BL12" s="38">
        <v>1</v>
      </c>
      <c r="BM12" s="216">
        <v>1</v>
      </c>
      <c r="BN12" s="216">
        <v>311</v>
      </c>
      <c r="BO12" s="216">
        <v>311</v>
      </c>
      <c r="BP12" s="216" t="s">
        <v>87</v>
      </c>
      <c r="BQ12" s="216">
        <v>311</v>
      </c>
      <c r="BR12" s="217">
        <v>311</v>
      </c>
      <c r="BT12" s="38"/>
      <c r="BU12" s="38"/>
      <c r="BV12" s="216"/>
      <c r="BW12" s="216"/>
      <c r="BX12" s="216"/>
      <c r="BY12" s="216"/>
      <c r="BZ12" s="216"/>
      <c r="CA12" s="216"/>
      <c r="CC12" s="38"/>
      <c r="CD12" s="38"/>
      <c r="CE12" s="216"/>
      <c r="CF12" s="216"/>
      <c r="CG12" s="216"/>
      <c r="CH12" s="216"/>
      <c r="CI12" s="216"/>
      <c r="CJ12" s="216"/>
      <c r="CL12" s="142" t="s">
        <v>195</v>
      </c>
      <c r="CM12" s="143">
        <v>1</v>
      </c>
      <c r="CN12" s="221">
        <v>1</v>
      </c>
      <c r="CO12" s="221">
        <v>2</v>
      </c>
      <c r="CP12" s="221">
        <v>2</v>
      </c>
      <c r="CQ12" s="221" t="s">
        <v>87</v>
      </c>
      <c r="CR12" s="221">
        <v>2</v>
      </c>
      <c r="CS12" s="222">
        <v>2</v>
      </c>
      <c r="CU12" s="38"/>
      <c r="CV12" s="38"/>
      <c r="CW12" s="216"/>
      <c r="CX12" s="216"/>
      <c r="CY12" s="216"/>
      <c r="CZ12" s="216"/>
      <c r="DA12" s="216"/>
      <c r="DB12" s="216"/>
      <c r="DD12" s="38"/>
      <c r="DE12" s="38"/>
      <c r="DF12" s="216"/>
      <c r="DG12" s="216"/>
      <c r="DH12" s="216"/>
      <c r="DI12" s="216"/>
      <c r="DJ12" s="216"/>
      <c r="DK12" s="216"/>
      <c r="DM12" s="142" t="s">
        <v>195</v>
      </c>
      <c r="DN12" s="143">
        <v>1</v>
      </c>
      <c r="DO12" s="221">
        <v>1</v>
      </c>
      <c r="DP12" s="221">
        <v>2</v>
      </c>
      <c r="DQ12" s="221">
        <v>2</v>
      </c>
      <c r="DR12" s="221" t="s">
        <v>87</v>
      </c>
      <c r="DS12" s="221">
        <v>2</v>
      </c>
      <c r="DT12" s="222">
        <v>2</v>
      </c>
    </row>
    <row r="13" spans="1:125" x14ac:dyDescent="0.2">
      <c r="A13" s="50" t="s">
        <v>97</v>
      </c>
      <c r="B13" s="146" t="s">
        <v>195</v>
      </c>
      <c r="C13" s="209">
        <v>0</v>
      </c>
      <c r="D13" s="38">
        <f t="shared" si="24"/>
        <v>0</v>
      </c>
      <c r="E13" s="38">
        <f t="shared" si="25"/>
        <v>0</v>
      </c>
      <c r="F13" s="215">
        <v>1</v>
      </c>
      <c r="G13" s="216">
        <v>2</v>
      </c>
      <c r="H13" s="217" t="s">
        <v>87</v>
      </c>
      <c r="I13" s="218">
        <f t="shared" si="0"/>
        <v>1</v>
      </c>
      <c r="J13" s="218">
        <f t="shared" si="1"/>
        <v>2</v>
      </c>
      <c r="K13" s="219" t="str">
        <f t="shared" si="2"/>
        <v>.</v>
      </c>
      <c r="L13" s="218">
        <f t="shared" si="3"/>
        <v>1</v>
      </c>
      <c r="M13" s="218">
        <f t="shared" si="4"/>
        <v>2</v>
      </c>
      <c r="N13" s="219" t="str">
        <f t="shared" si="5"/>
        <v>.</v>
      </c>
      <c r="O13" s="218">
        <f t="shared" si="6"/>
        <v>1</v>
      </c>
      <c r="P13" s="218">
        <f t="shared" si="7"/>
        <v>2</v>
      </c>
      <c r="Q13" s="219" t="str">
        <f t="shared" si="8"/>
        <v>.</v>
      </c>
      <c r="R13" s="218">
        <f t="shared" si="9"/>
        <v>1</v>
      </c>
      <c r="S13" s="218">
        <f t="shared" si="10"/>
        <v>2</v>
      </c>
      <c r="T13" s="219" t="str">
        <f t="shared" si="11"/>
        <v>.</v>
      </c>
      <c r="U13" s="218">
        <f t="shared" si="12"/>
        <v>1</v>
      </c>
      <c r="V13" s="218">
        <f t="shared" si="13"/>
        <v>2</v>
      </c>
      <c r="W13" s="219" t="str">
        <f t="shared" si="14"/>
        <v>.</v>
      </c>
      <c r="X13" s="218">
        <f t="shared" si="15"/>
        <v>1</v>
      </c>
      <c r="Y13" s="218">
        <f t="shared" si="16"/>
        <v>2</v>
      </c>
      <c r="Z13" s="219" t="str">
        <f t="shared" si="17"/>
        <v>.</v>
      </c>
      <c r="AA13" s="218">
        <f t="shared" si="18"/>
        <v>1</v>
      </c>
      <c r="AB13" s="218">
        <f t="shared" si="19"/>
        <v>2</v>
      </c>
      <c r="AC13" s="219" t="str">
        <f t="shared" si="20"/>
        <v>.</v>
      </c>
      <c r="AD13" s="6"/>
      <c r="AE13" s="251">
        <v>2.9</v>
      </c>
      <c r="AF13" s="252">
        <v>3.2</v>
      </c>
      <c r="AG13" s="253">
        <v>4.9000000000000004</v>
      </c>
      <c r="AH13" s="176">
        <f t="shared" si="21"/>
        <v>1</v>
      </c>
      <c r="AI13" s="177">
        <f t="shared" si="21"/>
        <v>2</v>
      </c>
      <c r="AJ13" s="64">
        <f t="shared" si="22"/>
        <v>-0.89999999999999991</v>
      </c>
      <c r="AK13" s="64">
        <f t="shared" si="22"/>
        <v>-1.2000000000000002</v>
      </c>
      <c r="AL13" s="156">
        <f t="shared" si="22"/>
        <v>-2.9000000000000004</v>
      </c>
      <c r="AO13" s="166">
        <f>VLOOKUP(B13,Coûts!$C$10:$G$85,5,FALSE)</f>
        <v>1560.19</v>
      </c>
      <c r="AP13" s="167">
        <f t="shared" si="23"/>
        <v>537.99655172413793</v>
      </c>
      <c r="AQ13" s="167">
        <f t="shared" si="23"/>
        <v>487.55937499999999</v>
      </c>
      <c r="AR13" s="168">
        <f t="shared" si="23"/>
        <v>318.4061224489796</v>
      </c>
      <c r="AS13" s="6"/>
      <c r="AT13" s="166">
        <f>Coûts!$I$5-AE13*Coûts!$I$3</f>
        <v>4402.0880000000006</v>
      </c>
      <c r="AU13" s="167">
        <f>Coûts!$I$5-AF13*Coûts!$I$3</f>
        <v>4399.9040000000005</v>
      </c>
      <c r="AV13" s="168">
        <f>Coûts!$I$5-AG13*Coûts!$I$3</f>
        <v>4387.5280000000012</v>
      </c>
      <c r="AW13" s="6"/>
      <c r="AX13" s="166">
        <f>Coûts!$I$5-AE13*Coûts!$I$4</f>
        <v>4292.7000000000007</v>
      </c>
      <c r="AY13" s="167">
        <f>Coûts!$I$5-AF13*Coûts!$I$4</f>
        <v>4279.2000000000007</v>
      </c>
      <c r="AZ13" s="168">
        <f>Coûts!$I$5-AG13*Coûts!$I$4</f>
        <v>4202.7000000000007</v>
      </c>
      <c r="BA13" s="6"/>
      <c r="BB13" s="142" t="s">
        <v>195</v>
      </c>
      <c r="BC13" s="143">
        <v>1</v>
      </c>
      <c r="BD13" s="221">
        <v>1</v>
      </c>
      <c r="BE13" s="221">
        <v>2</v>
      </c>
      <c r="BF13" s="221">
        <v>2</v>
      </c>
      <c r="BG13" s="221" t="s">
        <v>87</v>
      </c>
      <c r="BH13" s="221">
        <v>2</v>
      </c>
      <c r="BI13" s="222">
        <v>2</v>
      </c>
      <c r="BK13" s="142" t="s">
        <v>195</v>
      </c>
      <c r="BL13" s="143">
        <v>1</v>
      </c>
      <c r="BM13" s="221">
        <v>1</v>
      </c>
      <c r="BN13" s="221">
        <v>2</v>
      </c>
      <c r="BO13" s="221">
        <v>2</v>
      </c>
      <c r="BP13" s="221" t="s">
        <v>87</v>
      </c>
      <c r="BQ13" s="221">
        <v>2</v>
      </c>
      <c r="BR13" s="222">
        <v>2</v>
      </c>
      <c r="BT13" s="38"/>
      <c r="BU13" s="38"/>
      <c r="BV13" s="216"/>
      <c r="BW13" s="216"/>
      <c r="BX13" s="216"/>
      <c r="BY13" s="216"/>
      <c r="BZ13" s="216"/>
      <c r="CA13" s="216"/>
      <c r="CC13" s="38"/>
      <c r="CD13" s="38"/>
      <c r="CE13" s="216"/>
      <c r="CF13" s="216"/>
      <c r="CG13" s="216"/>
      <c r="CH13" s="216"/>
      <c r="CI13" s="216"/>
      <c r="CJ13" s="216"/>
      <c r="CL13" s="38"/>
      <c r="CM13" s="38"/>
      <c r="CN13" s="216"/>
      <c r="CO13" s="216"/>
      <c r="CP13" s="216"/>
      <c r="CQ13" s="216"/>
      <c r="CR13" s="216"/>
      <c r="CS13" s="216"/>
      <c r="CU13" s="38"/>
      <c r="CV13" s="38"/>
      <c r="CW13" s="216"/>
      <c r="CX13" s="216"/>
      <c r="CY13" s="216"/>
      <c r="CZ13" s="216"/>
      <c r="DA13" s="216"/>
      <c r="DB13" s="216"/>
      <c r="DD13" s="38"/>
      <c r="DE13" s="38"/>
      <c r="DF13" s="216"/>
      <c r="DG13" s="216"/>
      <c r="DH13" s="216"/>
      <c r="DI13" s="216"/>
      <c r="DJ13" s="216"/>
      <c r="DK13" s="216"/>
      <c r="DM13" s="38"/>
      <c r="DN13" s="38"/>
      <c r="DO13" s="216"/>
      <c r="DP13" s="216"/>
      <c r="DQ13" s="216"/>
      <c r="DR13" s="216"/>
      <c r="DS13" s="216"/>
      <c r="DT13" s="216"/>
    </row>
    <row r="14" spans="1:125" x14ac:dyDescent="0.2">
      <c r="B14" s="146"/>
      <c r="C14" s="209"/>
      <c r="D14" s="38"/>
      <c r="E14" s="38"/>
      <c r="F14" s="215"/>
      <c r="G14" s="216"/>
      <c r="H14" s="217"/>
      <c r="I14" s="218" t="str">
        <f t="shared" si="0"/>
        <v/>
      </c>
      <c r="J14" s="218" t="str">
        <f t="shared" si="1"/>
        <v/>
      </c>
      <c r="K14" s="219" t="str">
        <f t="shared" si="2"/>
        <v/>
      </c>
      <c r="L14" s="218" t="str">
        <f t="shared" si="3"/>
        <v/>
      </c>
      <c r="M14" s="218" t="str">
        <f t="shared" si="4"/>
        <v/>
      </c>
      <c r="N14" s="219" t="str">
        <f t="shared" si="5"/>
        <v/>
      </c>
      <c r="O14" s="218" t="str">
        <f t="shared" si="6"/>
        <v/>
      </c>
      <c r="P14" s="218" t="str">
        <f t="shared" si="7"/>
        <v/>
      </c>
      <c r="Q14" s="219" t="str">
        <f t="shared" si="8"/>
        <v/>
      </c>
      <c r="R14" s="218" t="str">
        <f t="shared" si="9"/>
        <v/>
      </c>
      <c r="S14" s="218" t="str">
        <f t="shared" si="10"/>
        <v/>
      </c>
      <c r="T14" s="219" t="str">
        <f t="shared" si="11"/>
        <v/>
      </c>
      <c r="U14" s="218" t="str">
        <f t="shared" si="12"/>
        <v/>
      </c>
      <c r="V14" s="218" t="str">
        <f t="shared" si="13"/>
        <v/>
      </c>
      <c r="W14" s="219" t="str">
        <f t="shared" si="14"/>
        <v/>
      </c>
      <c r="X14" s="218" t="str">
        <f t="shared" si="15"/>
        <v/>
      </c>
      <c r="Y14" s="218" t="str">
        <f t="shared" si="16"/>
        <v/>
      </c>
      <c r="Z14" s="219" t="str">
        <f t="shared" si="17"/>
        <v/>
      </c>
      <c r="AA14" s="218" t="str">
        <f t="shared" si="18"/>
        <v/>
      </c>
      <c r="AB14" s="218" t="str">
        <f t="shared" si="19"/>
        <v/>
      </c>
      <c r="AC14" s="219" t="str">
        <f t="shared" si="20"/>
        <v/>
      </c>
      <c r="AD14" s="6"/>
      <c r="AE14" s="251"/>
      <c r="AF14" s="252"/>
      <c r="AG14" s="253"/>
      <c r="AH14" s="176" t="str">
        <f t="shared" si="21"/>
        <v/>
      </c>
      <c r="AI14" s="177" t="str">
        <f t="shared" si="21"/>
        <v/>
      </c>
      <c r="AJ14" s="64" t="str">
        <f t="shared" si="22"/>
        <v/>
      </c>
      <c r="AK14" s="64" t="str">
        <f t="shared" si="22"/>
        <v/>
      </c>
      <c r="AL14" s="156" t="str">
        <f t="shared" si="22"/>
        <v/>
      </c>
      <c r="AO14" s="166"/>
      <c r="AP14" s="167" t="str">
        <f t="shared" si="23"/>
        <v/>
      </c>
      <c r="AQ14" s="167" t="str">
        <f t="shared" si="23"/>
        <v/>
      </c>
      <c r="AR14" s="168" t="str">
        <f t="shared" si="23"/>
        <v/>
      </c>
      <c r="AS14" s="6"/>
      <c r="AT14" s="166"/>
      <c r="AU14" s="167"/>
      <c r="AV14" s="168"/>
      <c r="AW14" s="6"/>
      <c r="AX14" s="166"/>
      <c r="AY14" s="167"/>
      <c r="AZ14" s="168"/>
      <c r="BA14" s="6"/>
      <c r="BB14" s="38"/>
      <c r="BC14" s="38"/>
      <c r="BD14" s="216"/>
      <c r="BE14" s="216"/>
      <c r="BF14" s="216"/>
      <c r="BG14" s="216"/>
      <c r="BH14" s="216"/>
      <c r="BI14" s="216"/>
      <c r="BK14" s="38"/>
      <c r="BL14" s="38"/>
      <c r="BM14" s="216"/>
      <c r="BN14" s="216"/>
      <c r="BO14" s="216"/>
      <c r="BP14" s="216"/>
      <c r="BQ14" s="216"/>
      <c r="BR14" s="216"/>
      <c r="BT14" s="38"/>
      <c r="BU14" s="38"/>
      <c r="BV14" s="216"/>
      <c r="BW14" s="216"/>
      <c r="BX14" s="216"/>
      <c r="BY14" s="216"/>
      <c r="BZ14" s="216"/>
      <c r="CA14" s="216"/>
      <c r="CC14" s="38"/>
      <c r="CD14" s="38"/>
      <c r="CE14" s="216"/>
      <c r="CF14" s="216"/>
      <c r="CG14" s="216"/>
      <c r="CH14" s="216"/>
      <c r="CI14" s="216"/>
      <c r="CJ14" s="216"/>
      <c r="CL14" s="38"/>
      <c r="CM14" s="38"/>
      <c r="CN14" s="216"/>
      <c r="CO14" s="216"/>
      <c r="CP14" s="216"/>
      <c r="CQ14" s="216"/>
      <c r="CR14" s="216"/>
      <c r="CS14" s="216"/>
      <c r="CU14" s="38"/>
      <c r="CV14" s="38"/>
      <c r="CW14" s="216"/>
      <c r="CX14" s="216"/>
      <c r="CY14" s="216"/>
      <c r="CZ14" s="216"/>
      <c r="DA14" s="216"/>
      <c r="DB14" s="216"/>
      <c r="DD14" s="38"/>
      <c r="DE14" s="38"/>
      <c r="DF14" s="216"/>
      <c r="DG14" s="216"/>
      <c r="DH14" s="216"/>
      <c r="DI14" s="216"/>
      <c r="DJ14" s="216"/>
      <c r="DK14" s="216"/>
      <c r="DM14" s="38"/>
      <c r="DN14" s="38"/>
      <c r="DO14" s="216"/>
      <c r="DP14" s="216"/>
      <c r="DQ14" s="216"/>
      <c r="DR14" s="216"/>
      <c r="DS14" s="216"/>
      <c r="DT14" s="216"/>
    </row>
    <row r="15" spans="1:125" x14ac:dyDescent="0.2">
      <c r="B15" s="147"/>
      <c r="C15" s="209"/>
      <c r="D15" s="143"/>
      <c r="E15" s="143"/>
      <c r="F15" s="220"/>
      <c r="G15" s="221"/>
      <c r="H15" s="222"/>
      <c r="I15" s="223" t="str">
        <f t="shared" si="0"/>
        <v/>
      </c>
      <c r="J15" s="223" t="str">
        <f t="shared" si="1"/>
        <v/>
      </c>
      <c r="K15" s="212" t="str">
        <f t="shared" si="2"/>
        <v/>
      </c>
      <c r="L15" s="223" t="str">
        <f t="shared" si="3"/>
        <v/>
      </c>
      <c r="M15" s="223" t="str">
        <f t="shared" si="4"/>
        <v/>
      </c>
      <c r="N15" s="212" t="str">
        <f t="shared" si="5"/>
        <v/>
      </c>
      <c r="O15" s="223" t="str">
        <f t="shared" si="6"/>
        <v/>
      </c>
      <c r="P15" s="223" t="str">
        <f t="shared" si="7"/>
        <v/>
      </c>
      <c r="Q15" s="212" t="str">
        <f t="shared" si="8"/>
        <v/>
      </c>
      <c r="R15" s="223" t="str">
        <f t="shared" si="9"/>
        <v/>
      </c>
      <c r="S15" s="223" t="str">
        <f t="shared" si="10"/>
        <v/>
      </c>
      <c r="T15" s="212" t="str">
        <f t="shared" si="11"/>
        <v/>
      </c>
      <c r="U15" s="223" t="str">
        <f t="shared" si="12"/>
        <v/>
      </c>
      <c r="V15" s="223" t="str">
        <f t="shared" si="13"/>
        <v/>
      </c>
      <c r="W15" s="212" t="str">
        <f t="shared" si="14"/>
        <v/>
      </c>
      <c r="X15" s="223" t="str">
        <f t="shared" si="15"/>
        <v/>
      </c>
      <c r="Y15" s="223" t="str">
        <f t="shared" si="16"/>
        <v/>
      </c>
      <c r="Z15" s="212" t="str">
        <f t="shared" si="17"/>
        <v/>
      </c>
      <c r="AA15" s="223" t="str">
        <f t="shared" si="18"/>
        <v/>
      </c>
      <c r="AB15" s="223" t="str">
        <f t="shared" si="19"/>
        <v/>
      </c>
      <c r="AC15" s="212" t="str">
        <f t="shared" si="20"/>
        <v/>
      </c>
      <c r="AD15" s="6"/>
      <c r="AE15" s="227"/>
      <c r="AF15" s="228"/>
      <c r="AG15" s="229"/>
      <c r="AH15" s="178" t="str">
        <f t="shared" si="21"/>
        <v/>
      </c>
      <c r="AI15" s="179" t="str">
        <f t="shared" si="21"/>
        <v/>
      </c>
      <c r="AJ15" s="157" t="str">
        <f t="shared" si="22"/>
        <v/>
      </c>
      <c r="AK15" s="157" t="str">
        <f t="shared" si="22"/>
        <v/>
      </c>
      <c r="AL15" s="158" t="str">
        <f t="shared" si="22"/>
        <v/>
      </c>
      <c r="AO15" s="169"/>
      <c r="AP15" s="170" t="str">
        <f t="shared" ref="AP15:AR15" si="26">IF(AE15&lt;&gt;0,$AO15/AE15,"")</f>
        <v/>
      </c>
      <c r="AQ15" s="170" t="str">
        <f t="shared" si="26"/>
        <v/>
      </c>
      <c r="AR15" s="171" t="str">
        <f t="shared" si="26"/>
        <v/>
      </c>
      <c r="AS15" s="6"/>
      <c r="AT15" s="169"/>
      <c r="AU15" s="170"/>
      <c r="AV15" s="171"/>
      <c r="AW15" s="6"/>
      <c r="AX15" s="169"/>
      <c r="AY15" s="170"/>
      <c r="AZ15" s="171"/>
      <c r="BA15" s="6"/>
      <c r="BB15" s="38"/>
      <c r="BC15" s="38"/>
      <c r="BD15" s="216"/>
      <c r="BE15" s="216"/>
      <c r="BF15" s="216"/>
      <c r="BG15" s="216"/>
      <c r="BH15" s="216"/>
      <c r="BI15" s="216"/>
    </row>
    <row r="17" hidden="1" outlineLevel="1" x14ac:dyDescent="0.2"/>
    <row r="18" hidden="1" outlineLevel="1" x14ac:dyDescent="0.2"/>
    <row r="19" hidden="1" outlineLevel="1" x14ac:dyDescent="0.2"/>
    <row r="20" hidden="1" outlineLevel="1" x14ac:dyDescent="0.2"/>
    <row r="21" hidden="1" outlineLevel="1" x14ac:dyDescent="0.2"/>
    <row r="22" hidden="1" outlineLevel="1" x14ac:dyDescent="0.2"/>
    <row r="23" hidden="1" outlineLevel="1" x14ac:dyDescent="0.2"/>
    <row r="24" hidden="1" outlineLevel="1" x14ac:dyDescent="0.2"/>
    <row r="25" hidden="1" outlineLevel="1" x14ac:dyDescent="0.2"/>
    <row r="26" hidden="1" outlineLevel="1" x14ac:dyDescent="0.2"/>
    <row r="27" hidden="1" outlineLevel="1" x14ac:dyDescent="0.2"/>
    <row r="28" hidden="1" outlineLevel="1" x14ac:dyDescent="0.2"/>
    <row r="29" hidden="1" outlineLevel="1" x14ac:dyDescent="0.2"/>
    <row r="30" hidden="1" outlineLevel="1" x14ac:dyDescent="0.2"/>
    <row r="31" hidden="1" outlineLevel="1" x14ac:dyDescent="0.2"/>
    <row r="32" hidden="1" outlineLevel="1" x14ac:dyDescent="0.2"/>
    <row r="33" spans="2:53" hidden="1" outlineLevel="1" x14ac:dyDescent="0.2"/>
    <row r="34" spans="2:53" hidden="1" outlineLevel="1" x14ac:dyDescent="0.2"/>
    <row r="35" spans="2:53" hidden="1" outlineLevel="1" x14ac:dyDescent="0.2"/>
    <row r="36" spans="2:53" hidden="1" outlineLevel="1" x14ac:dyDescent="0.2"/>
    <row r="37" spans="2:53" hidden="1" outlineLevel="1" x14ac:dyDescent="0.2"/>
    <row r="38" spans="2:53" hidden="1" outlineLevel="1" x14ac:dyDescent="0.2"/>
    <row r="39" spans="2:53" hidden="1" outlineLevel="1" x14ac:dyDescent="0.2"/>
    <row r="40" spans="2:53" hidden="1" outlineLevel="1" x14ac:dyDescent="0.2"/>
    <row r="41" spans="2:53" hidden="1" outlineLevel="1" x14ac:dyDescent="0.2"/>
    <row r="42" spans="2:53" hidden="1" outlineLevel="1" x14ac:dyDescent="0.2"/>
    <row r="43" spans="2:53" hidden="1" outlineLevel="1" x14ac:dyDescent="0.2"/>
    <row r="44" spans="2:53" hidden="1" outlineLevel="1" x14ac:dyDescent="0.2"/>
    <row r="45" spans="2:53" hidden="1" outlineLevel="1" x14ac:dyDescent="0.2"/>
    <row r="46" spans="2:53" collapsed="1" x14ac:dyDescent="0.2"/>
    <row r="47" spans="2:53" x14ac:dyDescent="0.2">
      <c r="B47" s="136" t="s">
        <v>95</v>
      </c>
      <c r="C47" s="211">
        <f>SUM(C3:C15)</f>
        <v>6</v>
      </c>
      <c r="F47" s="148">
        <f>SUMPRODUCT(C4:C15,F4:F15)</f>
        <v>6</v>
      </c>
      <c r="AD47" s="61" t="s">
        <v>62</v>
      </c>
      <c r="AE47" s="67">
        <f>SUMPRODUCT($C$4:$C$15,$AH$4:$AH$15,AE4:AE15)/SUM($AH$4:$AH$15)</f>
        <v>7.416666666666667</v>
      </c>
      <c r="AF47" s="67">
        <f>SUMPRODUCT($C$4:$C$15,$AH$4:$AH$15,AF4:AF15)/SUM($AH$4:$AH$15)</f>
        <v>11.1</v>
      </c>
      <c r="AG47" s="67">
        <f>SUMPRODUCT($C$4:$C$15,$AH$4:$AH$15,AG4:AG15)/SUM($AH$4:$AH$15)</f>
        <v>11.883333333333335</v>
      </c>
      <c r="AH47" s="67" t="str">
        <f>SUMPRODUCT($C$4:$C$15,$AH$4:$AH$15)&amp;" ("&amp;ROUND(SUMPRODUCT($C$4:$C$15,$AH$4:$AH$15)/$F$47*100,0)&amp;"%)"</f>
        <v>3 (50%)</v>
      </c>
      <c r="AI47" s="66">
        <f>SUMPRODUCT(C4:C15,AH4:AH15,AI4:AI15)/SUM(AH4:AH15)</f>
        <v>4.666666666666667</v>
      </c>
      <c r="AJ47" s="63">
        <f>SUMPRODUCT(C4:C15,AH4:AH15,AJ4:AJ15)/SUM(AH4:AH15)</f>
        <v>-2.75</v>
      </c>
      <c r="AK47" s="65">
        <f>SUMPRODUCT(C4:C15,AH4:AH15,AK4:AK15)/SUM(AH4:AH15)</f>
        <v>-6.4333333333333327</v>
      </c>
      <c r="AL47" s="65">
        <f>SUMPRODUCT(C4:C15,AH4:AH15,AL4:AL15)/SUM(AH4:AH15)</f>
        <v>-7.2166666666666677</v>
      </c>
      <c r="AM47" s="64"/>
      <c r="AN47" s="153" t="s">
        <v>62</v>
      </c>
      <c r="AO47" s="186">
        <f>SUMPRODUCT($C$4:$C$15,$AH$4:$AH$15,AO4:AO15)/SUM($AH$4:$AH$15)</f>
        <v>4329.3216666666667</v>
      </c>
      <c r="AP47" s="186">
        <f>-1*SUMPRODUCT($C$4:$C$15,$AH$4:$AH$15,AP4:AP15,AJ4:AJ15)/SUM($AH$4:$AH$15)</f>
        <v>2025.4469245920927</v>
      </c>
      <c r="AQ47" s="186">
        <f>-1*SUMPRODUCT($C$4:$C$15,$AH$4:$AH$15,AQ4:AQ15,AK4:AK15)/SUM($AH$4:$AH$15)</f>
        <v>2806.5408884394642</v>
      </c>
      <c r="AR47" s="187">
        <f>-1*SUMPRODUCT($C$4:$C$15,$AH$4:$AH$15,AR4:AR15,AL4:AL15)/SUM($AH$4:$AH$15)</f>
        <v>2855.2511510943636</v>
      </c>
      <c r="AS47" s="51"/>
      <c r="AT47" s="185">
        <f>SUMPRODUCT($C$4:$C$15,$AH$4:$AH$15,AT4:AT15)/SUM($AH$4:$AH$15)</f>
        <v>2157.606666666667</v>
      </c>
      <c r="AU47" s="186">
        <f>SUMPRODUCT($C$4:$C$15,$AH$4:$AH$15,AU4:AU15)/SUM($AH$4:$AH$15)</f>
        <v>2130.7920000000008</v>
      </c>
      <c r="AV47" s="187">
        <f>SUMPRODUCT($C$4:$C$15,$AH$4:$AH$15,AV4:AV15)/SUM($AH$4:$AH$15)</f>
        <v>2125.0893333333338</v>
      </c>
      <c r="AW47" s="51"/>
      <c r="AX47" s="185">
        <f>SUMPRODUCT($C$4:$C$15,$AH$4:$AH$15,AX4:AX15)/SUM($AH$4:$AH$15)</f>
        <v>1877.8500000000004</v>
      </c>
      <c r="AY47" s="186">
        <f>SUMPRODUCT($C$4:$C$15,$AH$4:$AH$15,AY4:AY15)/SUM($AH$4:$AH$15)</f>
        <v>1712.1000000000004</v>
      </c>
      <c r="AZ47" s="187">
        <f>SUMPRODUCT($C$4:$C$15,$AH$4:$AH$15,AZ4:AZ15)/SUM($AH$4:$AH$15)</f>
        <v>1676.8500000000004</v>
      </c>
      <c r="BA47" s="51"/>
    </row>
    <row r="48" spans="2:53" x14ac:dyDescent="0.2">
      <c r="B48" s="142" t="s">
        <v>85</v>
      </c>
      <c r="C48" s="212">
        <f>COUNT(C3:C15)</f>
        <v>10</v>
      </c>
      <c r="F48" s="149">
        <f>SUM(F4:F15)</f>
        <v>10</v>
      </c>
      <c r="AD48" s="61" t="s">
        <v>63</v>
      </c>
      <c r="AE48" s="67">
        <f>SUMPRODUCT($C$4:$C$15,$D$4:$D$15,$AH$4:$AH$15,AE4:AE15)/SUM($AH$4:$AH$15)</f>
        <v>1.7666666666666666</v>
      </c>
      <c r="AF48" s="67">
        <f>SUMPRODUCT($C$4:$C$15,$D$4:$D$15,$AH$4:$AH$15,AF4:AF15)/SUM($AH$4:$AH$15)</f>
        <v>2.8166666666666664</v>
      </c>
      <c r="AG48" s="67">
        <f>SUMPRODUCT($C$4:$C$15,$D$4:$D$15,$AH$4:$AH$15,AG4:AG15)/SUM($AH$4:$AH$15)</f>
        <v>2.7333333333333329</v>
      </c>
      <c r="AH48" s="67" t="str">
        <f>SUMPRODUCT($C$4:$C$15,$AH$4:$AH$15,$D$4:$D$15)&amp;" ("&amp;ROUND(SUMPRODUCT($C$4:$C$15,$AH$4:$AH$15,$D$4:$D$15)/$F$47*100,0)&amp;"%)"</f>
        <v>1 (17%)</v>
      </c>
      <c r="AI48" s="66">
        <f>SUMPRODUCT(C4:C15,D4:D15,AH4:AH15,AI4:AI15)/SUM(AH4:AH15)</f>
        <v>1.5</v>
      </c>
      <c r="AJ48" s="63">
        <f>SUMPRODUCT(C4:C15,D4:D15,AH4:AH15,AJ4:AJ15)/SUM(AH4:AH15)</f>
        <v>-0.26666666666666661</v>
      </c>
      <c r="AK48" s="65">
        <f>SUMPRODUCT(C4:C15,D4:D15,AH4:AH15,AK4:AK15)/SUM(AH4:AH15)</f>
        <v>-1.3166666666666664</v>
      </c>
      <c r="AL48" s="65">
        <f>SUMPRODUCT(C4:C15,D4:D15,AH4:AH15,AL4:AL15)/SUM(AH4:AH15)</f>
        <v>-1.2333333333333332</v>
      </c>
      <c r="AM48" s="64"/>
      <c r="AN48" s="151" t="s">
        <v>63</v>
      </c>
      <c r="AO48" s="189">
        <f>SUMPRODUCT($C$4:$C$15,$D$4:$D$15,$AH$4:$AH$15,AO4:AO15)/SUM($AH$4:$AH$15)</f>
        <v>681.28</v>
      </c>
      <c r="AP48" s="189">
        <f>-1*SUMPRODUCT($C$4:$C$15,$D$4:$D$15,$AH$4:$AH$15,AP4:AP15,AJ4:AJ15)/SUM($AH$4:$AH$15)</f>
        <v>102.83471698113205</v>
      </c>
      <c r="AQ48" s="189">
        <f>-1*SUMPRODUCT($C$4:$C$15,$D$4:$D$15,$AH$4:$AH$15,AQ4:AQ15,AK4:AK15)/SUM($AH$4:$AH$15)</f>
        <v>318.46816568047331</v>
      </c>
      <c r="AR48" s="190">
        <f>-1*SUMPRODUCT($C$4:$C$15,$D$4:$D$15,$AH$4:$AH$15,AR4:AR15,AL4:AL15)/SUM($AH$4:$AH$15)</f>
        <v>307.4068292682926</v>
      </c>
      <c r="AS48" s="51"/>
      <c r="AT48" s="188">
        <f>SUMPRODUCT($C$4:$C$15,$D$4:$D$15,$AH$4:$AH$15,AT4:AT15)/SUM($AH$4:$AH$15)</f>
        <v>724.33866666666688</v>
      </c>
      <c r="AU48" s="189">
        <f>SUMPRODUCT($C$4:$C$15,$D$4:$D$15,$AH$4:$AH$15,AU4:AU15)/SUM($AH$4:$AH$15)</f>
        <v>716.69466666666676</v>
      </c>
      <c r="AV48" s="190">
        <f>SUMPRODUCT($C$4:$C$15,$D$4:$D$15,$AH$4:$AH$15,AV4:AV15)/SUM($AH$4:$AH$15)</f>
        <v>717.30133333333345</v>
      </c>
      <c r="AW48" s="51"/>
      <c r="AX48" s="188">
        <f>SUMPRODUCT($C$4:$C$15,$D$4:$D$15,$AH$4:$AH$15,AX4:AX15)/SUM($AH$4:$AH$15)</f>
        <v>657.70000000000016</v>
      </c>
      <c r="AY48" s="189">
        <f>SUMPRODUCT($C$4:$C$15,$D$4:$D$15,$AH$4:$AH$15,AY4:AY15)/SUM($AH$4:$AH$15)</f>
        <v>610.45000000000016</v>
      </c>
      <c r="AZ48" s="190">
        <f>SUMPRODUCT($C$4:$C$15,$D$4:$D$15,$AH$4:$AH$15,AZ4:AZ15)/SUM($AH$4:$AH$15)</f>
        <v>614.20000000000016</v>
      </c>
      <c r="BA48" s="51"/>
    </row>
    <row r="49" spans="30:53" x14ac:dyDescent="0.2">
      <c r="AD49" s="61" t="s">
        <v>61</v>
      </c>
      <c r="AE49" s="67">
        <f>SUMPRODUCT($C$4:$C$15,$E$4:$E$15,$AH$4:$AH$15,AE4:AE15)/SUM($AH$4:$AH$15)</f>
        <v>4.6333333333333337</v>
      </c>
      <c r="AF49" s="67">
        <f>SUMPRODUCT($C$4:$C$15,$E$4:$E$15,$AH$4:$AH$15,AF4:AF15)/SUM($AH$4:$AH$15)</f>
        <v>6.75</v>
      </c>
      <c r="AG49" s="67">
        <f>SUMPRODUCT($C$4:$C$15,$E$4:$E$15,$AH$4:$AH$15,AG4:AG15)/SUM($AH$4:$AH$15)</f>
        <v>7.6000000000000005</v>
      </c>
      <c r="AH49" s="67" t="str">
        <f>SUMPRODUCT($C$4:$C$15,$AH$4:$AH$15,$E$4:$E$15)&amp;" ("&amp;ROUND(SUMPRODUCT($C$4:$C$15,$AH$4:$AH$15,$E$4:$E$15)/$F$47*100,0)&amp;"%)"</f>
        <v>1 (17%)</v>
      </c>
      <c r="AI49" s="66">
        <f>SUMPRODUCT(C4:C15,E4:E15,AH4:AH15,AI4:AI15)/SUM(AH4:AH15)</f>
        <v>1</v>
      </c>
      <c r="AJ49" s="63">
        <f>SUMPRODUCT(C4:C15,E4:E15,AH4:AH15,AJ4:AJ15)/SUM(AH4:AH15)</f>
        <v>-3.6333333333333333</v>
      </c>
      <c r="AK49" s="65">
        <f>SUMPRODUCT(C4:C15,E4:E15,AH4:AH15,AK4:AK15)/SUM(AH4:AH15)</f>
        <v>-5.75</v>
      </c>
      <c r="AL49" s="65">
        <f>SUMPRODUCT(C4:C15,E4:E15,AH4:AH15,AL4:AL15)/SUM(AH4:AH15)</f>
        <v>-6.6000000000000005</v>
      </c>
      <c r="AM49" s="64"/>
      <c r="AN49" s="151" t="s">
        <v>61</v>
      </c>
      <c r="AO49" s="189">
        <f>SUMPRODUCT($C$4:$C$15,$E$4:$E$15,$AH$4:$AH$15,AO4:AO15)/SUM($AH$4:$AH$15)</f>
        <v>3158.2633333333338</v>
      </c>
      <c r="AP49" s="189">
        <f>-1*SUMPRODUCT($C$4:$C$15,$E$4:$E$15,$AH$4:$AH$15,AP4:AP15,AJ4:AJ15)/SUM($AH$4:$AH$15)</f>
        <v>2476.62376498801</v>
      </c>
      <c r="AQ49" s="189">
        <f>-1*SUMPRODUCT($C$4:$C$15,$E$4:$E$15,$AH$4:$AH$15,AQ4:AQ15,AK4:AK15)/SUM($AH$4:$AH$15)</f>
        <v>2690.3724691358025</v>
      </c>
      <c r="AR49" s="190">
        <f>-1*SUMPRODUCT($C$4:$C$15,$E$4:$E$15,$AH$4:$AH$15,AR4:AR15,AL4:AL15)/SUM($AH$4:$AH$15)</f>
        <v>2742.7023684210526</v>
      </c>
      <c r="AS49" s="51"/>
      <c r="AT49" s="188">
        <f>SUMPRODUCT($C$4:$C$15,$E$4:$E$15,$AH$4:$AH$15,AT4:AT15)/SUM($AH$4:$AH$15)</f>
        <v>703.46933333333345</v>
      </c>
      <c r="AU49" s="189">
        <f>SUMPRODUCT($C$4:$C$15,$E$4:$E$15,$AH$4:$AH$15,AU4:AU15)/SUM($AH$4:$AH$15)</f>
        <v>688.06000000000006</v>
      </c>
      <c r="AV49" s="190">
        <f>SUMPRODUCT($C$4:$C$15,$E$4:$E$15,$AH$4:$AH$15,AV4:AV15)/SUM($AH$4:$AH$15)</f>
        <v>681.87200000000018</v>
      </c>
      <c r="AW49" s="51"/>
      <c r="AX49" s="188">
        <f>SUMPRODUCT($C$4:$C$15,$E$4:$E$15,$AH$4:$AH$15,AX4:AX15)/SUM($AH$4:$AH$15)</f>
        <v>528.70000000000016</v>
      </c>
      <c r="AY49" s="189">
        <f>SUMPRODUCT($C$4:$C$15,$E$4:$E$15,$AH$4:$AH$15,AY4:AY15)/SUM($AH$4:$AH$15)</f>
        <v>433.4500000000001</v>
      </c>
      <c r="AZ49" s="190">
        <f>SUMPRODUCT($C$4:$C$15,$E$4:$E$15,$AH$4:$AH$15,AZ4:AZ15)/SUM($AH$4:$AH$15)</f>
        <v>395.2000000000001</v>
      </c>
      <c r="BA49" s="51"/>
    </row>
    <row r="50" spans="30:53" x14ac:dyDescent="0.2">
      <c r="AD50" s="61" t="s">
        <v>64</v>
      </c>
      <c r="AE50" s="67"/>
      <c r="AF50" s="67"/>
      <c r="AG50" s="67"/>
      <c r="AH50" s="67"/>
      <c r="AI50" s="66"/>
      <c r="AJ50" s="63"/>
      <c r="AK50" s="65"/>
      <c r="AL50" s="65"/>
      <c r="AM50" s="64"/>
      <c r="AN50" s="151" t="s">
        <v>64</v>
      </c>
      <c r="AO50" s="189"/>
      <c r="AP50" s="189"/>
      <c r="AQ50" s="189"/>
      <c r="AR50" s="190"/>
      <c r="AS50" s="51"/>
      <c r="AT50" s="188"/>
      <c r="AU50" s="189"/>
      <c r="AV50" s="190"/>
      <c r="AW50" s="51"/>
      <c r="AX50" s="188"/>
      <c r="AY50" s="189"/>
      <c r="AZ50" s="190"/>
      <c r="BA50" s="51"/>
    </row>
    <row r="51" spans="30:53" x14ac:dyDescent="0.2">
      <c r="AD51" s="61" t="s">
        <v>65</v>
      </c>
      <c r="AE51" s="63"/>
      <c r="AF51" s="63"/>
      <c r="AG51" s="63"/>
      <c r="AH51" s="67"/>
      <c r="AI51" s="63"/>
      <c r="AJ51" s="63"/>
      <c r="AK51" s="63"/>
      <c r="AL51" s="63"/>
      <c r="AM51" s="64"/>
      <c r="AN51" s="151" t="s">
        <v>65</v>
      </c>
      <c r="AO51" s="189"/>
      <c r="AP51" s="189"/>
      <c r="AQ51" s="189"/>
      <c r="AR51" s="190"/>
      <c r="AS51" s="51"/>
      <c r="AT51" s="188"/>
      <c r="AU51" s="189"/>
      <c r="AV51" s="190"/>
      <c r="AW51" s="51"/>
      <c r="AX51" s="188"/>
      <c r="AY51" s="189"/>
      <c r="AZ51" s="190"/>
      <c r="BA51" s="51"/>
    </row>
    <row r="52" spans="30:53" x14ac:dyDescent="0.2">
      <c r="AD52" s="61" t="s">
        <v>84</v>
      </c>
      <c r="AE52" s="63"/>
      <c r="AF52" s="63"/>
      <c r="AG52" s="63"/>
      <c r="AH52" s="67"/>
      <c r="AI52" s="63"/>
      <c r="AJ52" s="63"/>
      <c r="AK52" s="63"/>
      <c r="AL52" s="63"/>
      <c r="AM52" s="64"/>
      <c r="AN52" s="151" t="s">
        <v>84</v>
      </c>
      <c r="AO52" s="189"/>
      <c r="AP52" s="189"/>
      <c r="AQ52" s="189"/>
      <c r="AR52" s="190"/>
      <c r="AS52" s="51"/>
      <c r="AT52" s="188"/>
      <c r="AU52" s="189"/>
      <c r="AV52" s="190"/>
      <c r="AW52" s="51"/>
      <c r="AX52" s="188"/>
      <c r="AY52" s="189"/>
      <c r="AZ52" s="190"/>
      <c r="BA52" s="51"/>
    </row>
    <row r="53" spans="30:53" x14ac:dyDescent="0.2">
      <c r="AD53" s="61" t="s">
        <v>119</v>
      </c>
      <c r="AE53" s="63"/>
      <c r="AF53" s="63"/>
      <c r="AG53" s="63"/>
      <c r="AH53" s="67"/>
      <c r="AI53" s="63"/>
      <c r="AJ53" s="63"/>
      <c r="AK53" s="63"/>
      <c r="AL53" s="63"/>
      <c r="AM53" s="64"/>
      <c r="AN53" s="152" t="s">
        <v>119</v>
      </c>
      <c r="AO53" s="192"/>
      <c r="AP53" s="192"/>
      <c r="AQ53" s="192"/>
      <c r="AR53" s="193"/>
      <c r="AS53" s="51"/>
      <c r="AT53" s="191"/>
      <c r="AU53" s="192"/>
      <c r="AV53" s="193"/>
      <c r="AW53" s="51"/>
      <c r="AX53" s="191"/>
      <c r="AY53" s="192"/>
      <c r="AZ53" s="193"/>
      <c r="BA53" s="51"/>
    </row>
  </sheetData>
  <mergeCells count="1">
    <mergeCell ref="C1:C2"/>
  </mergeCells>
  <conditionalFormatting sqref="B14:B15">
    <cfRule type="expression" dxfId="1" priority="2">
      <formula>C14=0</formula>
    </cfRule>
  </conditionalFormatting>
  <conditionalFormatting sqref="B4:B13">
    <cfRule type="expression" dxfId="0" priority="1">
      <formula>C4=0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B218-A69F-49FE-9DD6-E125850BECA4}">
  <sheetPr>
    <tabColor theme="0" tint="-0.34998626667073579"/>
  </sheetPr>
  <dimension ref="B1:V85"/>
  <sheetViews>
    <sheetView showGridLines="0" workbookViewId="0">
      <selection activeCell="H5" sqref="H5"/>
    </sheetView>
  </sheetViews>
  <sheetFormatPr defaultColWidth="10.76171875" defaultRowHeight="15" x14ac:dyDescent="0.2"/>
  <cols>
    <col min="5" max="5" width="13.98828125" customWidth="1"/>
    <col min="8" max="8" width="13.046875" customWidth="1"/>
    <col min="9" max="9" width="12.10546875" bestFit="1" customWidth="1"/>
    <col min="12" max="12" width="2.5546875" style="199" customWidth="1"/>
    <col min="15" max="15" width="5.91796875" customWidth="1"/>
    <col min="16" max="16" width="16.6796875" bestFit="1" customWidth="1"/>
    <col min="17" max="17" width="9.01171875" customWidth="1"/>
    <col min="18" max="18" width="16.8125" bestFit="1" customWidth="1"/>
    <col min="19" max="19" width="6.859375" customWidth="1"/>
    <col min="20" max="20" width="11.8359375" customWidth="1"/>
    <col min="22" max="22" width="14.796875" bestFit="1" customWidth="1"/>
  </cols>
  <sheetData>
    <row r="1" spans="2:22" x14ac:dyDescent="0.2">
      <c r="N1" s="3" t="s">
        <v>169</v>
      </c>
    </row>
    <row r="2" spans="2:22" x14ac:dyDescent="0.2">
      <c r="H2" s="43" t="s">
        <v>69</v>
      </c>
      <c r="I2" s="3" t="s">
        <v>70</v>
      </c>
    </row>
    <row r="3" spans="2:22" x14ac:dyDescent="0.2">
      <c r="C3" s="195" t="s">
        <v>215</v>
      </c>
      <c r="D3" s="62"/>
      <c r="E3" s="62"/>
      <c r="F3" s="62"/>
      <c r="G3" s="62"/>
      <c r="H3" s="196">
        <f>2*1.82</f>
        <v>3.64</v>
      </c>
      <c r="I3" s="197">
        <f>2*H3</f>
        <v>7.28</v>
      </c>
      <c r="N3" s="111">
        <f>MATCH(Resultats!C5,P3:P5,0)</f>
        <v>1</v>
      </c>
      <c r="O3" s="70"/>
      <c r="P3" s="107" t="s">
        <v>113</v>
      </c>
      <c r="Q3" s="70"/>
      <c r="R3" s="107" t="s">
        <v>6</v>
      </c>
      <c r="S3" s="70"/>
      <c r="T3" s="107" t="s">
        <v>118</v>
      </c>
      <c r="V3" s="238" t="e">
        <f ca="1">IF(N3=1,V5,IF(N3=2,V6,V7))</f>
        <v>#VALUE!</v>
      </c>
    </row>
    <row r="4" spans="2:22" x14ac:dyDescent="0.2">
      <c r="C4" s="198" t="s">
        <v>152</v>
      </c>
      <c r="D4" s="62"/>
      <c r="E4" s="62"/>
      <c r="F4" s="62"/>
      <c r="G4" s="62"/>
      <c r="H4" s="196">
        <f>20+25</f>
        <v>45</v>
      </c>
      <c r="I4" s="197">
        <f>H4</f>
        <v>45</v>
      </c>
      <c r="J4" s="68"/>
      <c r="N4" s="110"/>
      <c r="O4" s="70"/>
      <c r="P4" s="108" t="s">
        <v>60</v>
      </c>
      <c r="Q4" s="70"/>
      <c r="R4" s="109" t="s">
        <v>111</v>
      </c>
      <c r="S4" s="70"/>
      <c r="T4" s="108" t="s">
        <v>115</v>
      </c>
    </row>
    <row r="5" spans="2:22" x14ac:dyDescent="0.2">
      <c r="C5" s="198" t="s">
        <v>68</v>
      </c>
      <c r="D5" s="62"/>
      <c r="E5" s="62"/>
      <c r="F5" s="62"/>
      <c r="G5" s="62"/>
      <c r="H5" s="196">
        <f>3*737.2</f>
        <v>2211.6000000000004</v>
      </c>
      <c r="I5" s="197">
        <f>2*H5</f>
        <v>4423.2000000000007</v>
      </c>
      <c r="M5" s="60"/>
      <c r="N5" s="111">
        <f>MATCH(Resultats!C7,R3:R4,0)</f>
        <v>2</v>
      </c>
      <c r="O5" s="70"/>
      <c r="P5" s="109" t="s">
        <v>214</v>
      </c>
      <c r="Q5" s="70"/>
      <c r="R5" s="70"/>
      <c r="S5" s="70"/>
      <c r="T5" s="108" t="s">
        <v>116</v>
      </c>
      <c r="V5" s="148" t="e">
        <f ca="1">MID(CELL("nomfichier",Modele_OS!B3),FIND("]",CELL("nomfichier",Modele_OS!B3))+1,LEN(CELL("nomfichier",Modele_OS!B3))-FIND("]",CELL("nomfichier",Modele_OS!B3)))</f>
        <v>#VALUE!</v>
      </c>
    </row>
    <row r="6" spans="2:22" x14ac:dyDescent="0.2">
      <c r="N6" s="110"/>
      <c r="O6" s="70"/>
      <c r="P6" s="70"/>
      <c r="Q6" s="70"/>
      <c r="R6" s="70"/>
      <c r="S6" s="70"/>
      <c r="T6" s="109" t="s">
        <v>117</v>
      </c>
      <c r="V6" s="239" t="e">
        <f ca="1">MID(CELL("nomfichier",Modele_COEUR!B4),FIND("]",CELL("nomfichier",Modele_COEUR!B4))+1,LEN(CELL("nomfichier",Modele_COEUR!B4))-FIND("]",CELL("nomfichier",Modele_COEUR!B4)))</f>
        <v>#VALUE!</v>
      </c>
    </row>
    <row r="7" spans="2:22" x14ac:dyDescent="0.2">
      <c r="B7" s="2"/>
      <c r="C7" s="2"/>
      <c r="D7" s="2"/>
      <c r="E7" s="2"/>
      <c r="F7" s="2"/>
      <c r="G7" s="2"/>
      <c r="H7" s="2"/>
      <c r="I7" s="2"/>
      <c r="N7" s="111">
        <f>MATCH(Resultats!C9,T3:T6,0)</f>
        <v>2</v>
      </c>
      <c r="O7" s="70"/>
      <c r="P7" s="70"/>
      <c r="Q7" s="70"/>
      <c r="R7" s="70"/>
      <c r="S7" s="70"/>
      <c r="T7" s="70"/>
      <c r="V7" s="149" t="e">
        <f ca="1">MID(CELL("nomfichier",Modele_IPTM!B5),FIND("]",CELL("nomfichier",Modele_IPTM!B5))+1,LEN(CELL("nomfichier",Modele_IPTM!B5))-FIND("]",CELL("nomfichier",Modele_IPTM!B5)))</f>
        <v>#VALUE!</v>
      </c>
    </row>
    <row r="8" spans="2:22" x14ac:dyDescent="0.2">
      <c r="B8" s="2"/>
      <c r="C8" s="2"/>
      <c r="D8" s="2"/>
      <c r="E8" s="2"/>
      <c r="G8" s="7"/>
      <c r="H8" s="6"/>
      <c r="I8" s="6"/>
      <c r="N8" s="70"/>
      <c r="O8" s="70"/>
      <c r="P8" s="70"/>
      <c r="Q8" s="70"/>
      <c r="R8" s="70"/>
      <c r="S8" s="70"/>
      <c r="T8" s="70"/>
    </row>
    <row r="9" spans="2:22" x14ac:dyDescent="0.2">
      <c r="C9" s="127" t="s">
        <v>8</v>
      </c>
      <c r="D9" s="1"/>
      <c r="E9" s="2"/>
      <c r="F9" s="2"/>
      <c r="G9" s="2"/>
    </row>
    <row r="10" spans="2:22" x14ac:dyDescent="0.2">
      <c r="C10" s="112" t="s">
        <v>8</v>
      </c>
      <c r="D10" s="113" t="s">
        <v>9</v>
      </c>
      <c r="E10" s="114" t="s">
        <v>10</v>
      </c>
      <c r="F10" s="114" t="s">
        <v>11</v>
      </c>
      <c r="G10" s="114" t="s">
        <v>202</v>
      </c>
      <c r="H10" s="114"/>
      <c r="I10" s="115"/>
    </row>
    <row r="11" spans="2:22" x14ac:dyDescent="0.2">
      <c r="C11" s="117" t="s">
        <v>7</v>
      </c>
      <c r="D11" s="118">
        <v>18</v>
      </c>
      <c r="E11" s="119">
        <v>18.559999999999999</v>
      </c>
      <c r="F11" s="119">
        <v>18.559999999999999</v>
      </c>
      <c r="G11" s="116">
        <v>11630.35</v>
      </c>
      <c r="H11" s="5"/>
      <c r="I11" s="42"/>
    </row>
    <row r="12" spans="2:22" x14ac:dyDescent="0.2">
      <c r="C12" s="117" t="s">
        <v>12</v>
      </c>
      <c r="D12" s="118">
        <v>8</v>
      </c>
      <c r="E12" s="119">
        <v>8.25</v>
      </c>
      <c r="F12" s="119">
        <v>26.8</v>
      </c>
      <c r="G12" s="116">
        <v>10362.82</v>
      </c>
      <c r="H12" s="5"/>
      <c r="I12" s="42"/>
    </row>
    <row r="13" spans="2:22" x14ac:dyDescent="0.2">
      <c r="C13" s="117" t="s">
        <v>13</v>
      </c>
      <c r="D13" s="118">
        <v>6</v>
      </c>
      <c r="E13" s="119">
        <v>6.19</v>
      </c>
      <c r="F13" s="119">
        <v>32.99</v>
      </c>
      <c r="G13" s="116">
        <v>16335.94</v>
      </c>
      <c r="H13" s="5"/>
      <c r="I13" s="42"/>
    </row>
    <row r="14" spans="2:22" x14ac:dyDescent="0.2">
      <c r="C14" s="117" t="s">
        <v>14</v>
      </c>
      <c r="D14" s="118">
        <v>5</v>
      </c>
      <c r="E14" s="119">
        <v>5.15</v>
      </c>
      <c r="F14" s="119">
        <v>38.14</v>
      </c>
      <c r="G14" s="116">
        <v>8853.4699999999993</v>
      </c>
      <c r="H14" s="5"/>
      <c r="I14" s="42"/>
    </row>
    <row r="15" spans="2:22" x14ac:dyDescent="0.2">
      <c r="C15" s="117" t="s">
        <v>15</v>
      </c>
      <c r="D15" s="118">
        <v>3</v>
      </c>
      <c r="E15" s="119">
        <v>3.09</v>
      </c>
      <c r="F15" s="119">
        <v>41.24</v>
      </c>
      <c r="G15" s="116">
        <v>13883.76</v>
      </c>
      <c r="H15" s="5"/>
      <c r="I15" s="42"/>
    </row>
    <row r="16" spans="2:22" x14ac:dyDescent="0.2">
      <c r="C16" s="117" t="s">
        <v>16</v>
      </c>
      <c r="D16" s="118">
        <v>3</v>
      </c>
      <c r="E16" s="119">
        <v>3.09</v>
      </c>
      <c r="F16" s="119">
        <v>44.33</v>
      </c>
      <c r="G16" s="116">
        <v>624.76</v>
      </c>
      <c r="H16" s="5"/>
      <c r="I16" s="42"/>
    </row>
    <row r="17" spans="3:9" x14ac:dyDescent="0.2">
      <c r="C17" s="117" t="s">
        <v>17</v>
      </c>
      <c r="D17" s="118">
        <v>3</v>
      </c>
      <c r="E17" s="119">
        <v>3.09</v>
      </c>
      <c r="F17" s="119">
        <v>47.42</v>
      </c>
      <c r="G17" s="116"/>
      <c r="H17" s="5"/>
      <c r="I17" s="42"/>
    </row>
    <row r="18" spans="3:9" x14ac:dyDescent="0.2">
      <c r="C18" s="117" t="s">
        <v>18</v>
      </c>
      <c r="D18" s="118">
        <v>3</v>
      </c>
      <c r="E18" s="119">
        <v>3.09</v>
      </c>
      <c r="F18" s="119">
        <v>50.52</v>
      </c>
      <c r="G18" s="116">
        <v>335.02</v>
      </c>
      <c r="H18" s="5"/>
      <c r="I18" s="42"/>
    </row>
    <row r="19" spans="3:9" x14ac:dyDescent="0.2">
      <c r="C19" s="117" t="s">
        <v>19</v>
      </c>
      <c r="D19" s="118">
        <v>2</v>
      </c>
      <c r="E19" s="120">
        <v>2.06</v>
      </c>
      <c r="F19" s="120">
        <v>52.58</v>
      </c>
      <c r="G19" s="116">
        <v>10323.65</v>
      </c>
      <c r="H19" s="5"/>
      <c r="I19" s="42"/>
    </row>
    <row r="20" spans="3:9" x14ac:dyDescent="0.2">
      <c r="C20" s="117" t="s">
        <v>20</v>
      </c>
      <c r="D20" s="118">
        <v>2</v>
      </c>
      <c r="E20" s="120">
        <v>2.06</v>
      </c>
      <c r="F20" s="120">
        <v>54.64</v>
      </c>
      <c r="G20" s="116">
        <v>22384.73</v>
      </c>
      <c r="H20" s="5"/>
      <c r="I20" s="42"/>
    </row>
    <row r="21" spans="3:9" x14ac:dyDescent="0.2">
      <c r="C21" s="117" t="s">
        <v>21</v>
      </c>
      <c r="D21" s="118">
        <v>2</v>
      </c>
      <c r="E21" s="120">
        <v>2.06</v>
      </c>
      <c r="F21" s="120">
        <v>56.7</v>
      </c>
      <c r="G21" s="116"/>
      <c r="H21" s="5"/>
      <c r="I21" s="42"/>
    </row>
    <row r="22" spans="3:9" x14ac:dyDescent="0.2">
      <c r="C22" s="117" t="s">
        <v>22</v>
      </c>
      <c r="D22" s="118">
        <v>2</v>
      </c>
      <c r="E22" s="120">
        <v>2.06</v>
      </c>
      <c r="F22" s="120">
        <v>58.76</v>
      </c>
      <c r="G22" s="116">
        <v>5769.43</v>
      </c>
      <c r="H22" s="5"/>
      <c r="I22" s="42"/>
    </row>
    <row r="23" spans="3:9" x14ac:dyDescent="0.2">
      <c r="C23" s="117" t="s">
        <v>23</v>
      </c>
      <c r="D23" s="118">
        <v>2</v>
      </c>
      <c r="E23" s="120">
        <v>2.06</v>
      </c>
      <c r="F23" s="120">
        <v>60.82</v>
      </c>
      <c r="G23" s="116">
        <v>7048.34</v>
      </c>
      <c r="H23" s="5"/>
      <c r="I23" s="42"/>
    </row>
    <row r="24" spans="3:9" x14ac:dyDescent="0.2">
      <c r="C24" s="117" t="s">
        <v>24</v>
      </c>
      <c r="D24" s="118">
        <v>2</v>
      </c>
      <c r="E24" s="120">
        <v>2.06</v>
      </c>
      <c r="F24" s="120">
        <v>62.89</v>
      </c>
      <c r="G24" s="116">
        <v>6994.66</v>
      </c>
      <c r="H24" s="5"/>
      <c r="I24" s="42"/>
    </row>
    <row r="25" spans="3:9" x14ac:dyDescent="0.2">
      <c r="C25" s="117" t="s">
        <v>25</v>
      </c>
      <c r="D25" s="118">
        <v>2</v>
      </c>
      <c r="E25" s="120">
        <v>2.06</v>
      </c>
      <c r="F25" s="120">
        <v>64.95</v>
      </c>
      <c r="G25" s="116">
        <v>562.48</v>
      </c>
      <c r="H25" s="5"/>
      <c r="I25" s="42"/>
    </row>
    <row r="26" spans="3:9" x14ac:dyDescent="0.2">
      <c r="C26" s="117" t="s">
        <v>26</v>
      </c>
      <c r="D26" s="118">
        <v>2</v>
      </c>
      <c r="E26" s="120">
        <v>2.06</v>
      </c>
      <c r="F26" s="120">
        <v>67.010000000000005</v>
      </c>
      <c r="G26" s="116">
        <v>813.21</v>
      </c>
      <c r="H26" s="5"/>
      <c r="I26" s="42"/>
    </row>
    <row r="27" spans="3:9" x14ac:dyDescent="0.2">
      <c r="C27" s="117" t="s">
        <v>27</v>
      </c>
      <c r="D27" s="118">
        <v>2</v>
      </c>
      <c r="E27" s="120">
        <v>2.06</v>
      </c>
      <c r="F27" s="120">
        <v>69.069999999999993</v>
      </c>
      <c r="G27" s="116">
        <v>8366.4699999999993</v>
      </c>
      <c r="H27" s="5"/>
      <c r="I27" s="42"/>
    </row>
    <row r="28" spans="3:9" x14ac:dyDescent="0.2">
      <c r="C28" s="117" t="s">
        <v>28</v>
      </c>
      <c r="D28" s="118">
        <v>1</v>
      </c>
      <c r="E28" s="120">
        <v>1.03</v>
      </c>
      <c r="F28" s="120">
        <v>70.099999999999994</v>
      </c>
      <c r="G28" s="116">
        <v>1017.89</v>
      </c>
      <c r="H28" s="5"/>
      <c r="I28" s="42"/>
    </row>
    <row r="29" spans="3:9" x14ac:dyDescent="0.2">
      <c r="C29" s="117" t="s">
        <v>29</v>
      </c>
      <c r="D29" s="118">
        <v>1</v>
      </c>
      <c r="E29" s="120">
        <v>1.03</v>
      </c>
      <c r="F29" s="120">
        <v>71.13</v>
      </c>
      <c r="G29" s="116">
        <v>6466.79</v>
      </c>
      <c r="H29" s="5"/>
      <c r="I29" s="42"/>
    </row>
    <row r="30" spans="3:9" x14ac:dyDescent="0.2">
      <c r="C30" s="117" t="s">
        <v>30</v>
      </c>
      <c r="D30" s="118">
        <v>1</v>
      </c>
      <c r="E30" s="120">
        <v>1.03</v>
      </c>
      <c r="F30" s="120">
        <v>72.16</v>
      </c>
      <c r="G30" s="116">
        <v>779.78</v>
      </c>
      <c r="H30" s="5"/>
      <c r="I30" s="42"/>
    </row>
    <row r="31" spans="3:9" x14ac:dyDescent="0.2">
      <c r="C31" s="117" t="s">
        <v>31</v>
      </c>
      <c r="D31" s="118">
        <v>1</v>
      </c>
      <c r="E31" s="120">
        <v>1.03</v>
      </c>
      <c r="F31" s="120">
        <v>73.2</v>
      </c>
      <c r="G31" s="116">
        <v>6725.45</v>
      </c>
      <c r="H31" s="5"/>
      <c r="I31" s="42"/>
    </row>
    <row r="32" spans="3:9" x14ac:dyDescent="0.2">
      <c r="C32" s="117" t="s">
        <v>32</v>
      </c>
      <c r="D32" s="118">
        <v>1</v>
      </c>
      <c r="E32" s="120">
        <v>1.03</v>
      </c>
      <c r="F32" s="120">
        <v>74.23</v>
      </c>
      <c r="G32" s="116"/>
      <c r="H32" s="5"/>
      <c r="I32" s="42"/>
    </row>
    <row r="33" spans="3:9" x14ac:dyDescent="0.2">
      <c r="C33" s="117" t="s">
        <v>33</v>
      </c>
      <c r="D33" s="118">
        <v>1</v>
      </c>
      <c r="E33" s="120">
        <v>1.03</v>
      </c>
      <c r="F33" s="120">
        <v>75.260000000000005</v>
      </c>
      <c r="G33" s="116">
        <v>5506.44</v>
      </c>
      <c r="H33" s="5"/>
      <c r="I33" s="42"/>
    </row>
    <row r="34" spans="3:9" x14ac:dyDescent="0.2">
      <c r="C34" s="117" t="s">
        <v>34</v>
      </c>
      <c r="D34" s="118">
        <v>1</v>
      </c>
      <c r="E34" s="120">
        <v>1.03</v>
      </c>
      <c r="F34" s="120">
        <v>76.290000000000006</v>
      </c>
      <c r="G34" s="116">
        <v>6611.42</v>
      </c>
      <c r="H34" s="5"/>
      <c r="I34" s="42"/>
    </row>
    <row r="35" spans="3:9" x14ac:dyDescent="0.2">
      <c r="C35" s="117" t="s">
        <v>35</v>
      </c>
      <c r="D35" s="118">
        <v>1</v>
      </c>
      <c r="E35" s="120">
        <v>1.03</v>
      </c>
      <c r="F35" s="120">
        <v>77.319999999999993</v>
      </c>
      <c r="G35" s="116">
        <v>8148.05</v>
      </c>
      <c r="H35" s="5"/>
      <c r="I35" s="42"/>
    </row>
    <row r="36" spans="3:9" x14ac:dyDescent="0.2">
      <c r="C36" s="117" t="s">
        <v>36</v>
      </c>
      <c r="D36" s="118">
        <v>1</v>
      </c>
      <c r="E36" s="120">
        <v>1.03</v>
      </c>
      <c r="F36" s="120">
        <v>78.349999999999994</v>
      </c>
      <c r="G36" s="116">
        <v>6761.14</v>
      </c>
      <c r="H36" s="5"/>
      <c r="I36" s="42"/>
    </row>
    <row r="37" spans="3:9" x14ac:dyDescent="0.2">
      <c r="C37" s="117" t="s">
        <v>37</v>
      </c>
      <c r="D37" s="118">
        <v>1</v>
      </c>
      <c r="E37" s="120">
        <v>1.03</v>
      </c>
      <c r="F37" s="120">
        <v>79.38</v>
      </c>
      <c r="G37" s="116">
        <v>9877.43</v>
      </c>
      <c r="H37" s="5"/>
      <c r="I37" s="42"/>
    </row>
    <row r="38" spans="3:9" x14ac:dyDescent="0.2">
      <c r="C38" s="117" t="s">
        <v>38</v>
      </c>
      <c r="D38" s="118">
        <v>1</v>
      </c>
      <c r="E38" s="120">
        <v>1.03</v>
      </c>
      <c r="F38" s="120">
        <v>80.41</v>
      </c>
      <c r="G38" s="116"/>
      <c r="H38" s="5"/>
      <c r="I38" s="42"/>
    </row>
    <row r="39" spans="3:9" x14ac:dyDescent="0.2">
      <c r="C39" s="117" t="s">
        <v>39</v>
      </c>
      <c r="D39" s="118">
        <v>1</v>
      </c>
      <c r="E39" s="120">
        <v>1.03</v>
      </c>
      <c r="F39" s="120">
        <v>81.44</v>
      </c>
      <c r="G39" s="116">
        <v>7044.06</v>
      </c>
      <c r="H39" s="5"/>
      <c r="I39" s="42"/>
    </row>
    <row r="40" spans="3:9" x14ac:dyDescent="0.2">
      <c r="C40" s="117" t="s">
        <v>40</v>
      </c>
      <c r="D40" s="118">
        <v>1</v>
      </c>
      <c r="E40" s="120">
        <v>1.03</v>
      </c>
      <c r="F40" s="120">
        <v>82.47</v>
      </c>
      <c r="G40" s="116">
        <v>1088.3599999999999</v>
      </c>
      <c r="H40" s="5"/>
      <c r="I40" s="42"/>
    </row>
    <row r="41" spans="3:9" x14ac:dyDescent="0.2">
      <c r="C41" s="117" t="s">
        <v>41</v>
      </c>
      <c r="D41" s="118">
        <v>1</v>
      </c>
      <c r="E41" s="120">
        <v>1.03</v>
      </c>
      <c r="F41" s="120">
        <v>83.51</v>
      </c>
      <c r="G41" s="116">
        <v>3049.24</v>
      </c>
      <c r="H41" s="5"/>
      <c r="I41" s="42"/>
    </row>
    <row r="42" spans="3:9" x14ac:dyDescent="0.2">
      <c r="C42" s="117" t="s">
        <v>42</v>
      </c>
      <c r="D42" s="118">
        <v>1</v>
      </c>
      <c r="E42" s="120">
        <v>1.03</v>
      </c>
      <c r="F42" s="120">
        <v>84.54</v>
      </c>
      <c r="G42" s="116">
        <v>4682.88</v>
      </c>
      <c r="H42" s="5"/>
      <c r="I42" s="42"/>
    </row>
    <row r="43" spans="3:9" x14ac:dyDescent="0.2">
      <c r="C43" s="117" t="s">
        <v>43</v>
      </c>
      <c r="D43" s="118">
        <v>1</v>
      </c>
      <c r="E43" s="120">
        <v>1.03</v>
      </c>
      <c r="F43" s="120">
        <v>85.57</v>
      </c>
      <c r="G43" s="116">
        <v>5701.26</v>
      </c>
      <c r="H43" s="5"/>
      <c r="I43" s="42"/>
    </row>
    <row r="44" spans="3:9" x14ac:dyDescent="0.2">
      <c r="C44" s="117" t="s">
        <v>44</v>
      </c>
      <c r="D44" s="118">
        <v>1</v>
      </c>
      <c r="E44" s="120">
        <v>1.03</v>
      </c>
      <c r="F44" s="120">
        <v>86.6</v>
      </c>
      <c r="G44" s="116">
        <v>8191.09</v>
      </c>
      <c r="H44" s="5"/>
      <c r="I44" s="42"/>
    </row>
    <row r="45" spans="3:9" x14ac:dyDescent="0.2">
      <c r="C45" s="117" t="s">
        <v>45</v>
      </c>
      <c r="D45" s="118">
        <v>1</v>
      </c>
      <c r="E45" s="120">
        <v>1.03</v>
      </c>
      <c r="F45" s="120">
        <v>87.63</v>
      </c>
      <c r="G45" s="116">
        <v>640.97</v>
      </c>
      <c r="H45" s="5"/>
      <c r="I45" s="42"/>
    </row>
    <row r="46" spans="3:9" x14ac:dyDescent="0.2">
      <c r="C46" s="117" t="s">
        <v>46</v>
      </c>
      <c r="D46" s="118">
        <v>1</v>
      </c>
      <c r="E46" s="120">
        <v>1.03</v>
      </c>
      <c r="F46" s="120">
        <v>88.66</v>
      </c>
      <c r="G46" s="116">
        <v>6874.8</v>
      </c>
      <c r="H46" s="5"/>
      <c r="I46" s="42"/>
    </row>
    <row r="47" spans="3:9" x14ac:dyDescent="0.2">
      <c r="C47" s="117" t="s">
        <v>47</v>
      </c>
      <c r="D47" s="118">
        <v>1</v>
      </c>
      <c r="E47" s="120">
        <v>1.03</v>
      </c>
      <c r="F47" s="120">
        <v>89.69</v>
      </c>
      <c r="G47" s="116">
        <v>496.61</v>
      </c>
      <c r="H47" s="5"/>
      <c r="I47" s="42"/>
    </row>
    <row r="48" spans="3:9" x14ac:dyDescent="0.2">
      <c r="C48" s="117" t="s">
        <v>48</v>
      </c>
      <c r="D48" s="118">
        <v>1</v>
      </c>
      <c r="E48" s="120">
        <v>1.03</v>
      </c>
      <c r="F48" s="120">
        <v>90.72</v>
      </c>
      <c r="G48" s="116">
        <v>1054.04</v>
      </c>
      <c r="H48" s="5"/>
      <c r="I48" s="42"/>
    </row>
    <row r="49" spans="3:9" x14ac:dyDescent="0.2">
      <c r="C49" s="117" t="s">
        <v>49</v>
      </c>
      <c r="D49" s="118">
        <v>1</v>
      </c>
      <c r="E49" s="120">
        <v>1.03</v>
      </c>
      <c r="F49" s="120">
        <v>91.75</v>
      </c>
      <c r="G49" s="116">
        <v>4013.86</v>
      </c>
      <c r="H49" s="5"/>
      <c r="I49" s="42"/>
    </row>
    <row r="50" spans="3:9" x14ac:dyDescent="0.2">
      <c r="C50" s="117" t="s">
        <v>50</v>
      </c>
      <c r="D50" s="118">
        <v>1</v>
      </c>
      <c r="E50" s="120">
        <v>1.03</v>
      </c>
      <c r="F50" s="120">
        <v>92.78</v>
      </c>
      <c r="G50" s="116">
        <v>6838.08</v>
      </c>
      <c r="H50" s="5"/>
      <c r="I50" s="42"/>
    </row>
    <row r="51" spans="3:9" x14ac:dyDescent="0.2">
      <c r="C51" s="117" t="s">
        <v>51</v>
      </c>
      <c r="D51" s="118">
        <v>1</v>
      </c>
      <c r="E51" s="120">
        <v>1.03</v>
      </c>
      <c r="F51" s="120">
        <v>93.81</v>
      </c>
      <c r="G51" s="116">
        <v>2042.96</v>
      </c>
      <c r="H51" s="5"/>
      <c r="I51" s="42"/>
    </row>
    <row r="52" spans="3:9" x14ac:dyDescent="0.2">
      <c r="C52" s="117" t="s">
        <v>52</v>
      </c>
      <c r="D52" s="118">
        <v>1</v>
      </c>
      <c r="E52" s="120">
        <v>1.03</v>
      </c>
      <c r="F52" s="120">
        <v>94.85</v>
      </c>
      <c r="G52" s="116">
        <v>7016.11</v>
      </c>
      <c r="H52" s="5"/>
      <c r="I52" s="42"/>
    </row>
    <row r="53" spans="3:9" x14ac:dyDescent="0.2">
      <c r="C53" s="117" t="s">
        <v>53</v>
      </c>
      <c r="D53" s="118">
        <v>1</v>
      </c>
      <c r="E53" s="120">
        <v>1.03</v>
      </c>
      <c r="F53" s="120">
        <v>95.88</v>
      </c>
      <c r="G53" s="116">
        <v>8575.82</v>
      </c>
      <c r="H53" s="5"/>
      <c r="I53" s="42"/>
    </row>
    <row r="54" spans="3:9" x14ac:dyDescent="0.2">
      <c r="C54" s="117" t="s">
        <v>54</v>
      </c>
      <c r="D54" s="118">
        <v>1</v>
      </c>
      <c r="E54" s="120">
        <v>1.03</v>
      </c>
      <c r="F54" s="120">
        <v>96.91</v>
      </c>
      <c r="G54" s="116">
        <v>18110.04</v>
      </c>
      <c r="H54" s="5"/>
      <c r="I54" s="42"/>
    </row>
    <row r="55" spans="3:9" x14ac:dyDescent="0.2">
      <c r="C55" s="117" t="s">
        <v>55</v>
      </c>
      <c r="D55" s="118">
        <v>1</v>
      </c>
      <c r="E55" s="120">
        <v>1.03</v>
      </c>
      <c r="F55" s="120">
        <v>97.94</v>
      </c>
      <c r="G55" s="116">
        <v>851</v>
      </c>
      <c r="H55" s="5"/>
      <c r="I55" s="42"/>
    </row>
    <row r="56" spans="3:9" x14ac:dyDescent="0.2">
      <c r="C56" s="117" t="s">
        <v>56</v>
      </c>
      <c r="D56" s="118">
        <v>1</v>
      </c>
      <c r="E56" s="120">
        <v>1.03</v>
      </c>
      <c r="F56" s="120">
        <v>98.97</v>
      </c>
      <c r="G56" s="116"/>
      <c r="H56" s="5"/>
      <c r="I56" s="42"/>
    </row>
    <row r="57" spans="3:9" x14ac:dyDescent="0.2">
      <c r="C57" s="121" t="s">
        <v>57</v>
      </c>
      <c r="D57" s="122">
        <v>1</v>
      </c>
      <c r="E57" s="123">
        <v>1.03</v>
      </c>
      <c r="F57" s="123">
        <v>100</v>
      </c>
      <c r="G57" s="124"/>
      <c r="H57" s="125"/>
      <c r="I57" s="126"/>
    </row>
    <row r="59" spans="3:9" x14ac:dyDescent="0.2">
      <c r="C59" s="233" t="s">
        <v>175</v>
      </c>
      <c r="D59" s="234"/>
      <c r="E59" s="234"/>
      <c r="F59" s="234"/>
      <c r="G59" s="235">
        <v>10833.28</v>
      </c>
      <c r="H59" s="234"/>
      <c r="I59" s="236"/>
    </row>
    <row r="60" spans="3:9" x14ac:dyDescent="0.2">
      <c r="C60" s="40" t="s">
        <v>176</v>
      </c>
      <c r="D60" s="5"/>
      <c r="E60" s="5"/>
      <c r="F60" s="5"/>
      <c r="G60" s="116">
        <v>9013.68</v>
      </c>
      <c r="H60" s="5"/>
      <c r="I60" s="42"/>
    </row>
    <row r="61" spans="3:9" x14ac:dyDescent="0.2">
      <c r="C61" s="40" t="s">
        <v>29</v>
      </c>
      <c r="D61" s="5"/>
      <c r="E61" s="5"/>
      <c r="F61" s="5"/>
      <c r="G61" s="116">
        <v>6466.79</v>
      </c>
      <c r="H61" s="5"/>
      <c r="I61" s="42"/>
    </row>
    <row r="62" spans="3:9" x14ac:dyDescent="0.2">
      <c r="C62" s="40" t="s">
        <v>177</v>
      </c>
      <c r="D62" s="5"/>
      <c r="E62" s="5"/>
      <c r="F62" s="5"/>
      <c r="G62" s="116">
        <v>13730.88</v>
      </c>
      <c r="H62" s="5"/>
      <c r="I62" s="42"/>
    </row>
    <row r="63" spans="3:9" x14ac:dyDescent="0.2">
      <c r="C63" s="40" t="s">
        <v>178</v>
      </c>
      <c r="D63" s="5"/>
      <c r="E63" s="5"/>
      <c r="F63" s="5"/>
      <c r="G63" s="116">
        <v>4919.24</v>
      </c>
      <c r="H63" s="5"/>
      <c r="I63" s="42"/>
    </row>
    <row r="64" spans="3:9" x14ac:dyDescent="0.2">
      <c r="C64" s="40" t="s">
        <v>179</v>
      </c>
      <c r="D64" s="5"/>
      <c r="E64" s="5"/>
      <c r="F64" s="5"/>
      <c r="G64" s="116">
        <v>6239.89</v>
      </c>
      <c r="H64" s="5"/>
      <c r="I64" s="42"/>
    </row>
    <row r="65" spans="3:9" x14ac:dyDescent="0.2">
      <c r="C65" s="40" t="s">
        <v>180</v>
      </c>
      <c r="D65" s="5"/>
      <c r="E65" s="5"/>
      <c r="F65" s="5"/>
      <c r="G65" s="116">
        <v>7805.98</v>
      </c>
      <c r="H65" s="5"/>
      <c r="I65" s="42"/>
    </row>
    <row r="66" spans="3:9" x14ac:dyDescent="0.2">
      <c r="C66" s="40" t="s">
        <v>181</v>
      </c>
      <c r="D66" s="5"/>
      <c r="E66" s="5"/>
      <c r="F66" s="5"/>
      <c r="G66" s="116">
        <v>10901.39</v>
      </c>
      <c r="H66" s="5"/>
      <c r="I66" s="42"/>
    </row>
    <row r="67" spans="3:9" x14ac:dyDescent="0.2">
      <c r="C67" s="40" t="s">
        <v>25</v>
      </c>
      <c r="D67" s="5"/>
      <c r="E67" s="5"/>
      <c r="F67" s="5"/>
      <c r="G67" s="116">
        <v>562.48</v>
      </c>
      <c r="H67" s="5"/>
      <c r="I67" s="42"/>
    </row>
    <row r="68" spans="3:9" x14ac:dyDescent="0.2">
      <c r="C68" s="40" t="s">
        <v>182</v>
      </c>
      <c r="D68" s="5"/>
      <c r="E68" s="5"/>
      <c r="F68" s="5"/>
      <c r="G68" s="116">
        <v>7493.5</v>
      </c>
      <c r="H68" s="5"/>
      <c r="I68" s="42"/>
    </row>
    <row r="69" spans="3:9" x14ac:dyDescent="0.2">
      <c r="C69" s="40" t="s">
        <v>183</v>
      </c>
      <c r="D69" s="5"/>
      <c r="E69" s="5"/>
      <c r="F69" s="5"/>
      <c r="G69" s="116">
        <v>13329.38</v>
      </c>
      <c r="H69" s="5"/>
      <c r="I69" s="42"/>
    </row>
    <row r="70" spans="3:9" x14ac:dyDescent="0.2">
      <c r="C70" s="40" t="s">
        <v>184</v>
      </c>
      <c r="D70" s="5"/>
      <c r="E70" s="5"/>
      <c r="F70" s="5"/>
      <c r="G70" s="116">
        <v>22099.82</v>
      </c>
      <c r="H70" s="5"/>
      <c r="I70" s="42"/>
    </row>
    <row r="71" spans="3:9" x14ac:dyDescent="0.2">
      <c r="C71" s="40" t="s">
        <v>52</v>
      </c>
      <c r="D71" s="5"/>
      <c r="E71" s="5"/>
      <c r="F71" s="5"/>
      <c r="G71" s="116">
        <v>7016.11</v>
      </c>
      <c r="H71" s="5"/>
      <c r="I71" s="42"/>
    </row>
    <row r="72" spans="3:9" x14ac:dyDescent="0.2">
      <c r="C72" s="40" t="s">
        <v>185</v>
      </c>
      <c r="D72" s="5"/>
      <c r="E72" s="5"/>
      <c r="F72" s="5"/>
      <c r="G72" s="116">
        <v>685.12</v>
      </c>
      <c r="H72" s="5"/>
      <c r="I72" s="42"/>
    </row>
    <row r="73" spans="3:9" x14ac:dyDescent="0.2">
      <c r="C73" s="40" t="s">
        <v>186</v>
      </c>
      <c r="D73" s="5"/>
      <c r="E73" s="5"/>
      <c r="F73" s="5"/>
      <c r="G73" s="116">
        <v>4025.78</v>
      </c>
      <c r="H73" s="5"/>
      <c r="I73" s="42"/>
    </row>
    <row r="74" spans="3:9" x14ac:dyDescent="0.2">
      <c r="C74" s="237" t="s">
        <v>18</v>
      </c>
      <c r="D74" s="125"/>
      <c r="E74" s="125"/>
      <c r="F74" s="125"/>
      <c r="G74" s="124">
        <v>335.02</v>
      </c>
      <c r="H74" s="125"/>
      <c r="I74" s="126"/>
    </row>
    <row r="75" spans="3:9" x14ac:dyDescent="0.2">
      <c r="G75" s="116"/>
    </row>
    <row r="76" spans="3:9" x14ac:dyDescent="0.2">
      <c r="C76" s="233" t="s">
        <v>187</v>
      </c>
      <c r="D76" s="234"/>
      <c r="E76" s="234"/>
      <c r="F76" s="234"/>
      <c r="G76" s="235">
        <v>18949.580000000002</v>
      </c>
      <c r="H76" s="234"/>
      <c r="I76" s="236"/>
    </row>
    <row r="77" spans="3:9" x14ac:dyDescent="0.2">
      <c r="C77" s="40" t="s">
        <v>188</v>
      </c>
      <c r="D77" s="5"/>
      <c r="E77" s="5"/>
      <c r="F77" s="5"/>
      <c r="G77" s="116">
        <v>4489.04</v>
      </c>
      <c r="H77" s="5"/>
      <c r="I77" s="42"/>
    </row>
    <row r="78" spans="3:9" x14ac:dyDescent="0.2">
      <c r="C78" s="40" t="s">
        <v>178</v>
      </c>
      <c r="D78" s="5"/>
      <c r="E78" s="5"/>
      <c r="F78" s="5"/>
      <c r="G78" s="116">
        <v>4919.24</v>
      </c>
      <c r="H78" s="5"/>
      <c r="I78" s="42"/>
    </row>
    <row r="79" spans="3:9" x14ac:dyDescent="0.2">
      <c r="C79" s="40" t="s">
        <v>189</v>
      </c>
      <c r="D79" s="5"/>
      <c r="E79" s="5"/>
      <c r="F79" s="5"/>
      <c r="G79" s="116">
        <v>1467.47</v>
      </c>
      <c r="H79" s="5"/>
      <c r="I79" s="42"/>
    </row>
    <row r="80" spans="3:9" x14ac:dyDescent="0.2">
      <c r="C80" s="40" t="s">
        <v>190</v>
      </c>
      <c r="D80" s="5"/>
      <c r="E80" s="5"/>
      <c r="F80" s="5"/>
      <c r="G80" s="116">
        <v>3794.17</v>
      </c>
      <c r="H80" s="5"/>
      <c r="I80" s="42"/>
    </row>
    <row r="81" spans="3:9" x14ac:dyDescent="0.2">
      <c r="C81" s="40" t="s">
        <v>191</v>
      </c>
      <c r="D81" s="5"/>
      <c r="E81" s="5"/>
      <c r="F81" s="5"/>
      <c r="G81" s="116">
        <v>2938.67</v>
      </c>
      <c r="H81" s="5"/>
      <c r="I81" s="42"/>
    </row>
    <row r="82" spans="3:9" x14ac:dyDescent="0.2">
      <c r="C82" s="40" t="s">
        <v>192</v>
      </c>
      <c r="D82" s="5"/>
      <c r="E82" s="5"/>
      <c r="F82" s="5"/>
      <c r="G82" s="116">
        <v>4087.68</v>
      </c>
      <c r="H82" s="5"/>
      <c r="I82" s="42"/>
    </row>
    <row r="83" spans="3:9" x14ac:dyDescent="0.2">
      <c r="C83" s="40" t="s">
        <v>193</v>
      </c>
      <c r="D83" s="5"/>
      <c r="E83" s="5"/>
      <c r="F83" s="5"/>
      <c r="G83" s="116">
        <v>5961.16</v>
      </c>
      <c r="H83" s="5"/>
      <c r="I83" s="42"/>
    </row>
    <row r="84" spans="3:9" x14ac:dyDescent="0.2">
      <c r="C84" s="40" t="s">
        <v>194</v>
      </c>
      <c r="D84" s="5"/>
      <c r="E84" s="5"/>
      <c r="F84" s="5"/>
      <c r="G84" s="116">
        <v>4884.3999999999996</v>
      </c>
      <c r="H84" s="5"/>
      <c r="I84" s="42"/>
    </row>
    <row r="85" spans="3:9" x14ac:dyDescent="0.2">
      <c r="C85" s="237" t="s">
        <v>195</v>
      </c>
      <c r="D85" s="125"/>
      <c r="E85" s="125"/>
      <c r="F85" s="125"/>
      <c r="G85" s="124">
        <v>1560.19</v>
      </c>
      <c r="H85" s="125"/>
      <c r="I8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Acceuil</vt:lpstr>
      <vt:lpstr>Notice</vt:lpstr>
      <vt:lpstr>Resultats</vt:lpstr>
      <vt:lpstr>Modele_OS</vt:lpstr>
      <vt:lpstr>Modele_COEUR</vt:lpstr>
      <vt:lpstr>Modele_IPTM</vt:lpstr>
      <vt:lpstr>Coûts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vimont</dc:creator>
  <cp:lastModifiedBy>alexandre vimont</cp:lastModifiedBy>
  <dcterms:created xsi:type="dcterms:W3CDTF">2020-03-31T10:07:00Z</dcterms:created>
  <dcterms:modified xsi:type="dcterms:W3CDTF">2020-06-05T09:46:14Z</dcterms:modified>
</cp:coreProperties>
</file>