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WAGE_reference_2020_22_sectors\xcel_data\"/>
    </mc:Choice>
  </mc:AlternateContent>
  <bookViews>
    <workbookView xWindow="0" yWindow="0" windowWidth="16830" windowHeight="3900" firstSheet="1" activeTab="6"/>
  </bookViews>
  <sheets>
    <sheet name="AP2_Targets" sheetId="2" r:id="rId1"/>
    <sheet name="AP5_Targets" sheetId="3" r:id="rId2"/>
    <sheet name="CO2_Preis" sheetId="4" r:id="rId3"/>
    <sheet name="All_Targets" sheetId="1" r:id="rId4"/>
    <sheet name="overall targets" sheetId="15" r:id="rId5"/>
    <sheet name="NEWAGE_reg" sheetId="5" r:id="rId6"/>
    <sheet name="sce_3" sheetId="6" r:id="rId7"/>
    <sheet name="sce_4" sheetId="8" r:id="rId8"/>
    <sheet name="sce_5" sheetId="9" r:id="rId9"/>
    <sheet name="sce_6" sheetId="10" r:id="rId10"/>
    <sheet name="sce_7" sheetId="11" r:id="rId11"/>
    <sheet name="sce_8" sheetId="12" r:id="rId12"/>
    <sheet name="sce_9" sheetId="13" r:id="rId13"/>
    <sheet name="sce_10" sheetId="14" r:id="rId14"/>
  </sheets>
  <definedNames>
    <definedName name="_xlnm._FilterDatabase" localSheetId="5" hidden="1">NEWAGE_reg!$B$2:$B$29</definedName>
    <definedName name="_xlnm.Extract" localSheetId="5">sce_3!$A$9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6" l="1"/>
  <c r="V28" i="6" s="1"/>
  <c r="H28" i="6"/>
  <c r="I28" i="6" s="1"/>
  <c r="U28" i="6" s="1"/>
  <c r="F28" i="6"/>
  <c r="G28" i="6" s="1"/>
  <c r="S28" i="6" s="1"/>
  <c r="D28" i="6"/>
  <c r="E28" i="6" s="1"/>
  <c r="Q28" i="6" s="1"/>
  <c r="B28" i="6"/>
  <c r="N28" i="6" s="1"/>
  <c r="J28" i="8"/>
  <c r="H28" i="8"/>
  <c r="F28" i="8"/>
  <c r="D28" i="8"/>
  <c r="B28" i="8"/>
  <c r="N28" i="8" s="1"/>
  <c r="P28" i="6" l="1"/>
  <c r="T28" i="6"/>
  <c r="R28" i="6"/>
  <c r="I28" i="8"/>
  <c r="U28" i="8" s="1"/>
  <c r="G28" i="8"/>
  <c r="S28" i="8" s="1"/>
  <c r="P28" i="8"/>
  <c r="V28" i="8"/>
  <c r="E28" i="8"/>
  <c r="Q28" i="8" s="1"/>
  <c r="R28" i="8"/>
  <c r="T28" i="8"/>
  <c r="B8" i="15"/>
  <c r="C5" i="15"/>
  <c r="C4" i="15"/>
  <c r="C3" i="15"/>
  <c r="J24" i="9"/>
  <c r="H24" i="9"/>
  <c r="F24" i="9"/>
  <c r="D24" i="9"/>
  <c r="B5" i="15"/>
  <c r="B4" i="15"/>
  <c r="B3" i="15"/>
  <c r="J16" i="14" l="1"/>
  <c r="J15" i="14"/>
  <c r="J14" i="14"/>
  <c r="J13" i="14"/>
  <c r="J12" i="14"/>
  <c r="J11" i="14"/>
  <c r="J10" i="14"/>
  <c r="J9" i="14"/>
  <c r="J8" i="14"/>
  <c r="H16" i="14"/>
  <c r="H15" i="14"/>
  <c r="H14" i="14"/>
  <c r="H13" i="14"/>
  <c r="H12" i="14"/>
  <c r="H11" i="14"/>
  <c r="H10" i="14"/>
  <c r="H9" i="14"/>
  <c r="H8" i="14"/>
  <c r="F16" i="14"/>
  <c r="F15" i="14"/>
  <c r="F14" i="14"/>
  <c r="F13" i="14"/>
  <c r="F12" i="14"/>
  <c r="F11" i="14"/>
  <c r="F10" i="14"/>
  <c r="F9" i="14"/>
  <c r="F8" i="14"/>
  <c r="D9" i="14"/>
  <c r="D10" i="14"/>
  <c r="D11" i="14"/>
  <c r="D12" i="14"/>
  <c r="D13" i="14"/>
  <c r="D14" i="14"/>
  <c r="D15" i="14"/>
  <c r="D16" i="14"/>
  <c r="D8" i="14"/>
  <c r="J16" i="13"/>
  <c r="J15" i="13"/>
  <c r="J14" i="13"/>
  <c r="J13" i="13"/>
  <c r="J12" i="13"/>
  <c r="J11" i="13"/>
  <c r="J10" i="13"/>
  <c r="J9" i="13"/>
  <c r="J8" i="13"/>
  <c r="H16" i="13"/>
  <c r="H15" i="13"/>
  <c r="H14" i="13"/>
  <c r="H13" i="13"/>
  <c r="H12" i="13"/>
  <c r="H11" i="13"/>
  <c r="H10" i="13"/>
  <c r="H9" i="13"/>
  <c r="H8" i="13"/>
  <c r="F16" i="13"/>
  <c r="F15" i="13"/>
  <c r="F14" i="13"/>
  <c r="F13" i="13"/>
  <c r="F12" i="13"/>
  <c r="F11" i="13"/>
  <c r="F10" i="13"/>
  <c r="F9" i="13"/>
  <c r="F8" i="13"/>
  <c r="D9" i="13"/>
  <c r="D10" i="13"/>
  <c r="D11" i="13"/>
  <c r="D12" i="13"/>
  <c r="D13" i="13"/>
  <c r="D14" i="13"/>
  <c r="D15" i="13"/>
  <c r="D16" i="13"/>
  <c r="D8" i="13"/>
  <c r="J16" i="12"/>
  <c r="J15" i="12"/>
  <c r="J14" i="12"/>
  <c r="J13" i="12"/>
  <c r="J12" i="12"/>
  <c r="J11" i="12"/>
  <c r="J10" i="12"/>
  <c r="J9" i="12"/>
  <c r="J8" i="12"/>
  <c r="H16" i="12"/>
  <c r="H15" i="12"/>
  <c r="H14" i="12"/>
  <c r="H13" i="12"/>
  <c r="H12" i="12"/>
  <c r="H11" i="12"/>
  <c r="H10" i="12"/>
  <c r="H9" i="12"/>
  <c r="H8" i="12"/>
  <c r="F16" i="12"/>
  <c r="F15" i="12"/>
  <c r="F14" i="12"/>
  <c r="F13" i="12"/>
  <c r="F12" i="12"/>
  <c r="F11" i="12"/>
  <c r="F10" i="12"/>
  <c r="F9" i="12"/>
  <c r="F8" i="12"/>
  <c r="D9" i="12"/>
  <c r="D10" i="12"/>
  <c r="D11" i="12"/>
  <c r="D12" i="12"/>
  <c r="D13" i="12"/>
  <c r="D14" i="12"/>
  <c r="D15" i="12"/>
  <c r="D16" i="12"/>
  <c r="D8" i="12"/>
  <c r="J16" i="11"/>
  <c r="J15" i="11"/>
  <c r="J14" i="11"/>
  <c r="J13" i="11"/>
  <c r="J12" i="11"/>
  <c r="J11" i="11"/>
  <c r="J10" i="11"/>
  <c r="J9" i="11"/>
  <c r="J8" i="11"/>
  <c r="H16" i="11"/>
  <c r="H15" i="11"/>
  <c r="H14" i="11"/>
  <c r="H13" i="11"/>
  <c r="H12" i="11"/>
  <c r="H11" i="11"/>
  <c r="H10" i="11"/>
  <c r="H9" i="11"/>
  <c r="H8" i="11"/>
  <c r="F16" i="11"/>
  <c r="F15" i="11"/>
  <c r="F14" i="11"/>
  <c r="F13" i="11"/>
  <c r="F12" i="11"/>
  <c r="F11" i="11"/>
  <c r="F10" i="11"/>
  <c r="F9" i="11"/>
  <c r="F8" i="11"/>
  <c r="D9" i="11"/>
  <c r="D10" i="11"/>
  <c r="D11" i="11"/>
  <c r="D12" i="11"/>
  <c r="D13" i="11"/>
  <c r="D14" i="11"/>
  <c r="D15" i="11"/>
  <c r="D16" i="11"/>
  <c r="D8" i="11"/>
  <c r="J16" i="10"/>
  <c r="J15" i="10"/>
  <c r="J14" i="10"/>
  <c r="J13" i="10"/>
  <c r="J12" i="10"/>
  <c r="J11" i="10"/>
  <c r="J10" i="10"/>
  <c r="J9" i="10"/>
  <c r="J8" i="10"/>
  <c r="H16" i="10"/>
  <c r="H15" i="10"/>
  <c r="H14" i="10"/>
  <c r="H13" i="10"/>
  <c r="H12" i="10"/>
  <c r="H11" i="10"/>
  <c r="H10" i="10"/>
  <c r="H9" i="10"/>
  <c r="H8" i="10"/>
  <c r="F16" i="10"/>
  <c r="F15" i="10"/>
  <c r="F14" i="10"/>
  <c r="F13" i="10"/>
  <c r="F12" i="10"/>
  <c r="F11" i="10"/>
  <c r="F10" i="10"/>
  <c r="F9" i="10"/>
  <c r="F8" i="10"/>
  <c r="D9" i="10"/>
  <c r="D10" i="10"/>
  <c r="D11" i="10"/>
  <c r="D12" i="10"/>
  <c r="D13" i="10"/>
  <c r="D14" i="10"/>
  <c r="D15" i="10"/>
  <c r="D16" i="10"/>
  <c r="D8" i="10"/>
  <c r="J16" i="9"/>
  <c r="J15" i="9"/>
  <c r="J14" i="9"/>
  <c r="J13" i="9"/>
  <c r="J12" i="9"/>
  <c r="J11" i="9"/>
  <c r="J10" i="9"/>
  <c r="J9" i="9"/>
  <c r="J8" i="9"/>
  <c r="H16" i="9"/>
  <c r="H15" i="9"/>
  <c r="H14" i="9"/>
  <c r="H13" i="9"/>
  <c r="H12" i="9"/>
  <c r="H11" i="9"/>
  <c r="H10" i="9"/>
  <c r="H9" i="9"/>
  <c r="H8" i="9"/>
  <c r="F16" i="9"/>
  <c r="F15" i="9"/>
  <c r="F14" i="9"/>
  <c r="F13" i="9"/>
  <c r="F12" i="9"/>
  <c r="F11" i="9"/>
  <c r="F10" i="9"/>
  <c r="F9" i="9"/>
  <c r="F8" i="9"/>
  <c r="D9" i="9"/>
  <c r="D10" i="9"/>
  <c r="D11" i="9"/>
  <c r="D12" i="9"/>
  <c r="D13" i="9"/>
  <c r="D14" i="9"/>
  <c r="D15" i="9"/>
  <c r="D16" i="9"/>
  <c r="D8" i="9"/>
  <c r="J16" i="8"/>
  <c r="J15" i="8"/>
  <c r="J14" i="8"/>
  <c r="J13" i="8"/>
  <c r="J12" i="8"/>
  <c r="J11" i="8"/>
  <c r="J10" i="8"/>
  <c r="J9" i="8"/>
  <c r="J8" i="8"/>
  <c r="H16" i="8"/>
  <c r="H15" i="8"/>
  <c r="H14" i="8"/>
  <c r="H13" i="8"/>
  <c r="H12" i="8"/>
  <c r="H11" i="8"/>
  <c r="H10" i="8"/>
  <c r="H9" i="8"/>
  <c r="H8" i="8"/>
  <c r="F16" i="8"/>
  <c r="F15" i="8"/>
  <c r="F14" i="8"/>
  <c r="F13" i="8"/>
  <c r="F12" i="8"/>
  <c r="F11" i="8"/>
  <c r="F10" i="8"/>
  <c r="F9" i="8"/>
  <c r="F8" i="8"/>
  <c r="D9" i="8"/>
  <c r="D10" i="8"/>
  <c r="D11" i="8"/>
  <c r="D12" i="8"/>
  <c r="D13" i="8"/>
  <c r="D14" i="8"/>
  <c r="D15" i="8"/>
  <c r="D16" i="8"/>
  <c r="D8" i="8"/>
  <c r="J16" i="6"/>
  <c r="J15" i="6"/>
  <c r="J14" i="6"/>
  <c r="J13" i="6"/>
  <c r="J12" i="6"/>
  <c r="J11" i="6"/>
  <c r="J10" i="6"/>
  <c r="J9" i="6"/>
  <c r="J8" i="6"/>
  <c r="H16" i="6"/>
  <c r="H15" i="6"/>
  <c r="H14" i="6"/>
  <c r="H13" i="6"/>
  <c r="H12" i="6"/>
  <c r="H11" i="6"/>
  <c r="H10" i="6"/>
  <c r="H9" i="6"/>
  <c r="H8" i="6"/>
  <c r="F16" i="6"/>
  <c r="F15" i="6"/>
  <c r="F14" i="6"/>
  <c r="F13" i="6"/>
  <c r="F12" i="6"/>
  <c r="F11" i="6"/>
  <c r="F10" i="6"/>
  <c r="F9" i="6"/>
  <c r="F8" i="6"/>
  <c r="D9" i="6"/>
  <c r="D10" i="6"/>
  <c r="D11" i="6"/>
  <c r="D12" i="6"/>
  <c r="D13" i="6"/>
  <c r="D14" i="6"/>
  <c r="D15" i="6"/>
  <c r="D16" i="6"/>
  <c r="D8" i="6"/>
  <c r="J24" i="14"/>
  <c r="H24" i="14"/>
  <c r="F24" i="14"/>
  <c r="D24" i="14"/>
  <c r="J24" i="13"/>
  <c r="H24" i="13"/>
  <c r="F24" i="13"/>
  <c r="D24" i="13"/>
  <c r="J24" i="12"/>
  <c r="H24" i="12"/>
  <c r="F24" i="12"/>
  <c r="D24" i="12"/>
  <c r="J24" i="11"/>
  <c r="H24" i="11"/>
  <c r="F24" i="11"/>
  <c r="D24" i="11"/>
  <c r="J24" i="10"/>
  <c r="H24" i="10"/>
  <c r="F24" i="10"/>
  <c r="D24" i="10"/>
  <c r="J24" i="8"/>
  <c r="H24" i="8"/>
  <c r="F24" i="8"/>
  <c r="D24" i="8"/>
  <c r="J24" i="6"/>
  <c r="H24" i="6"/>
  <c r="F24" i="6"/>
  <c r="C3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2" i="5"/>
  <c r="D24" i="6"/>
  <c r="V20" i="14" l="1"/>
  <c r="U20" i="14"/>
  <c r="T20" i="14"/>
  <c r="S20" i="14"/>
  <c r="R20" i="14"/>
  <c r="Q20" i="14"/>
  <c r="P20" i="14"/>
  <c r="N20" i="14"/>
  <c r="V20" i="13"/>
  <c r="U20" i="13"/>
  <c r="T20" i="13"/>
  <c r="S20" i="13"/>
  <c r="R20" i="13"/>
  <c r="Q20" i="13"/>
  <c r="P20" i="13"/>
  <c r="N20" i="13"/>
  <c r="V20" i="11"/>
  <c r="U20" i="11"/>
  <c r="T20" i="11"/>
  <c r="S20" i="11"/>
  <c r="R20" i="11"/>
  <c r="Q20" i="11"/>
  <c r="P20" i="11"/>
  <c r="N20" i="11"/>
  <c r="V20" i="9"/>
  <c r="U20" i="9"/>
  <c r="T20" i="9"/>
  <c r="S20" i="9"/>
  <c r="R20" i="9"/>
  <c r="Q20" i="9"/>
  <c r="P20" i="9"/>
  <c r="N20" i="9"/>
  <c r="P20" i="6"/>
  <c r="Q20" i="6"/>
  <c r="R20" i="6"/>
  <c r="S20" i="6"/>
  <c r="T20" i="6"/>
  <c r="U20" i="6"/>
  <c r="V20" i="6"/>
  <c r="N20" i="6"/>
  <c r="C2" i="4" l="1"/>
  <c r="D3" i="4"/>
  <c r="D4" i="4" s="1"/>
  <c r="D5" i="4" s="1"/>
  <c r="D6" i="4" s="1"/>
  <c r="D7" i="4" s="1"/>
  <c r="D8" i="4" s="1"/>
  <c r="D9" i="4" s="1"/>
  <c r="D10" i="4" s="1"/>
  <c r="D11" i="4" s="1"/>
  <c r="D12" i="4" s="1"/>
  <c r="D1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W37" i="3"/>
  <c r="AU37" i="3"/>
  <c r="AS37" i="3"/>
  <c r="AQ37" i="3"/>
  <c r="BF36" i="3"/>
  <c r="BD36" i="3"/>
  <c r="BB36" i="3"/>
  <c r="AZ36" i="3"/>
  <c r="AZ35" i="3"/>
  <c r="AZ34" i="3"/>
  <c r="AZ33" i="3"/>
  <c r="AZ32" i="3"/>
  <c r="AZ31" i="3"/>
  <c r="AZ30" i="3"/>
  <c r="AZ29" i="3"/>
  <c r="AZ28" i="3"/>
  <c r="AZ27" i="3"/>
  <c r="AZ26" i="3"/>
  <c r="AZ25" i="3"/>
  <c r="AZ24" i="3"/>
  <c r="AZ23" i="3"/>
  <c r="AZ22" i="3"/>
  <c r="AZ21" i="3"/>
  <c r="AZ20" i="3"/>
  <c r="AZ19" i="3"/>
  <c r="AZ18" i="3"/>
  <c r="AZ17" i="3"/>
  <c r="AZ16" i="3"/>
  <c r="AZ15" i="3"/>
  <c r="AZ14" i="3"/>
  <c r="AZ13" i="3"/>
  <c r="AZ12" i="3"/>
  <c r="AZ11" i="3"/>
  <c r="AZ10" i="3"/>
  <c r="AZ9" i="3"/>
  <c r="AZ8" i="3"/>
  <c r="AZ7" i="3"/>
  <c r="BF6" i="3"/>
  <c r="BD6" i="3"/>
  <c r="BB6" i="3"/>
  <c r="AZ6" i="3"/>
  <c r="AZ5" i="3"/>
  <c r="BF4" i="3"/>
  <c r="BD4" i="3"/>
  <c r="BB4" i="3"/>
  <c r="AZ4" i="3"/>
  <c r="AZ3" i="3"/>
  <c r="BF2" i="3"/>
  <c r="BD2" i="3"/>
  <c r="BB2" i="3"/>
  <c r="AZ2" i="3"/>
  <c r="AE37" i="3"/>
  <c r="AC37" i="3"/>
  <c r="AA37" i="3"/>
  <c r="Y37" i="3"/>
  <c r="AN36" i="3"/>
  <c r="AL36" i="3"/>
  <c r="AJ36" i="3"/>
  <c r="AH36" i="3"/>
  <c r="AH35" i="3"/>
  <c r="AH34" i="3"/>
  <c r="AH33" i="3"/>
  <c r="AH32" i="3"/>
  <c r="AH31" i="3"/>
  <c r="AH30" i="3"/>
  <c r="AH29" i="3"/>
  <c r="AH28" i="3"/>
  <c r="AH27" i="3"/>
  <c r="AH26" i="3"/>
  <c r="AH25" i="3"/>
  <c r="AH24" i="3"/>
  <c r="AH23" i="3"/>
  <c r="AH22" i="3"/>
  <c r="AH21" i="3"/>
  <c r="AH20" i="3"/>
  <c r="AH19" i="3"/>
  <c r="AH18" i="3"/>
  <c r="AH17" i="3"/>
  <c r="AH16" i="3"/>
  <c r="AH15" i="3"/>
  <c r="AH14" i="3"/>
  <c r="AH13" i="3"/>
  <c r="AH12" i="3"/>
  <c r="AH11" i="3"/>
  <c r="AH10" i="3"/>
  <c r="AH9" i="3"/>
  <c r="AH8" i="3"/>
  <c r="AH7" i="3"/>
  <c r="AN6" i="3"/>
  <c r="AL6" i="3"/>
  <c r="AJ6" i="3"/>
  <c r="AH6" i="3"/>
  <c r="AH5" i="3"/>
  <c r="AN4" i="3"/>
  <c r="AL4" i="3"/>
  <c r="AJ4" i="3"/>
  <c r="AH4" i="3"/>
  <c r="AH3" i="3"/>
  <c r="AN2" i="3"/>
  <c r="AL2" i="3"/>
  <c r="AJ2" i="3"/>
  <c r="AH2" i="3"/>
  <c r="V37" i="3"/>
  <c r="R37" i="3"/>
  <c r="P37" i="3"/>
  <c r="M37" i="3"/>
  <c r="K37" i="3"/>
  <c r="I37" i="3"/>
  <c r="G37" i="3"/>
  <c r="V36" i="3"/>
  <c r="T36" i="3"/>
  <c r="R36" i="3"/>
  <c r="P36" i="3"/>
  <c r="V6" i="3"/>
  <c r="T6" i="3"/>
  <c r="R6" i="3"/>
  <c r="P6" i="3"/>
  <c r="V4" i="3"/>
  <c r="T4" i="3"/>
  <c r="R4" i="3"/>
  <c r="P4" i="3"/>
  <c r="V3" i="3"/>
  <c r="T3" i="3"/>
  <c r="R3" i="3"/>
  <c r="P3" i="3"/>
  <c r="V2" i="3"/>
  <c r="T2" i="3"/>
  <c r="R2" i="3"/>
  <c r="P2" i="3"/>
  <c r="BX37" i="3"/>
  <c r="BT37" i="3"/>
  <c r="BR37" i="3"/>
  <c r="BX36" i="3"/>
  <c r="BV36" i="3"/>
  <c r="BT36" i="3"/>
  <c r="BR36" i="3"/>
  <c r="BX35" i="3"/>
  <c r="BT35" i="3"/>
  <c r="BR35" i="3"/>
  <c r="BX34" i="3"/>
  <c r="BT34" i="3"/>
  <c r="BR34" i="3"/>
  <c r="BX33" i="3"/>
  <c r="BT33" i="3"/>
  <c r="BR33" i="3"/>
  <c r="BX32" i="3"/>
  <c r="BT32" i="3"/>
  <c r="BR32" i="3"/>
  <c r="BX31" i="3"/>
  <c r="BT31" i="3"/>
  <c r="BR31" i="3"/>
  <c r="BX30" i="3"/>
  <c r="BT30" i="3"/>
  <c r="BR30" i="3"/>
  <c r="BX29" i="3"/>
  <c r="BT29" i="3"/>
  <c r="BR29" i="3"/>
  <c r="BX28" i="3"/>
  <c r="BT28" i="3"/>
  <c r="BR28" i="3"/>
  <c r="BX27" i="3"/>
  <c r="BT27" i="3"/>
  <c r="BR27" i="3"/>
  <c r="BX26" i="3"/>
  <c r="BT26" i="3"/>
  <c r="BR26" i="3"/>
  <c r="BX25" i="3"/>
  <c r="BT25" i="3"/>
  <c r="BR25" i="3"/>
  <c r="BX24" i="3"/>
  <c r="BT24" i="3"/>
  <c r="BR24" i="3"/>
  <c r="BX23" i="3"/>
  <c r="BT23" i="3"/>
  <c r="BR23" i="3"/>
  <c r="BX22" i="3"/>
  <c r="BT22" i="3"/>
  <c r="BR22" i="3"/>
  <c r="BX21" i="3"/>
  <c r="BT21" i="3"/>
  <c r="BR21" i="3"/>
  <c r="BX20" i="3"/>
  <c r="BT20" i="3"/>
  <c r="BR20" i="3"/>
  <c r="BX19" i="3"/>
  <c r="BT19" i="3"/>
  <c r="BR19" i="3"/>
  <c r="BX18" i="3"/>
  <c r="BT18" i="3"/>
  <c r="BR18" i="3"/>
  <c r="BX17" i="3"/>
  <c r="BT17" i="3"/>
  <c r="BR17" i="3"/>
  <c r="BX16" i="3"/>
  <c r="BT16" i="3"/>
  <c r="BR16" i="3"/>
  <c r="BX15" i="3"/>
  <c r="BT15" i="3"/>
  <c r="BR15" i="3"/>
  <c r="BX14" i="3"/>
  <c r="BT14" i="3"/>
  <c r="BR14" i="3"/>
  <c r="BX13" i="3"/>
  <c r="BT13" i="3"/>
  <c r="BR13" i="3"/>
  <c r="BX12" i="3"/>
  <c r="BT12" i="3"/>
  <c r="BR12" i="3"/>
  <c r="BX11" i="3"/>
  <c r="BT11" i="3"/>
  <c r="BR11" i="3"/>
  <c r="BX10" i="3"/>
  <c r="BT10" i="3"/>
  <c r="BR10" i="3"/>
  <c r="BX9" i="3"/>
  <c r="BT9" i="3"/>
  <c r="BR9" i="3"/>
  <c r="BX8" i="3"/>
  <c r="BT8" i="3"/>
  <c r="BR8" i="3"/>
  <c r="BX7" i="3"/>
  <c r="BT7" i="3"/>
  <c r="BR7" i="3"/>
  <c r="BX6" i="3"/>
  <c r="BV6" i="3"/>
  <c r="BT6" i="3"/>
  <c r="BR6" i="3"/>
  <c r="BX5" i="3"/>
  <c r="BT5" i="3"/>
  <c r="BR5" i="3"/>
  <c r="BX4" i="3"/>
  <c r="BV4" i="3"/>
  <c r="BT4" i="3"/>
  <c r="BR4" i="3"/>
  <c r="BX3" i="3"/>
  <c r="BT3" i="3"/>
  <c r="BR3" i="3"/>
  <c r="BX2" i="3"/>
  <c r="BV2" i="3"/>
  <c r="BT2" i="3"/>
  <c r="BR2" i="3"/>
  <c r="DL36" i="1"/>
  <c r="AQ36" i="3" s="1"/>
  <c r="CM36" i="1"/>
  <c r="Y36" i="3" s="1"/>
  <c r="AS36" i="1"/>
  <c r="G36" i="3" s="1"/>
  <c r="BO37" i="3"/>
  <c r="BM37" i="3"/>
  <c r="BK37" i="3"/>
  <c r="BI37" i="3"/>
  <c r="BO36" i="3"/>
  <c r="BM36" i="3"/>
  <c r="BK36" i="3"/>
  <c r="BI36" i="3"/>
  <c r="BO35" i="3"/>
  <c r="BK35" i="3"/>
  <c r="BI35" i="3"/>
  <c r="BO34" i="3"/>
  <c r="BK34" i="3"/>
  <c r="BI34" i="3"/>
  <c r="BO33" i="3"/>
  <c r="BK33" i="3"/>
  <c r="BI33" i="3"/>
  <c r="BO32" i="3"/>
  <c r="BK32" i="3"/>
  <c r="BI32" i="3"/>
  <c r="BO31" i="3"/>
  <c r="BK31" i="3"/>
  <c r="BI31" i="3"/>
  <c r="BO30" i="3"/>
  <c r="BK30" i="3"/>
  <c r="BI30" i="3"/>
  <c r="BO29" i="3"/>
  <c r="BK29" i="3"/>
  <c r="BI29" i="3"/>
  <c r="BO28" i="3"/>
  <c r="BK28" i="3"/>
  <c r="BI28" i="3"/>
  <c r="BO27" i="3"/>
  <c r="BK27" i="3"/>
  <c r="BI27" i="3"/>
  <c r="BO26" i="3"/>
  <c r="BK26" i="3"/>
  <c r="BI26" i="3"/>
  <c r="BO25" i="3"/>
  <c r="BK25" i="3"/>
  <c r="BI25" i="3"/>
  <c r="BO24" i="3"/>
  <c r="BK24" i="3"/>
  <c r="BI24" i="3"/>
  <c r="BO23" i="3"/>
  <c r="BK23" i="3"/>
  <c r="BI23" i="3"/>
  <c r="BO22" i="3"/>
  <c r="BK22" i="3"/>
  <c r="BI22" i="3"/>
  <c r="BO21" i="3"/>
  <c r="BK21" i="3"/>
  <c r="BI21" i="3"/>
  <c r="BO20" i="3"/>
  <c r="BK20" i="3"/>
  <c r="BI20" i="3"/>
  <c r="BO19" i="3"/>
  <c r="BK19" i="3"/>
  <c r="BI19" i="3"/>
  <c r="BO18" i="3"/>
  <c r="BK18" i="3"/>
  <c r="BI18" i="3"/>
  <c r="BO17" i="3"/>
  <c r="BK17" i="3"/>
  <c r="BI17" i="3"/>
  <c r="BO16" i="3"/>
  <c r="BK16" i="3"/>
  <c r="BI16" i="3"/>
  <c r="BO15" i="3"/>
  <c r="BK15" i="3"/>
  <c r="BI15" i="3"/>
  <c r="BO14" i="3"/>
  <c r="BK14" i="3"/>
  <c r="BI14" i="3"/>
  <c r="BO13" i="3"/>
  <c r="BK13" i="3"/>
  <c r="BI13" i="3"/>
  <c r="BO12" i="3"/>
  <c r="BK12" i="3"/>
  <c r="BI12" i="3"/>
  <c r="BO11" i="3"/>
  <c r="BK11" i="3"/>
  <c r="BI11" i="3"/>
  <c r="BO10" i="3"/>
  <c r="BK10" i="3"/>
  <c r="BI10" i="3"/>
  <c r="BO9" i="3"/>
  <c r="BK9" i="3"/>
  <c r="BI9" i="3"/>
  <c r="BO8" i="3"/>
  <c r="BK8" i="3"/>
  <c r="BI8" i="3"/>
  <c r="BO7" i="3"/>
  <c r="BK7" i="3"/>
  <c r="BI7" i="3"/>
  <c r="BO6" i="3"/>
  <c r="BM6" i="3"/>
  <c r="BK6" i="3"/>
  <c r="BI6" i="3"/>
  <c r="BO5" i="3"/>
  <c r="BK5" i="3"/>
  <c r="BI5" i="3"/>
  <c r="BO4" i="3"/>
  <c r="BM4" i="3"/>
  <c r="BK4" i="3"/>
  <c r="BI4" i="3"/>
  <c r="BO3" i="3"/>
  <c r="BO2" i="3"/>
  <c r="BM2" i="3"/>
  <c r="BK3" i="3"/>
  <c r="BK2" i="3"/>
  <c r="BI3" i="3"/>
  <c r="BI2" i="3"/>
  <c r="A37" i="3"/>
  <c r="A35" i="3"/>
  <c r="B35" i="3" s="1"/>
  <c r="A34" i="3"/>
  <c r="B34" i="3" s="1"/>
  <c r="A33" i="3"/>
  <c r="B33" i="3" s="1"/>
  <c r="A32" i="3"/>
  <c r="B32" i="3" s="1"/>
  <c r="A31" i="3"/>
  <c r="B31" i="3" s="1"/>
  <c r="A30" i="3"/>
  <c r="B30" i="3" s="1"/>
  <c r="A29" i="3"/>
  <c r="B29" i="3" s="1"/>
  <c r="A28" i="3"/>
  <c r="B28" i="3" s="1"/>
  <c r="A27" i="3"/>
  <c r="B27" i="3" s="1"/>
  <c r="A26" i="3"/>
  <c r="B26" i="3" s="1"/>
  <c r="A25" i="3"/>
  <c r="B25" i="3" s="1"/>
  <c r="A24" i="3"/>
  <c r="B24" i="3" s="1"/>
  <c r="A23" i="3"/>
  <c r="B23" i="3" s="1"/>
  <c r="A22" i="3"/>
  <c r="B22" i="3" s="1"/>
  <c r="A21" i="3"/>
  <c r="B21" i="3" s="1"/>
  <c r="A20" i="3"/>
  <c r="B20" i="3" s="1"/>
  <c r="A19" i="3"/>
  <c r="B19" i="3" s="1"/>
  <c r="A18" i="3"/>
  <c r="B18" i="3" s="1"/>
  <c r="A17" i="3"/>
  <c r="B17" i="3" s="1"/>
  <c r="A16" i="3"/>
  <c r="B16" i="3" s="1"/>
  <c r="A15" i="3"/>
  <c r="B15" i="3" s="1"/>
  <c r="A14" i="3"/>
  <c r="B14" i="3" s="1"/>
  <c r="A13" i="3"/>
  <c r="B13" i="3" s="1"/>
  <c r="A12" i="3"/>
  <c r="B12" i="3" s="1"/>
  <c r="A11" i="3"/>
  <c r="B11" i="3" s="1"/>
  <c r="A10" i="3"/>
  <c r="B10" i="3" s="1"/>
  <c r="A9" i="3"/>
  <c r="B9" i="3" s="1"/>
  <c r="A8" i="3"/>
  <c r="B8" i="3" s="1"/>
  <c r="A7" i="3"/>
  <c r="A5" i="3"/>
  <c r="A3" i="3"/>
  <c r="E2" i="3"/>
  <c r="D2" i="3"/>
  <c r="C2" i="3"/>
  <c r="C1" i="3"/>
  <c r="A37" i="2"/>
  <c r="A35" i="2"/>
  <c r="B35" i="2" s="1"/>
  <c r="A34" i="2"/>
  <c r="B34" i="2" s="1"/>
  <c r="A33" i="2"/>
  <c r="B33" i="2" s="1"/>
  <c r="A32" i="2"/>
  <c r="B32" i="2" s="1"/>
  <c r="A31" i="2"/>
  <c r="B31" i="2" s="1"/>
  <c r="A30" i="2"/>
  <c r="B30" i="2" s="1"/>
  <c r="A29" i="2"/>
  <c r="B29" i="2" s="1"/>
  <c r="A28" i="2"/>
  <c r="B28" i="2" s="1"/>
  <c r="A27" i="2"/>
  <c r="B27" i="2" s="1"/>
  <c r="A26" i="2"/>
  <c r="B26" i="2" s="1"/>
  <c r="A25" i="2"/>
  <c r="B25" i="2" s="1"/>
  <c r="A24" i="2"/>
  <c r="B24" i="2" s="1"/>
  <c r="A23" i="2"/>
  <c r="B23" i="2" s="1"/>
  <c r="A22" i="2"/>
  <c r="B22" i="2" s="1"/>
  <c r="A21" i="2"/>
  <c r="B21" i="2" s="1"/>
  <c r="A20" i="2"/>
  <c r="B20" i="2" s="1"/>
  <c r="A19" i="2"/>
  <c r="B19" i="2" s="1"/>
  <c r="A18" i="2"/>
  <c r="B18" i="2" s="1"/>
  <c r="A17" i="2"/>
  <c r="B17" i="2" s="1"/>
  <c r="A16" i="2"/>
  <c r="B16" i="2" s="1"/>
  <c r="A15" i="2"/>
  <c r="B15" i="2" s="1"/>
  <c r="A14" i="2"/>
  <c r="B14" i="2" s="1"/>
  <c r="A13" i="2"/>
  <c r="B13" i="2" s="1"/>
  <c r="A12" i="2"/>
  <c r="B12" i="2" s="1"/>
  <c r="A11" i="2"/>
  <c r="B11" i="2" s="1"/>
  <c r="A10" i="2"/>
  <c r="B10" i="2" s="1"/>
  <c r="A9" i="2"/>
  <c r="B9" i="2" s="1"/>
  <c r="A8" i="2"/>
  <c r="A7" i="2"/>
  <c r="A5" i="2"/>
  <c r="A3" i="2"/>
  <c r="CS36" i="1"/>
  <c r="AE36" i="3" s="1"/>
  <c r="CQ36" i="1"/>
  <c r="AC36" i="3" s="1"/>
  <c r="CO36" i="1"/>
  <c r="AA36" i="3" s="1"/>
  <c r="CM35" i="1"/>
  <c r="Y35" i="3" s="1"/>
  <c r="CM34" i="1"/>
  <c r="Y34" i="3" s="1"/>
  <c r="CM33" i="1"/>
  <c r="Y33" i="3" s="1"/>
  <c r="CM32" i="1"/>
  <c r="Y32" i="3" s="1"/>
  <c r="CM31" i="1"/>
  <c r="Y31" i="3" s="1"/>
  <c r="CM30" i="1"/>
  <c r="Y30" i="3" s="1"/>
  <c r="CM29" i="1"/>
  <c r="Y29" i="3" s="1"/>
  <c r="CM28" i="1"/>
  <c r="Y28" i="3" s="1"/>
  <c r="CM27" i="1"/>
  <c r="Y27" i="3" s="1"/>
  <c r="CM26" i="1"/>
  <c r="Y26" i="3" s="1"/>
  <c r="CM25" i="1"/>
  <c r="Y25" i="3" s="1"/>
  <c r="CM24" i="1"/>
  <c r="Y24" i="3" s="1"/>
  <c r="CM23" i="1"/>
  <c r="Y23" i="3" s="1"/>
  <c r="CM22" i="1"/>
  <c r="Y22" i="3" s="1"/>
  <c r="CM21" i="1"/>
  <c r="Y21" i="3" s="1"/>
  <c r="CM20" i="1"/>
  <c r="Y20" i="3" s="1"/>
  <c r="CM19" i="1"/>
  <c r="Y19" i="3" s="1"/>
  <c r="CM18" i="1"/>
  <c r="Y18" i="3" s="1"/>
  <c r="CM17" i="1"/>
  <c r="Y17" i="3" s="1"/>
  <c r="CM16" i="1"/>
  <c r="Y16" i="3" s="1"/>
  <c r="CM15" i="1"/>
  <c r="Y15" i="3" s="1"/>
  <c r="CM14" i="1"/>
  <c r="Y14" i="3" s="1"/>
  <c r="CM13" i="1"/>
  <c r="Y13" i="3" s="1"/>
  <c r="CM12" i="1"/>
  <c r="Y12" i="3" s="1"/>
  <c r="CM11" i="1"/>
  <c r="Y11" i="3" s="1"/>
  <c r="CM10" i="1"/>
  <c r="Y10" i="3" s="1"/>
  <c r="CM9" i="1"/>
  <c r="Y9" i="3" s="1"/>
  <c r="CM8" i="1"/>
  <c r="Y8" i="3" s="1"/>
  <c r="CM7" i="1"/>
  <c r="Y7" i="3" s="1"/>
  <c r="CS6" i="1"/>
  <c r="AE6" i="3" s="1"/>
  <c r="CQ6" i="1"/>
  <c r="AC6" i="3" s="1"/>
  <c r="CO6" i="1"/>
  <c r="AA6" i="3" s="1"/>
  <c r="CM6" i="1"/>
  <c r="Y6" i="3" s="1"/>
  <c r="CM5" i="1"/>
  <c r="Y5" i="3" s="1"/>
  <c r="CS4" i="1"/>
  <c r="AE4" i="3" s="1"/>
  <c r="CQ4" i="1"/>
  <c r="AC4" i="3" s="1"/>
  <c r="CO4" i="1"/>
  <c r="AA4" i="3" s="1"/>
  <c r="CM4" i="1"/>
  <c r="Y4" i="3" s="1"/>
  <c r="CM3" i="1"/>
  <c r="Y3" i="3" s="1"/>
  <c r="CS2" i="1"/>
  <c r="AE2" i="3" s="1"/>
  <c r="CQ2" i="1"/>
  <c r="AC2" i="3" s="1"/>
  <c r="CO2" i="1"/>
  <c r="AA2" i="3" s="1"/>
  <c r="CM2" i="1"/>
  <c r="Y2" i="3" s="1"/>
  <c r="DB37" i="1"/>
  <c r="AN37" i="3" s="1"/>
  <c r="CX37" i="1"/>
  <c r="AJ37" i="3" s="1"/>
  <c r="CV37" i="1"/>
  <c r="AH37" i="3" s="1"/>
  <c r="AY6" i="1"/>
  <c r="M6" i="3" s="1"/>
  <c r="AW6" i="1"/>
  <c r="K6" i="3" s="1"/>
  <c r="AU6" i="1"/>
  <c r="I6" i="3" s="1"/>
  <c r="AS6" i="1"/>
  <c r="G6" i="3" s="1"/>
  <c r="DR36" i="1"/>
  <c r="AW36" i="3" s="1"/>
  <c r="DP36" i="1"/>
  <c r="AU36" i="3" s="1"/>
  <c r="DN36" i="1"/>
  <c r="AS36" i="3" s="1"/>
  <c r="DL35" i="1"/>
  <c r="AQ35" i="3" s="1"/>
  <c r="DL34" i="1"/>
  <c r="AQ34" i="3" s="1"/>
  <c r="DL33" i="1"/>
  <c r="AQ33" i="3" s="1"/>
  <c r="DL32" i="1"/>
  <c r="AQ32" i="3" s="1"/>
  <c r="DL31" i="1"/>
  <c r="AQ31" i="3" s="1"/>
  <c r="DL30" i="1"/>
  <c r="AQ30" i="3" s="1"/>
  <c r="DL29" i="1"/>
  <c r="AQ29" i="3" s="1"/>
  <c r="DL28" i="1"/>
  <c r="AQ28" i="3" s="1"/>
  <c r="DL27" i="1"/>
  <c r="AQ27" i="3" s="1"/>
  <c r="DL26" i="1"/>
  <c r="AQ26" i="3" s="1"/>
  <c r="DL25" i="1"/>
  <c r="AQ25" i="3" s="1"/>
  <c r="DL24" i="1"/>
  <c r="AQ24" i="3" s="1"/>
  <c r="DL23" i="1"/>
  <c r="AQ23" i="3" s="1"/>
  <c r="DL22" i="1"/>
  <c r="AQ22" i="3" s="1"/>
  <c r="DL21" i="1"/>
  <c r="AQ21" i="3" s="1"/>
  <c r="DL20" i="1"/>
  <c r="AQ20" i="3" s="1"/>
  <c r="DL19" i="1"/>
  <c r="AQ19" i="3" s="1"/>
  <c r="DL18" i="1"/>
  <c r="AQ18" i="3" s="1"/>
  <c r="DL17" i="1"/>
  <c r="AQ17" i="3" s="1"/>
  <c r="DL16" i="1"/>
  <c r="AQ16" i="3" s="1"/>
  <c r="DL15" i="1"/>
  <c r="AQ15" i="3" s="1"/>
  <c r="DL14" i="1"/>
  <c r="AQ14" i="3" s="1"/>
  <c r="DL13" i="1"/>
  <c r="AQ13" i="3" s="1"/>
  <c r="DL12" i="1"/>
  <c r="AQ12" i="3" s="1"/>
  <c r="DL11" i="1"/>
  <c r="AQ11" i="3" s="1"/>
  <c r="DL10" i="1"/>
  <c r="AQ10" i="3" s="1"/>
  <c r="DL9" i="1"/>
  <c r="AQ9" i="3" s="1"/>
  <c r="DL8" i="1"/>
  <c r="AQ8" i="3" s="1"/>
  <c r="DL7" i="1"/>
  <c r="AQ7" i="3" s="1"/>
  <c r="DR6" i="1"/>
  <c r="AW6" i="3" s="1"/>
  <c r="DP6" i="1"/>
  <c r="AU6" i="3" s="1"/>
  <c r="DN6" i="1"/>
  <c r="AS6" i="3" s="1"/>
  <c r="DL6" i="1"/>
  <c r="AQ6" i="3" s="1"/>
  <c r="DL5" i="1"/>
  <c r="AQ5" i="3" s="1"/>
  <c r="DR4" i="1"/>
  <c r="AW4" i="3" s="1"/>
  <c r="DP4" i="1"/>
  <c r="AU4" i="3" s="1"/>
  <c r="DN4" i="1"/>
  <c r="AS4" i="3" s="1"/>
  <c r="DL4" i="1"/>
  <c r="AQ4" i="3" s="1"/>
  <c r="DL3" i="1"/>
  <c r="AQ3" i="3" s="1"/>
  <c r="DR2" i="1"/>
  <c r="AW2" i="3" s="1"/>
  <c r="DP2" i="1"/>
  <c r="AU2" i="3" s="1"/>
  <c r="DN2" i="1"/>
  <c r="AS2" i="3" s="1"/>
  <c r="DL2" i="1"/>
  <c r="AQ2" i="3" s="1"/>
  <c r="EA37" i="1"/>
  <c r="BF37" i="3" s="1"/>
  <c r="DW37" i="1"/>
  <c r="BB37" i="3" s="1"/>
  <c r="DU37" i="1"/>
  <c r="AZ37" i="3" s="1"/>
  <c r="AY36" i="1"/>
  <c r="M36" i="3" s="1"/>
  <c r="AY4" i="1"/>
  <c r="M4" i="3" s="1"/>
  <c r="AY3" i="1"/>
  <c r="M3" i="3" s="1"/>
  <c r="AY2" i="1"/>
  <c r="M2" i="3" s="1"/>
  <c r="AW36" i="1"/>
  <c r="K36" i="3" s="1"/>
  <c r="AW4" i="1"/>
  <c r="K4" i="3" s="1"/>
  <c r="AW3" i="1"/>
  <c r="K3" i="3" s="1"/>
  <c r="AW2" i="1"/>
  <c r="K2" i="3" s="1"/>
  <c r="AU36" i="1"/>
  <c r="I36" i="3" s="1"/>
  <c r="AU4" i="1"/>
  <c r="I4" i="3" s="1"/>
  <c r="AU3" i="1"/>
  <c r="I3" i="3" s="1"/>
  <c r="AU2" i="1"/>
  <c r="I2" i="3" s="1"/>
  <c r="AS4" i="1"/>
  <c r="G4" i="3" s="1"/>
  <c r="AS2" i="1"/>
  <c r="G2" i="3" s="1"/>
  <c r="AS3" i="1"/>
  <c r="G3" i="3" s="1"/>
  <c r="E2" i="2"/>
  <c r="J35" i="1"/>
  <c r="BM35" i="3" s="1"/>
  <c r="J34" i="1"/>
  <c r="BM34" i="3" s="1"/>
  <c r="J33" i="1"/>
  <c r="BM33" i="3" s="1"/>
  <c r="J32" i="1"/>
  <c r="BM32" i="3" s="1"/>
  <c r="J31" i="1"/>
  <c r="BM31" i="3" s="1"/>
  <c r="J30" i="1"/>
  <c r="BM30" i="3" s="1"/>
  <c r="J29" i="1"/>
  <c r="BM29" i="3" s="1"/>
  <c r="J28" i="1"/>
  <c r="BM28" i="3" s="1"/>
  <c r="J27" i="1"/>
  <c r="BM27" i="3" s="1"/>
  <c r="J26" i="1"/>
  <c r="BM26" i="3" s="1"/>
  <c r="J25" i="1"/>
  <c r="BM25" i="3" s="1"/>
  <c r="J24" i="1"/>
  <c r="BM24" i="3" s="1"/>
  <c r="J23" i="1"/>
  <c r="BM23" i="3" s="1"/>
  <c r="J22" i="1"/>
  <c r="BM22" i="3" s="1"/>
  <c r="J21" i="1"/>
  <c r="BM21" i="3" s="1"/>
  <c r="J20" i="1"/>
  <c r="BM20" i="3" s="1"/>
  <c r="J19" i="1"/>
  <c r="BM19" i="3" s="1"/>
  <c r="J18" i="1"/>
  <c r="BM18" i="3" s="1"/>
  <c r="J17" i="1"/>
  <c r="BM17" i="3" s="1"/>
  <c r="J16" i="1"/>
  <c r="BM16" i="3" s="1"/>
  <c r="J15" i="1"/>
  <c r="BM15" i="3" s="1"/>
  <c r="J14" i="1"/>
  <c r="BM14" i="3" s="1"/>
  <c r="J13" i="1"/>
  <c r="BM13" i="3" s="1"/>
  <c r="J12" i="1"/>
  <c r="BM12" i="3" s="1"/>
  <c r="J11" i="1"/>
  <c r="BM11" i="3" s="1"/>
  <c r="J10" i="1"/>
  <c r="BM10" i="3" s="1"/>
  <c r="J9" i="1"/>
  <c r="BM9" i="3" s="1"/>
  <c r="J8" i="1"/>
  <c r="BM8" i="3" s="1"/>
  <c r="J7" i="1"/>
  <c r="BM7" i="3" s="1"/>
  <c r="J5" i="1"/>
  <c r="BM5" i="3" s="1"/>
  <c r="J3" i="1"/>
  <c r="BM3" i="3" s="1"/>
  <c r="B8" i="2" l="1"/>
  <c r="A18" i="4"/>
  <c r="A19" i="4" s="1"/>
  <c r="A20" i="4" s="1"/>
  <c r="A21" i="4" s="1"/>
  <c r="A22" i="4" s="1"/>
  <c r="C16" i="4"/>
  <c r="B16" i="4" s="1"/>
  <c r="C15" i="4"/>
  <c r="C13" i="4"/>
  <c r="C14" i="4"/>
  <c r="B14" i="4" s="1"/>
  <c r="D13" i="4"/>
  <c r="D14" i="4" s="1"/>
  <c r="D15" i="4" s="1"/>
  <c r="D16" i="4" s="1"/>
  <c r="D17" i="4" s="1"/>
  <c r="B12" i="4"/>
  <c r="C3" i="4"/>
  <c r="D36" i="1"/>
  <c r="C36" i="1"/>
  <c r="D36" i="3" s="1"/>
  <c r="B36" i="1"/>
  <c r="C36" i="3" s="1"/>
  <c r="D37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C6" i="1"/>
  <c r="D6" i="3" s="1"/>
  <c r="B6" i="1"/>
  <c r="C6" i="3" s="1"/>
  <c r="D5" i="1"/>
  <c r="D4" i="1"/>
  <c r="D3" i="1"/>
  <c r="B13" i="4" l="1"/>
  <c r="E13" i="2"/>
  <c r="E13" i="3"/>
  <c r="E21" i="2"/>
  <c r="E21" i="3"/>
  <c r="E29" i="2"/>
  <c r="E29" i="3"/>
  <c r="B15" i="4"/>
  <c r="E14" i="2"/>
  <c r="E14" i="3"/>
  <c r="E30" i="2"/>
  <c r="E30" i="3"/>
  <c r="E7" i="2"/>
  <c r="E7" i="3"/>
  <c r="E15" i="2"/>
  <c r="E15" i="3"/>
  <c r="E23" i="2"/>
  <c r="E23" i="3"/>
  <c r="E31" i="2"/>
  <c r="E31" i="3"/>
  <c r="E36" i="2"/>
  <c r="E36" i="3"/>
  <c r="A23" i="4"/>
  <c r="A24" i="4" s="1"/>
  <c r="A25" i="4" s="1"/>
  <c r="A26" i="4" s="1"/>
  <c r="A27" i="4" s="1"/>
  <c r="C21" i="4"/>
  <c r="C20" i="4"/>
  <c r="C18" i="4"/>
  <c r="C19" i="4"/>
  <c r="E8" i="2"/>
  <c r="E8" i="3"/>
  <c r="E16" i="2"/>
  <c r="E16" i="3"/>
  <c r="E24" i="2"/>
  <c r="E24" i="3"/>
  <c r="E32" i="2"/>
  <c r="E32" i="3"/>
  <c r="E20" i="2"/>
  <c r="E20" i="3"/>
  <c r="E28" i="2"/>
  <c r="E28" i="3"/>
  <c r="E37" i="2"/>
  <c r="E37" i="3"/>
  <c r="E3" i="2"/>
  <c r="E3" i="3"/>
  <c r="E9" i="2"/>
  <c r="E9" i="3"/>
  <c r="E17" i="2"/>
  <c r="E17" i="3"/>
  <c r="E25" i="2"/>
  <c r="E25" i="3"/>
  <c r="E33" i="2"/>
  <c r="E33" i="3"/>
  <c r="E12" i="2"/>
  <c r="E12" i="3"/>
  <c r="E4" i="2"/>
  <c r="E4" i="3"/>
  <c r="E10" i="2"/>
  <c r="E10" i="3"/>
  <c r="E18" i="2"/>
  <c r="E18" i="3"/>
  <c r="E26" i="2"/>
  <c r="E26" i="3"/>
  <c r="E34" i="2"/>
  <c r="E34" i="3"/>
  <c r="D18" i="4"/>
  <c r="D19" i="4" s="1"/>
  <c r="D20" i="4" s="1"/>
  <c r="D21" i="4" s="1"/>
  <c r="D22" i="4" s="1"/>
  <c r="B17" i="4"/>
  <c r="E6" i="2"/>
  <c r="E6" i="3"/>
  <c r="E22" i="2"/>
  <c r="E22" i="3"/>
  <c r="E5" i="2"/>
  <c r="E5" i="3"/>
  <c r="E11" i="2"/>
  <c r="E11" i="3"/>
  <c r="E19" i="2"/>
  <c r="E19" i="3"/>
  <c r="E27" i="2"/>
  <c r="E27" i="3"/>
  <c r="E35" i="2"/>
  <c r="E35" i="3"/>
  <c r="C4" i="4"/>
  <c r="V37" i="2"/>
  <c r="R37" i="2"/>
  <c r="P37" i="2"/>
  <c r="V36" i="2"/>
  <c r="T36" i="2"/>
  <c r="R36" i="2"/>
  <c r="P36" i="2"/>
  <c r="V6" i="2"/>
  <c r="T6" i="2"/>
  <c r="R6" i="2"/>
  <c r="P6" i="2"/>
  <c r="V4" i="2"/>
  <c r="T4" i="2"/>
  <c r="R4" i="2"/>
  <c r="P4" i="2"/>
  <c r="V3" i="2"/>
  <c r="T3" i="2"/>
  <c r="R3" i="2"/>
  <c r="P3" i="2"/>
  <c r="V2" i="2"/>
  <c r="T2" i="2"/>
  <c r="R2" i="2"/>
  <c r="P2" i="2"/>
  <c r="M37" i="2"/>
  <c r="I37" i="2"/>
  <c r="G37" i="2"/>
  <c r="M36" i="2"/>
  <c r="K36" i="2"/>
  <c r="I36" i="2"/>
  <c r="G36" i="2"/>
  <c r="M35" i="2"/>
  <c r="I35" i="2"/>
  <c r="G35" i="2"/>
  <c r="M34" i="2"/>
  <c r="I34" i="2"/>
  <c r="G34" i="2"/>
  <c r="M33" i="2"/>
  <c r="I33" i="2"/>
  <c r="G33" i="2"/>
  <c r="M32" i="2"/>
  <c r="I32" i="2"/>
  <c r="G32" i="2"/>
  <c r="M31" i="2"/>
  <c r="I31" i="2"/>
  <c r="G31" i="2"/>
  <c r="M30" i="2"/>
  <c r="I30" i="2"/>
  <c r="G30" i="2"/>
  <c r="M29" i="2"/>
  <c r="I29" i="2"/>
  <c r="G29" i="2"/>
  <c r="M28" i="2"/>
  <c r="I28" i="2"/>
  <c r="G28" i="2"/>
  <c r="M27" i="2"/>
  <c r="I27" i="2"/>
  <c r="G27" i="2"/>
  <c r="M26" i="2"/>
  <c r="I26" i="2"/>
  <c r="G26" i="2"/>
  <c r="M25" i="2"/>
  <c r="I25" i="2"/>
  <c r="G25" i="2"/>
  <c r="M24" i="2"/>
  <c r="I24" i="2"/>
  <c r="G24" i="2"/>
  <c r="M23" i="2"/>
  <c r="I23" i="2"/>
  <c r="G23" i="2"/>
  <c r="M22" i="2"/>
  <c r="I22" i="2"/>
  <c r="G22" i="2"/>
  <c r="M21" i="2"/>
  <c r="I21" i="2"/>
  <c r="G21" i="2"/>
  <c r="M20" i="2"/>
  <c r="I20" i="2"/>
  <c r="G20" i="2"/>
  <c r="M19" i="2"/>
  <c r="I19" i="2"/>
  <c r="G19" i="2"/>
  <c r="M18" i="2"/>
  <c r="I18" i="2"/>
  <c r="G18" i="2"/>
  <c r="M17" i="2"/>
  <c r="I17" i="2"/>
  <c r="G17" i="2"/>
  <c r="M16" i="2"/>
  <c r="I16" i="2"/>
  <c r="G16" i="2"/>
  <c r="M15" i="2"/>
  <c r="I15" i="2"/>
  <c r="G15" i="2"/>
  <c r="M14" i="2"/>
  <c r="I14" i="2"/>
  <c r="G14" i="2"/>
  <c r="M13" i="2"/>
  <c r="I13" i="2"/>
  <c r="G13" i="2"/>
  <c r="M12" i="2"/>
  <c r="I12" i="2"/>
  <c r="G12" i="2"/>
  <c r="M11" i="2"/>
  <c r="I11" i="2"/>
  <c r="G11" i="2"/>
  <c r="M10" i="2"/>
  <c r="I10" i="2"/>
  <c r="G10" i="2"/>
  <c r="M9" i="2"/>
  <c r="I9" i="2"/>
  <c r="G9" i="2"/>
  <c r="M8" i="2"/>
  <c r="I8" i="2"/>
  <c r="G8" i="2"/>
  <c r="M7" i="2"/>
  <c r="I7" i="2"/>
  <c r="G7" i="2"/>
  <c r="M6" i="2"/>
  <c r="K6" i="2"/>
  <c r="I6" i="2"/>
  <c r="G6" i="2"/>
  <c r="M5" i="2"/>
  <c r="I5" i="2"/>
  <c r="G5" i="2"/>
  <c r="M4" i="2"/>
  <c r="K4" i="2"/>
  <c r="I4" i="2"/>
  <c r="G4" i="2"/>
  <c r="M3" i="2"/>
  <c r="I3" i="2"/>
  <c r="G3" i="2"/>
  <c r="M2" i="2"/>
  <c r="K2" i="2"/>
  <c r="I2" i="2"/>
  <c r="G2" i="2"/>
  <c r="D36" i="2"/>
  <c r="C36" i="2"/>
  <c r="D6" i="2"/>
  <c r="C6" i="2"/>
  <c r="D2" i="2"/>
  <c r="C2" i="2"/>
  <c r="C1" i="2"/>
  <c r="B37" i="1"/>
  <c r="C37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4" i="1"/>
  <c r="B4" i="1"/>
  <c r="C5" i="1"/>
  <c r="C3" i="1"/>
  <c r="B3" i="1"/>
  <c r="BG37" i="1"/>
  <c r="BI37" i="1"/>
  <c r="BE37" i="1"/>
  <c r="BF37" i="1"/>
  <c r="BC37" i="1"/>
  <c r="BH35" i="1"/>
  <c r="V35" i="3" s="1"/>
  <c r="BD35" i="1"/>
  <c r="R35" i="3" s="1"/>
  <c r="BB35" i="1"/>
  <c r="P35" i="3" s="1"/>
  <c r="BH34" i="1"/>
  <c r="V34" i="3" s="1"/>
  <c r="BD34" i="1"/>
  <c r="R34" i="3" s="1"/>
  <c r="BB34" i="1"/>
  <c r="P34" i="3" s="1"/>
  <c r="BH33" i="1"/>
  <c r="V33" i="3" s="1"/>
  <c r="BD33" i="1"/>
  <c r="R33" i="3" s="1"/>
  <c r="BB33" i="1"/>
  <c r="P33" i="3" s="1"/>
  <c r="BH32" i="1"/>
  <c r="V32" i="3" s="1"/>
  <c r="BD32" i="1"/>
  <c r="R32" i="3" s="1"/>
  <c r="BB32" i="1"/>
  <c r="P32" i="3" s="1"/>
  <c r="BH31" i="1"/>
  <c r="V31" i="3" s="1"/>
  <c r="BD31" i="1"/>
  <c r="R31" i="3" s="1"/>
  <c r="BB31" i="1"/>
  <c r="P31" i="3" s="1"/>
  <c r="BH30" i="1"/>
  <c r="V30" i="3" s="1"/>
  <c r="BD30" i="1"/>
  <c r="R30" i="3" s="1"/>
  <c r="BB30" i="1"/>
  <c r="P30" i="3" s="1"/>
  <c r="BH29" i="1"/>
  <c r="V29" i="3" s="1"/>
  <c r="BD29" i="1"/>
  <c r="R29" i="3" s="1"/>
  <c r="BB29" i="1"/>
  <c r="P29" i="3" s="1"/>
  <c r="BH28" i="1"/>
  <c r="V28" i="3" s="1"/>
  <c r="BD28" i="1"/>
  <c r="R28" i="3" s="1"/>
  <c r="BB28" i="1"/>
  <c r="P28" i="3" s="1"/>
  <c r="BH27" i="1"/>
  <c r="V27" i="3" s="1"/>
  <c r="BD27" i="1"/>
  <c r="R27" i="3" s="1"/>
  <c r="BB27" i="1"/>
  <c r="P27" i="3" s="1"/>
  <c r="BH26" i="1"/>
  <c r="V26" i="3" s="1"/>
  <c r="BD26" i="1"/>
  <c r="R26" i="3" s="1"/>
  <c r="BB26" i="1"/>
  <c r="P26" i="3" s="1"/>
  <c r="BH25" i="1"/>
  <c r="V25" i="3" s="1"/>
  <c r="BD25" i="1"/>
  <c r="R25" i="3" s="1"/>
  <c r="BB25" i="1"/>
  <c r="P25" i="3" s="1"/>
  <c r="BH24" i="1"/>
  <c r="V24" i="3" s="1"/>
  <c r="BD24" i="1"/>
  <c r="R24" i="3" s="1"/>
  <c r="BB24" i="1"/>
  <c r="P24" i="3" s="1"/>
  <c r="BH23" i="1"/>
  <c r="V23" i="3" s="1"/>
  <c r="BD23" i="1"/>
  <c r="R23" i="3" s="1"/>
  <c r="BB23" i="1"/>
  <c r="P23" i="3" s="1"/>
  <c r="BH22" i="1"/>
  <c r="V22" i="3" s="1"/>
  <c r="BD22" i="1"/>
  <c r="R22" i="3" s="1"/>
  <c r="BB22" i="1"/>
  <c r="P22" i="3" s="1"/>
  <c r="BH21" i="1"/>
  <c r="V21" i="3" s="1"/>
  <c r="BD21" i="1"/>
  <c r="R21" i="3" s="1"/>
  <c r="BB21" i="1"/>
  <c r="P21" i="3" s="1"/>
  <c r="BH20" i="1"/>
  <c r="V20" i="3" s="1"/>
  <c r="BD20" i="1"/>
  <c r="R20" i="3" s="1"/>
  <c r="BB20" i="1"/>
  <c r="P20" i="3" s="1"/>
  <c r="BH19" i="1"/>
  <c r="V19" i="3" s="1"/>
  <c r="BD19" i="1"/>
  <c r="R19" i="3" s="1"/>
  <c r="BB19" i="1"/>
  <c r="P19" i="3" s="1"/>
  <c r="BH18" i="1"/>
  <c r="V18" i="3" s="1"/>
  <c r="BD18" i="1"/>
  <c r="R18" i="3" s="1"/>
  <c r="BB18" i="1"/>
  <c r="P18" i="3" s="1"/>
  <c r="BH17" i="1"/>
  <c r="V17" i="3" s="1"/>
  <c r="BD17" i="1"/>
  <c r="R17" i="3" s="1"/>
  <c r="BB17" i="1"/>
  <c r="P17" i="3" s="1"/>
  <c r="BH16" i="1"/>
  <c r="V16" i="3" s="1"/>
  <c r="BD16" i="1"/>
  <c r="R16" i="3" s="1"/>
  <c r="BB16" i="1"/>
  <c r="P16" i="3" s="1"/>
  <c r="BH15" i="1"/>
  <c r="V15" i="3" s="1"/>
  <c r="BD15" i="1"/>
  <c r="R15" i="3" s="1"/>
  <c r="BB15" i="1"/>
  <c r="P15" i="3" s="1"/>
  <c r="BH14" i="1"/>
  <c r="V14" i="3" s="1"/>
  <c r="BD14" i="1"/>
  <c r="R14" i="3" s="1"/>
  <c r="BB14" i="1"/>
  <c r="P14" i="3" s="1"/>
  <c r="BH13" i="1"/>
  <c r="V13" i="3" s="1"/>
  <c r="BD13" i="1"/>
  <c r="R13" i="3" s="1"/>
  <c r="BB13" i="1"/>
  <c r="P13" i="3" s="1"/>
  <c r="BH12" i="1"/>
  <c r="V12" i="3" s="1"/>
  <c r="BD12" i="1"/>
  <c r="R12" i="3" s="1"/>
  <c r="BB12" i="1"/>
  <c r="P12" i="3" s="1"/>
  <c r="BH11" i="1"/>
  <c r="V11" i="3" s="1"/>
  <c r="BD11" i="1"/>
  <c r="R11" i="3" s="1"/>
  <c r="BB11" i="1"/>
  <c r="P11" i="3" s="1"/>
  <c r="BH10" i="1"/>
  <c r="V10" i="3" s="1"/>
  <c r="BD10" i="1"/>
  <c r="R10" i="3" s="1"/>
  <c r="BB10" i="1"/>
  <c r="P10" i="3" s="1"/>
  <c r="BH9" i="1"/>
  <c r="V9" i="3" s="1"/>
  <c r="BD9" i="1"/>
  <c r="R9" i="3" s="1"/>
  <c r="BB9" i="1"/>
  <c r="P9" i="3" s="1"/>
  <c r="BH8" i="1"/>
  <c r="V8" i="3" s="1"/>
  <c r="BD8" i="1"/>
  <c r="R8" i="3" s="1"/>
  <c r="BB8" i="1"/>
  <c r="P8" i="3" s="1"/>
  <c r="BH7" i="1"/>
  <c r="V7" i="3" s="1"/>
  <c r="BD7" i="1"/>
  <c r="R7" i="3" s="1"/>
  <c r="BB7" i="1"/>
  <c r="P7" i="3" s="1"/>
  <c r="BH5" i="1"/>
  <c r="V5" i="3" s="1"/>
  <c r="BD5" i="1"/>
  <c r="R5" i="3" s="1"/>
  <c r="BB5" i="1"/>
  <c r="P5" i="3" s="1"/>
  <c r="BG3" i="1"/>
  <c r="U3" i="3" s="1"/>
  <c r="EG36" i="1"/>
  <c r="EE36" i="1"/>
  <c r="B24" i="6" l="1"/>
  <c r="N24" i="6" s="1"/>
  <c r="B24" i="9"/>
  <c r="N24" i="9" s="1"/>
  <c r="B24" i="13"/>
  <c r="N24" i="13" s="1"/>
  <c r="B24" i="10"/>
  <c r="N24" i="10" s="1"/>
  <c r="B24" i="12"/>
  <c r="B24" i="11"/>
  <c r="N24" i="11" s="1"/>
  <c r="B24" i="14"/>
  <c r="N24" i="14" s="1"/>
  <c r="B24" i="8"/>
  <c r="N24" i="8" s="1"/>
  <c r="B20" i="8"/>
  <c r="N20" i="8" s="1"/>
  <c r="B20" i="10"/>
  <c r="N20" i="10" s="1"/>
  <c r="B20" i="12"/>
  <c r="N20" i="12" s="1"/>
  <c r="B20" i="4"/>
  <c r="D11" i="2"/>
  <c r="D11" i="3"/>
  <c r="D35" i="2"/>
  <c r="D35" i="3"/>
  <c r="D5" i="2"/>
  <c r="D5" i="3"/>
  <c r="D12" i="2"/>
  <c r="D12" i="3"/>
  <c r="D20" i="2"/>
  <c r="D20" i="3"/>
  <c r="D28" i="2"/>
  <c r="D28" i="3"/>
  <c r="D37" i="2"/>
  <c r="D37" i="3"/>
  <c r="D23" i="4"/>
  <c r="D24" i="4" s="1"/>
  <c r="D25" i="4" s="1"/>
  <c r="D26" i="4" s="1"/>
  <c r="D27" i="4" s="1"/>
  <c r="B22" i="4"/>
  <c r="B21" i="4"/>
  <c r="D13" i="2"/>
  <c r="D13" i="3"/>
  <c r="C37" i="2"/>
  <c r="C37" i="3"/>
  <c r="A28" i="4"/>
  <c r="A29" i="4" s="1"/>
  <c r="A30" i="4" s="1"/>
  <c r="A31" i="4" s="1"/>
  <c r="A32" i="4" s="1"/>
  <c r="C26" i="4"/>
  <c r="B26" i="4" s="1"/>
  <c r="C25" i="4"/>
  <c r="B25" i="4" s="1"/>
  <c r="C24" i="4"/>
  <c r="C23" i="4"/>
  <c r="T37" i="3"/>
  <c r="CZ37" i="1"/>
  <c r="AL37" i="3" s="1"/>
  <c r="D4" i="2"/>
  <c r="D4" i="3"/>
  <c r="D14" i="2"/>
  <c r="D14" i="3"/>
  <c r="D22" i="2"/>
  <c r="D22" i="3"/>
  <c r="D30" i="2"/>
  <c r="D30" i="3"/>
  <c r="D3" i="2"/>
  <c r="D3" i="3"/>
  <c r="D21" i="2"/>
  <c r="D21" i="3"/>
  <c r="S37" i="3"/>
  <c r="CY37" i="1"/>
  <c r="AK37" i="3" s="1"/>
  <c r="F20" i="10" s="1"/>
  <c r="D7" i="2"/>
  <c r="D7" i="3"/>
  <c r="D15" i="2"/>
  <c r="D15" i="3"/>
  <c r="D23" i="2"/>
  <c r="D23" i="3"/>
  <c r="D31" i="2"/>
  <c r="D31" i="3"/>
  <c r="D27" i="2"/>
  <c r="D27" i="3"/>
  <c r="Q37" i="3"/>
  <c r="CW37" i="1"/>
  <c r="AI37" i="3" s="1"/>
  <c r="D20" i="10" s="1"/>
  <c r="W37" i="3"/>
  <c r="DC37" i="1"/>
  <c r="AO37" i="3" s="1"/>
  <c r="J20" i="10" s="1"/>
  <c r="V20" i="10" s="1"/>
  <c r="D8" i="2"/>
  <c r="D8" i="3"/>
  <c r="D16" i="2"/>
  <c r="D16" i="3"/>
  <c r="D24" i="2"/>
  <c r="D24" i="3"/>
  <c r="D32" i="2"/>
  <c r="D32" i="3"/>
  <c r="D19" i="2"/>
  <c r="D19" i="3"/>
  <c r="D29" i="2"/>
  <c r="D29" i="3"/>
  <c r="U37" i="3"/>
  <c r="DA37" i="1"/>
  <c r="AM37" i="3" s="1"/>
  <c r="H20" i="10" s="1"/>
  <c r="D9" i="2"/>
  <c r="D9" i="3"/>
  <c r="D17" i="2"/>
  <c r="D17" i="3"/>
  <c r="D25" i="2"/>
  <c r="D25" i="3"/>
  <c r="D33" i="2"/>
  <c r="D33" i="3"/>
  <c r="B19" i="4"/>
  <c r="C4" i="2"/>
  <c r="C4" i="3"/>
  <c r="C3" i="2"/>
  <c r="C3" i="3"/>
  <c r="D10" i="2"/>
  <c r="D10" i="3"/>
  <c r="D18" i="2"/>
  <c r="D18" i="3"/>
  <c r="D26" i="2"/>
  <c r="D26" i="3"/>
  <c r="D34" i="2"/>
  <c r="D34" i="3"/>
  <c r="B18" i="4"/>
  <c r="C5" i="4"/>
  <c r="P9" i="2"/>
  <c r="AS9" i="1"/>
  <c r="G9" i="3" s="1"/>
  <c r="V11" i="2"/>
  <c r="AY11" i="1"/>
  <c r="M11" i="3" s="1"/>
  <c r="R14" i="2"/>
  <c r="AU14" i="1"/>
  <c r="I14" i="3" s="1"/>
  <c r="P17" i="2"/>
  <c r="AS17" i="1"/>
  <c r="G17" i="3" s="1"/>
  <c r="V19" i="2"/>
  <c r="AY19" i="1"/>
  <c r="M19" i="3" s="1"/>
  <c r="R22" i="2"/>
  <c r="AU22" i="1"/>
  <c r="I22" i="3" s="1"/>
  <c r="P25" i="2"/>
  <c r="AS25" i="1"/>
  <c r="G25" i="3" s="1"/>
  <c r="V27" i="2"/>
  <c r="AY27" i="1"/>
  <c r="M27" i="3" s="1"/>
  <c r="R30" i="2"/>
  <c r="AU30" i="1"/>
  <c r="I30" i="3" s="1"/>
  <c r="P33" i="2"/>
  <c r="AS33" i="1"/>
  <c r="G33" i="3" s="1"/>
  <c r="V35" i="2"/>
  <c r="AY35" i="1"/>
  <c r="M35" i="3" s="1"/>
  <c r="R9" i="2"/>
  <c r="AU9" i="1"/>
  <c r="I9" i="3" s="1"/>
  <c r="P12" i="2"/>
  <c r="AS12" i="1"/>
  <c r="G12" i="3" s="1"/>
  <c r="V14" i="2"/>
  <c r="AY14" i="1"/>
  <c r="M14" i="3" s="1"/>
  <c r="R17" i="2"/>
  <c r="AU17" i="1"/>
  <c r="I17" i="3" s="1"/>
  <c r="P20" i="2"/>
  <c r="AS20" i="1"/>
  <c r="G20" i="3" s="1"/>
  <c r="V22" i="2"/>
  <c r="AY22" i="1"/>
  <c r="M22" i="3" s="1"/>
  <c r="R25" i="2"/>
  <c r="AU25" i="1"/>
  <c r="I25" i="3" s="1"/>
  <c r="P28" i="2"/>
  <c r="AS28" i="1"/>
  <c r="G28" i="3" s="1"/>
  <c r="V30" i="2"/>
  <c r="AY30" i="1"/>
  <c r="M30" i="3" s="1"/>
  <c r="R33" i="2"/>
  <c r="AU33" i="1"/>
  <c r="I33" i="3" s="1"/>
  <c r="Q37" i="2"/>
  <c r="D20" i="8" s="1"/>
  <c r="DV37" i="1"/>
  <c r="BA37" i="3" s="1"/>
  <c r="D20" i="12" s="1"/>
  <c r="V9" i="2"/>
  <c r="AY9" i="1"/>
  <c r="M9" i="3" s="1"/>
  <c r="R12" i="2"/>
  <c r="AU12" i="1"/>
  <c r="I12" i="3" s="1"/>
  <c r="P15" i="2"/>
  <c r="AS15" i="1"/>
  <c r="G15" i="3" s="1"/>
  <c r="V17" i="2"/>
  <c r="AY17" i="1"/>
  <c r="M17" i="3" s="1"/>
  <c r="R20" i="2"/>
  <c r="AU20" i="1"/>
  <c r="I20" i="3" s="1"/>
  <c r="P23" i="2"/>
  <c r="AS23" i="1"/>
  <c r="G23" i="3" s="1"/>
  <c r="V25" i="2"/>
  <c r="AY25" i="1"/>
  <c r="M25" i="3" s="1"/>
  <c r="R28" i="2"/>
  <c r="AU28" i="1"/>
  <c r="I28" i="3" s="1"/>
  <c r="P31" i="2"/>
  <c r="AS31" i="1"/>
  <c r="G31" i="3" s="1"/>
  <c r="V33" i="2"/>
  <c r="AY33" i="1"/>
  <c r="M33" i="3" s="1"/>
  <c r="T37" i="2"/>
  <c r="DY37" i="1"/>
  <c r="BD37" i="3" s="1"/>
  <c r="P10" i="2"/>
  <c r="AS10" i="1"/>
  <c r="G10" i="3" s="1"/>
  <c r="V12" i="2"/>
  <c r="AY12" i="1"/>
  <c r="M12" i="3" s="1"/>
  <c r="R15" i="2"/>
  <c r="AU15" i="1"/>
  <c r="I15" i="3" s="1"/>
  <c r="P18" i="2"/>
  <c r="AS18" i="1"/>
  <c r="G18" i="3" s="1"/>
  <c r="V20" i="2"/>
  <c r="AY20" i="1"/>
  <c r="M20" i="3" s="1"/>
  <c r="R23" i="2"/>
  <c r="AU23" i="1"/>
  <c r="I23" i="3" s="1"/>
  <c r="P26" i="2"/>
  <c r="AS26" i="1"/>
  <c r="G26" i="3" s="1"/>
  <c r="V28" i="2"/>
  <c r="AY28" i="1"/>
  <c r="M28" i="3" s="1"/>
  <c r="R31" i="2"/>
  <c r="AU31" i="1"/>
  <c r="I31" i="3" s="1"/>
  <c r="P34" i="2"/>
  <c r="AS34" i="1"/>
  <c r="G34" i="3" s="1"/>
  <c r="S37" i="2"/>
  <c r="F20" i="8" s="1"/>
  <c r="DX37" i="1"/>
  <c r="BC37" i="3" s="1"/>
  <c r="F20" i="12" s="1"/>
  <c r="R10" i="2"/>
  <c r="AU10" i="1"/>
  <c r="I10" i="3" s="1"/>
  <c r="P13" i="2"/>
  <c r="AS13" i="1"/>
  <c r="G13" i="3" s="1"/>
  <c r="V15" i="2"/>
  <c r="AY15" i="1"/>
  <c r="M15" i="3" s="1"/>
  <c r="R18" i="2"/>
  <c r="AU18" i="1"/>
  <c r="I18" i="3" s="1"/>
  <c r="P21" i="2"/>
  <c r="AS21" i="1"/>
  <c r="G21" i="3" s="1"/>
  <c r="V23" i="2"/>
  <c r="AY23" i="1"/>
  <c r="M23" i="3" s="1"/>
  <c r="R26" i="2"/>
  <c r="AU26" i="1"/>
  <c r="I26" i="3" s="1"/>
  <c r="P29" i="2"/>
  <c r="AS29" i="1"/>
  <c r="G29" i="3" s="1"/>
  <c r="V31" i="2"/>
  <c r="AY31" i="1"/>
  <c r="M31" i="3" s="1"/>
  <c r="R34" i="2"/>
  <c r="AU34" i="1"/>
  <c r="I34" i="3" s="1"/>
  <c r="W37" i="2"/>
  <c r="J20" i="8" s="1"/>
  <c r="V20" i="8" s="1"/>
  <c r="EB37" i="1"/>
  <c r="BG37" i="3" s="1"/>
  <c r="J20" i="12" s="1"/>
  <c r="EH36" i="1"/>
  <c r="P8" i="2"/>
  <c r="AS8" i="1"/>
  <c r="G8" i="3" s="1"/>
  <c r="V10" i="2"/>
  <c r="AY10" i="1"/>
  <c r="M10" i="3" s="1"/>
  <c r="R13" i="2"/>
  <c r="AU13" i="1"/>
  <c r="I13" i="3" s="1"/>
  <c r="P16" i="2"/>
  <c r="AS16" i="1"/>
  <c r="G16" i="3" s="1"/>
  <c r="V18" i="2"/>
  <c r="AY18" i="1"/>
  <c r="M18" i="3" s="1"/>
  <c r="R21" i="2"/>
  <c r="AU21" i="1"/>
  <c r="I21" i="3" s="1"/>
  <c r="P24" i="2"/>
  <c r="AS24" i="1"/>
  <c r="G24" i="3" s="1"/>
  <c r="V26" i="2"/>
  <c r="AY26" i="1"/>
  <c r="M26" i="3" s="1"/>
  <c r="R29" i="2"/>
  <c r="AU29" i="1"/>
  <c r="I29" i="3" s="1"/>
  <c r="P32" i="2"/>
  <c r="AS32" i="1"/>
  <c r="G32" i="3" s="1"/>
  <c r="V34" i="2"/>
  <c r="AY34" i="1"/>
  <c r="M34" i="3" s="1"/>
  <c r="U37" i="2"/>
  <c r="H20" i="8" s="1"/>
  <c r="DZ37" i="1"/>
  <c r="BE37" i="3" s="1"/>
  <c r="H20" i="12" s="1"/>
  <c r="U3" i="2"/>
  <c r="AX3" i="1"/>
  <c r="L3" i="3" s="1"/>
  <c r="R8" i="2"/>
  <c r="AU8" i="1"/>
  <c r="I8" i="3" s="1"/>
  <c r="P11" i="2"/>
  <c r="AS11" i="1"/>
  <c r="G11" i="3" s="1"/>
  <c r="V13" i="2"/>
  <c r="AY13" i="1"/>
  <c r="M13" i="3" s="1"/>
  <c r="R16" i="2"/>
  <c r="AU16" i="1"/>
  <c r="I16" i="3" s="1"/>
  <c r="P19" i="2"/>
  <c r="AS19" i="1"/>
  <c r="G19" i="3" s="1"/>
  <c r="V21" i="2"/>
  <c r="AY21" i="1"/>
  <c r="M21" i="3" s="1"/>
  <c r="R24" i="2"/>
  <c r="AU24" i="1"/>
  <c r="I24" i="3" s="1"/>
  <c r="P27" i="2"/>
  <c r="AS27" i="1"/>
  <c r="G27" i="3" s="1"/>
  <c r="V29" i="2"/>
  <c r="AY29" i="1"/>
  <c r="M29" i="3" s="1"/>
  <c r="R32" i="2"/>
  <c r="AU32" i="1"/>
  <c r="I32" i="3" s="1"/>
  <c r="P35" i="2"/>
  <c r="AS35" i="1"/>
  <c r="G35" i="3" s="1"/>
  <c r="V8" i="2"/>
  <c r="AY8" i="1"/>
  <c r="M8" i="3" s="1"/>
  <c r="R11" i="2"/>
  <c r="AU11" i="1"/>
  <c r="I11" i="3" s="1"/>
  <c r="P14" i="2"/>
  <c r="AS14" i="1"/>
  <c r="G14" i="3" s="1"/>
  <c r="V16" i="2"/>
  <c r="AY16" i="1"/>
  <c r="M16" i="3" s="1"/>
  <c r="R19" i="2"/>
  <c r="AU19" i="1"/>
  <c r="I19" i="3" s="1"/>
  <c r="P22" i="2"/>
  <c r="AS22" i="1"/>
  <c r="G22" i="3" s="1"/>
  <c r="V24" i="2"/>
  <c r="AY24" i="1"/>
  <c r="M24" i="3" s="1"/>
  <c r="R27" i="2"/>
  <c r="AU27" i="1"/>
  <c r="I27" i="3" s="1"/>
  <c r="P30" i="2"/>
  <c r="AS30" i="1"/>
  <c r="G30" i="3" s="1"/>
  <c r="V32" i="2"/>
  <c r="AY32" i="1"/>
  <c r="M32" i="3" s="1"/>
  <c r="R35" i="2"/>
  <c r="AU35" i="1"/>
  <c r="I35" i="3" s="1"/>
  <c r="P5" i="2"/>
  <c r="AS5" i="1"/>
  <c r="G5" i="3" s="1"/>
  <c r="R5" i="2"/>
  <c r="AU5" i="1"/>
  <c r="I5" i="3" s="1"/>
  <c r="R7" i="2"/>
  <c r="AU7" i="1"/>
  <c r="I7" i="3" s="1"/>
  <c r="V5" i="2"/>
  <c r="AY5" i="1"/>
  <c r="M5" i="3" s="1"/>
  <c r="P7" i="2"/>
  <c r="AS7" i="1"/>
  <c r="G7" i="3" s="1"/>
  <c r="V7" i="2"/>
  <c r="AY7" i="1"/>
  <c r="M7" i="3" s="1"/>
  <c r="P37" i="1"/>
  <c r="R37" i="1"/>
  <c r="V37" i="1"/>
  <c r="T37" i="1"/>
  <c r="S37" i="1"/>
  <c r="S35" i="1"/>
  <c r="BV35" i="3" s="1"/>
  <c r="S34" i="1"/>
  <c r="S33" i="1"/>
  <c r="BV33" i="3" s="1"/>
  <c r="S32" i="1"/>
  <c r="S31" i="1"/>
  <c r="BV31" i="3" s="1"/>
  <c r="S30" i="1"/>
  <c r="BV30" i="3" s="1"/>
  <c r="S29" i="1"/>
  <c r="BV29" i="3" s="1"/>
  <c r="S28" i="1"/>
  <c r="S27" i="1"/>
  <c r="S26" i="1"/>
  <c r="BV26" i="3" s="1"/>
  <c r="S25" i="1"/>
  <c r="BV25" i="3" s="1"/>
  <c r="S24" i="1"/>
  <c r="BV24" i="3" s="1"/>
  <c r="S23" i="1"/>
  <c r="BV23" i="3" s="1"/>
  <c r="S22" i="1"/>
  <c r="S21" i="1"/>
  <c r="BV21" i="3" s="1"/>
  <c r="S20" i="1"/>
  <c r="BV20" i="3" s="1"/>
  <c r="S19" i="1"/>
  <c r="S18" i="1"/>
  <c r="S17" i="1"/>
  <c r="BV17" i="3" s="1"/>
  <c r="S16" i="1"/>
  <c r="BV16" i="3" s="1"/>
  <c r="S15" i="1"/>
  <c r="BV15" i="3" s="1"/>
  <c r="S14" i="1"/>
  <c r="BV14" i="3" s="1"/>
  <c r="S13" i="1"/>
  <c r="S12" i="1"/>
  <c r="BV12" i="3" s="1"/>
  <c r="S11" i="1"/>
  <c r="BV11" i="3" s="1"/>
  <c r="S10" i="1"/>
  <c r="S9" i="1"/>
  <c r="BV9" i="3" s="1"/>
  <c r="S5" i="1"/>
  <c r="BV5" i="3" s="1"/>
  <c r="S3" i="1"/>
  <c r="S7" i="1"/>
  <c r="BV7" i="3" s="1"/>
  <c r="S8" i="1"/>
  <c r="BV8" i="3" s="1"/>
  <c r="T7" i="1"/>
  <c r="BW7" i="3" s="1"/>
  <c r="T5" i="1"/>
  <c r="BW5" i="3" s="1"/>
  <c r="T3" i="1"/>
  <c r="V35" i="1"/>
  <c r="BY35" i="3" s="1"/>
  <c r="V34" i="1"/>
  <c r="BY34" i="3" s="1"/>
  <c r="V33" i="1"/>
  <c r="BY33" i="3" s="1"/>
  <c r="V32" i="1"/>
  <c r="BY32" i="3" s="1"/>
  <c r="V31" i="1"/>
  <c r="BY31" i="3" s="1"/>
  <c r="V30" i="1"/>
  <c r="BY30" i="3" s="1"/>
  <c r="V29" i="1"/>
  <c r="BY29" i="3" s="1"/>
  <c r="V28" i="1"/>
  <c r="BY28" i="3" s="1"/>
  <c r="V27" i="1"/>
  <c r="BY27" i="3" s="1"/>
  <c r="V26" i="1"/>
  <c r="BY26" i="3" s="1"/>
  <c r="V25" i="1"/>
  <c r="BY25" i="3" s="1"/>
  <c r="V24" i="1"/>
  <c r="BY24" i="3" s="1"/>
  <c r="V23" i="1"/>
  <c r="BY23" i="3" s="1"/>
  <c r="V22" i="1"/>
  <c r="BY22" i="3" s="1"/>
  <c r="V21" i="1"/>
  <c r="BY21" i="3" s="1"/>
  <c r="V20" i="1"/>
  <c r="BY20" i="3" s="1"/>
  <c r="V19" i="1"/>
  <c r="BY19" i="3" s="1"/>
  <c r="V18" i="1"/>
  <c r="BY18" i="3" s="1"/>
  <c r="V17" i="1"/>
  <c r="BY17" i="3" s="1"/>
  <c r="V16" i="1"/>
  <c r="BY16" i="3" s="1"/>
  <c r="V15" i="1"/>
  <c r="BY15" i="3" s="1"/>
  <c r="V14" i="1"/>
  <c r="BY14" i="3" s="1"/>
  <c r="V13" i="1"/>
  <c r="BY13" i="3" s="1"/>
  <c r="V12" i="1"/>
  <c r="BY12" i="3" s="1"/>
  <c r="V11" i="1"/>
  <c r="BY11" i="3" s="1"/>
  <c r="V10" i="1"/>
  <c r="BY10" i="3" s="1"/>
  <c r="V9" i="1"/>
  <c r="BY9" i="3" s="1"/>
  <c r="V8" i="1"/>
  <c r="BY8" i="3" s="1"/>
  <c r="V7" i="1"/>
  <c r="BY7" i="3" s="1"/>
  <c r="V5" i="1"/>
  <c r="BY5" i="3" s="1"/>
  <c r="V3" i="1"/>
  <c r="T35" i="1"/>
  <c r="BW35" i="3" s="1"/>
  <c r="R35" i="1"/>
  <c r="BU35" i="3" s="1"/>
  <c r="P35" i="1"/>
  <c r="BS35" i="3" s="1"/>
  <c r="R34" i="1"/>
  <c r="BU34" i="3" s="1"/>
  <c r="P34" i="1"/>
  <c r="BS34" i="3" s="1"/>
  <c r="T33" i="1"/>
  <c r="BW33" i="3" s="1"/>
  <c r="R33" i="1"/>
  <c r="BU33" i="3" s="1"/>
  <c r="P33" i="1"/>
  <c r="BS33" i="3" s="1"/>
  <c r="R32" i="1"/>
  <c r="BU32" i="3" s="1"/>
  <c r="P32" i="1"/>
  <c r="BS32" i="3" s="1"/>
  <c r="R31" i="1"/>
  <c r="BU31" i="3" s="1"/>
  <c r="P31" i="1"/>
  <c r="BS31" i="3" s="1"/>
  <c r="T30" i="1"/>
  <c r="BW30" i="3" s="1"/>
  <c r="R30" i="1"/>
  <c r="BU30" i="3" s="1"/>
  <c r="P30" i="1"/>
  <c r="BS30" i="3" s="1"/>
  <c r="R29" i="1"/>
  <c r="BU29" i="3" s="1"/>
  <c r="P29" i="1"/>
  <c r="BS29" i="3" s="1"/>
  <c r="R28" i="1"/>
  <c r="BU28" i="3" s="1"/>
  <c r="P28" i="1"/>
  <c r="BS28" i="3" s="1"/>
  <c r="R27" i="1"/>
  <c r="BU27" i="3" s="1"/>
  <c r="P27" i="1"/>
  <c r="BS27" i="3" s="1"/>
  <c r="R26" i="1"/>
  <c r="BU26" i="3" s="1"/>
  <c r="P26" i="1"/>
  <c r="BS26" i="3" s="1"/>
  <c r="R25" i="1"/>
  <c r="BU25" i="3" s="1"/>
  <c r="P25" i="1"/>
  <c r="BS25" i="3" s="1"/>
  <c r="R24" i="1"/>
  <c r="BU24" i="3" s="1"/>
  <c r="P24" i="1"/>
  <c r="BS24" i="3" s="1"/>
  <c r="R23" i="1"/>
  <c r="BU23" i="3" s="1"/>
  <c r="P23" i="1"/>
  <c r="BS23" i="3" s="1"/>
  <c r="R22" i="1"/>
  <c r="BU22" i="3" s="1"/>
  <c r="P22" i="1"/>
  <c r="BS22" i="3" s="1"/>
  <c r="R21" i="1"/>
  <c r="BU21" i="3" s="1"/>
  <c r="P21" i="1"/>
  <c r="BS21" i="3" s="1"/>
  <c r="R20" i="1"/>
  <c r="BU20" i="3" s="1"/>
  <c r="P20" i="1"/>
  <c r="BS20" i="3" s="1"/>
  <c r="R19" i="1"/>
  <c r="BU19" i="3" s="1"/>
  <c r="P19" i="1"/>
  <c r="BS19" i="3" s="1"/>
  <c r="R18" i="1"/>
  <c r="BU18" i="3" s="1"/>
  <c r="P18" i="1"/>
  <c r="BS18" i="3" s="1"/>
  <c r="R17" i="1"/>
  <c r="BU17" i="3" s="1"/>
  <c r="P17" i="1"/>
  <c r="BS17" i="3" s="1"/>
  <c r="R16" i="1"/>
  <c r="BU16" i="3" s="1"/>
  <c r="P16" i="1"/>
  <c r="BS16" i="3" s="1"/>
  <c r="R15" i="1"/>
  <c r="BU15" i="3" s="1"/>
  <c r="P15" i="1"/>
  <c r="BS15" i="3" s="1"/>
  <c r="R14" i="1"/>
  <c r="BU14" i="3" s="1"/>
  <c r="P14" i="1"/>
  <c r="BS14" i="3" s="1"/>
  <c r="R13" i="1"/>
  <c r="BU13" i="3" s="1"/>
  <c r="P13" i="1"/>
  <c r="BS13" i="3" s="1"/>
  <c r="R12" i="1"/>
  <c r="BU12" i="3" s="1"/>
  <c r="P12" i="1"/>
  <c r="BS12" i="3" s="1"/>
  <c r="T11" i="1"/>
  <c r="BW11" i="3" s="1"/>
  <c r="R11" i="1"/>
  <c r="BU11" i="3" s="1"/>
  <c r="P11" i="1"/>
  <c r="BS11" i="3" s="1"/>
  <c r="R10" i="1"/>
  <c r="BU10" i="3" s="1"/>
  <c r="P10" i="1"/>
  <c r="BS10" i="3" s="1"/>
  <c r="R9" i="1"/>
  <c r="BU9" i="3" s="1"/>
  <c r="P9" i="1"/>
  <c r="BS9" i="3" s="1"/>
  <c r="R8" i="1"/>
  <c r="BU8" i="3" s="1"/>
  <c r="P8" i="1"/>
  <c r="BS8" i="3" s="1"/>
  <c r="R7" i="1"/>
  <c r="BU7" i="3" s="1"/>
  <c r="P7" i="1"/>
  <c r="BS7" i="3" s="1"/>
  <c r="R5" i="1"/>
  <c r="BU5" i="3" s="1"/>
  <c r="P5" i="1"/>
  <c r="BS5" i="3" s="1"/>
  <c r="R3" i="1"/>
  <c r="P3" i="1"/>
  <c r="V24" i="14" l="1"/>
  <c r="T8" i="1"/>
  <c r="BW8" i="3" s="1"/>
  <c r="E20" i="12"/>
  <c r="Q20" i="12" s="1"/>
  <c r="P20" i="12"/>
  <c r="E9" i="14"/>
  <c r="E12" i="14"/>
  <c r="G12" i="14"/>
  <c r="P20" i="8"/>
  <c r="E20" i="8"/>
  <c r="Q20" i="8" s="1"/>
  <c r="G20" i="10"/>
  <c r="S20" i="10" s="1"/>
  <c r="R20" i="10"/>
  <c r="B23" i="4"/>
  <c r="B8" i="6"/>
  <c r="N8" i="6" s="1"/>
  <c r="B8" i="9"/>
  <c r="N8" i="9" s="1"/>
  <c r="B8" i="14"/>
  <c r="N8" i="14" s="1"/>
  <c r="B8" i="10"/>
  <c r="N8" i="10" s="1"/>
  <c r="B8" i="12"/>
  <c r="N8" i="12" s="1"/>
  <c r="B8" i="11"/>
  <c r="N8" i="11" s="1"/>
  <c r="B8" i="13"/>
  <c r="N8" i="13" s="1"/>
  <c r="B8" i="8"/>
  <c r="N8" i="8" s="1"/>
  <c r="B16" i="9"/>
  <c r="N16" i="9" s="1"/>
  <c r="B16" i="14"/>
  <c r="N16" i="14" s="1"/>
  <c r="B16" i="10"/>
  <c r="N16" i="10" s="1"/>
  <c r="B16" i="13"/>
  <c r="N16" i="13" s="1"/>
  <c r="B16" i="12"/>
  <c r="N16" i="12" s="1"/>
  <c r="B16" i="11"/>
  <c r="N16" i="11" s="1"/>
  <c r="B16" i="8"/>
  <c r="N16" i="8" s="1"/>
  <c r="B15" i="6"/>
  <c r="N15" i="6" s="1"/>
  <c r="B9" i="6"/>
  <c r="N9" i="6" s="1"/>
  <c r="B11" i="6"/>
  <c r="N11" i="6" s="1"/>
  <c r="B11" i="9"/>
  <c r="N11" i="9" s="1"/>
  <c r="B11" i="14"/>
  <c r="N11" i="14" s="1"/>
  <c r="B11" i="13"/>
  <c r="N11" i="13" s="1"/>
  <c r="B11" i="12"/>
  <c r="N11" i="12" s="1"/>
  <c r="B11" i="11"/>
  <c r="N11" i="11" s="1"/>
  <c r="B11" i="10"/>
  <c r="N11" i="10" s="1"/>
  <c r="B11" i="8"/>
  <c r="N11" i="8" s="1"/>
  <c r="B24" i="4"/>
  <c r="B10" i="6"/>
  <c r="N10" i="6" s="1"/>
  <c r="B10" i="9"/>
  <c r="N10" i="9" s="1"/>
  <c r="B10" i="13"/>
  <c r="N10" i="13" s="1"/>
  <c r="B10" i="14"/>
  <c r="N10" i="14" s="1"/>
  <c r="B10" i="10"/>
  <c r="N10" i="10" s="1"/>
  <c r="B10" i="12"/>
  <c r="N10" i="12" s="1"/>
  <c r="B10" i="11"/>
  <c r="N10" i="11" s="1"/>
  <c r="B10" i="8"/>
  <c r="N10" i="8" s="1"/>
  <c r="N24" i="12"/>
  <c r="T21" i="1"/>
  <c r="BW21" i="3" s="1"/>
  <c r="G20" i="12"/>
  <c r="S20" i="12" s="1"/>
  <c r="R20" i="12"/>
  <c r="B13" i="9"/>
  <c r="N13" i="9" s="1"/>
  <c r="B13" i="11"/>
  <c r="N13" i="11" s="1"/>
  <c r="B13" i="12"/>
  <c r="N13" i="12" s="1"/>
  <c r="B13" i="14"/>
  <c r="N13" i="14" s="1"/>
  <c r="B13" i="10"/>
  <c r="N13" i="10" s="1"/>
  <c r="B13" i="13"/>
  <c r="N13" i="13" s="1"/>
  <c r="B13" i="8"/>
  <c r="N13" i="8" s="1"/>
  <c r="G24" i="14"/>
  <c r="S24" i="14" s="1"/>
  <c r="R24" i="14"/>
  <c r="I20" i="12"/>
  <c r="U20" i="12" s="1"/>
  <c r="T20" i="12"/>
  <c r="G20" i="8"/>
  <c r="S20" i="8" s="1"/>
  <c r="R20" i="8"/>
  <c r="B16" i="6"/>
  <c r="N16" i="6" s="1"/>
  <c r="B15" i="9"/>
  <c r="N15" i="9" s="1"/>
  <c r="B15" i="14"/>
  <c r="N15" i="14" s="1"/>
  <c r="B15" i="10"/>
  <c r="N15" i="10" s="1"/>
  <c r="B15" i="12"/>
  <c r="N15" i="12" s="1"/>
  <c r="B15" i="13"/>
  <c r="N15" i="13" s="1"/>
  <c r="B15" i="11"/>
  <c r="N15" i="11" s="1"/>
  <c r="B15" i="8"/>
  <c r="N15" i="8" s="1"/>
  <c r="T20" i="10"/>
  <c r="I20" i="10"/>
  <c r="U20" i="10" s="1"/>
  <c r="P20" i="10"/>
  <c r="E20" i="10"/>
  <c r="Q20" i="10" s="1"/>
  <c r="E14" i="14"/>
  <c r="E24" i="14"/>
  <c r="Q24" i="14" s="1"/>
  <c r="P24" i="14"/>
  <c r="B14" i="9"/>
  <c r="N14" i="9" s="1"/>
  <c r="B14" i="11"/>
  <c r="N14" i="11" s="1"/>
  <c r="B14" i="14"/>
  <c r="N14" i="14" s="1"/>
  <c r="B14" i="10"/>
  <c r="N14" i="10" s="1"/>
  <c r="B14" i="12"/>
  <c r="N14" i="12" s="1"/>
  <c r="B14" i="13"/>
  <c r="N14" i="13" s="1"/>
  <c r="B14" i="8"/>
  <c r="B12" i="6"/>
  <c r="N12" i="6" s="1"/>
  <c r="B12" i="9"/>
  <c r="N12" i="9" s="1"/>
  <c r="B12" i="12"/>
  <c r="N12" i="12" s="1"/>
  <c r="B12" i="14"/>
  <c r="N12" i="14" s="1"/>
  <c r="B12" i="13"/>
  <c r="N12" i="13" s="1"/>
  <c r="B12" i="11"/>
  <c r="N12" i="11" s="1"/>
  <c r="B12" i="10"/>
  <c r="N12" i="10" s="1"/>
  <c r="B12" i="8"/>
  <c r="N12" i="8" s="1"/>
  <c r="T25" i="1"/>
  <c r="BW25" i="3" s="1"/>
  <c r="I24" i="14"/>
  <c r="U24" i="14" s="1"/>
  <c r="T24" i="14"/>
  <c r="T20" i="8"/>
  <c r="I20" i="8"/>
  <c r="U20" i="8" s="1"/>
  <c r="V20" i="12"/>
  <c r="B13" i="6"/>
  <c r="N13" i="6" s="1"/>
  <c r="N3" i="2"/>
  <c r="BY3" i="3"/>
  <c r="K37" i="2"/>
  <c r="BV37" i="3"/>
  <c r="B14" i="6"/>
  <c r="N14" i="6" s="1"/>
  <c r="D28" i="4"/>
  <c r="D29" i="4" s="1"/>
  <c r="D30" i="4" s="1"/>
  <c r="D31" i="4" s="1"/>
  <c r="D32" i="4" s="1"/>
  <c r="B32" i="4" s="1"/>
  <c r="B27" i="4"/>
  <c r="T16" i="1"/>
  <c r="BW16" i="3" s="1"/>
  <c r="L37" i="2"/>
  <c r="BW37" i="3"/>
  <c r="C31" i="4"/>
  <c r="C29" i="4"/>
  <c r="C28" i="4"/>
  <c r="C30" i="4"/>
  <c r="B30" i="4" s="1"/>
  <c r="T22" i="1"/>
  <c r="BW22" i="3" s="1"/>
  <c r="BV22" i="3"/>
  <c r="N37" i="2"/>
  <c r="BY37" i="3"/>
  <c r="C30" i="5"/>
  <c r="T27" i="1"/>
  <c r="BW27" i="3" s="1"/>
  <c r="BV27" i="3"/>
  <c r="J3" i="2"/>
  <c r="BU3" i="3"/>
  <c r="T28" i="1"/>
  <c r="BW28" i="3" s="1"/>
  <c r="BV28" i="3"/>
  <c r="T26" i="1"/>
  <c r="BW26" i="3" s="1"/>
  <c r="T13" i="1"/>
  <c r="BW13" i="3" s="1"/>
  <c r="BV13" i="3"/>
  <c r="T24" i="1"/>
  <c r="BW24" i="3" s="1"/>
  <c r="K3" i="2"/>
  <c r="BV3" i="3"/>
  <c r="J37" i="2"/>
  <c r="BU37" i="3"/>
  <c r="H3" i="2"/>
  <c r="BS3" i="3"/>
  <c r="T32" i="1"/>
  <c r="BW32" i="3" s="1"/>
  <c r="BV32" i="3"/>
  <c r="T19" i="1"/>
  <c r="BW19" i="3" s="1"/>
  <c r="BV19" i="3"/>
  <c r="H37" i="2"/>
  <c r="BS37" i="3"/>
  <c r="L3" i="2"/>
  <c r="BW3" i="3"/>
  <c r="T10" i="1"/>
  <c r="BW10" i="3" s="1"/>
  <c r="BV10" i="3"/>
  <c r="T18" i="1"/>
  <c r="BW18" i="3" s="1"/>
  <c r="BV18" i="3"/>
  <c r="T34" i="1"/>
  <c r="BW34" i="3" s="1"/>
  <c r="BV34" i="3"/>
  <c r="C6" i="4"/>
  <c r="BC13" i="1"/>
  <c r="Q13" i="3" s="1"/>
  <c r="H13" i="2"/>
  <c r="BG27" i="1"/>
  <c r="U27" i="3" s="1"/>
  <c r="L27" i="2"/>
  <c r="BI14" i="1"/>
  <c r="W14" i="3" s="1"/>
  <c r="N14" i="2"/>
  <c r="L7" i="2"/>
  <c r="BG7" i="1"/>
  <c r="U7" i="3" s="1"/>
  <c r="T24" i="8" s="1"/>
  <c r="J7" i="2"/>
  <c r="BE7" i="1"/>
  <c r="S7" i="3" s="1"/>
  <c r="L10" i="2"/>
  <c r="BG10" i="1"/>
  <c r="U10" i="3" s="1"/>
  <c r="J13" i="2"/>
  <c r="BE13" i="1"/>
  <c r="S13" i="3" s="1"/>
  <c r="J22" i="2"/>
  <c r="BE22" i="1"/>
  <c r="S22" i="3" s="1"/>
  <c r="J25" i="2"/>
  <c r="BE25" i="1"/>
  <c r="S25" i="3" s="1"/>
  <c r="BC28" i="1"/>
  <c r="Q28" i="3" s="1"/>
  <c r="H28" i="2"/>
  <c r="BC31" i="1"/>
  <c r="Q31" i="3" s="1"/>
  <c r="H31" i="2"/>
  <c r="BC34" i="1"/>
  <c r="Q34" i="3" s="1"/>
  <c r="H34" i="2"/>
  <c r="BI7" i="1"/>
  <c r="W7" i="3" s="1"/>
  <c r="N7" i="2"/>
  <c r="BI15" i="1"/>
  <c r="W15" i="3" s="1"/>
  <c r="N15" i="2"/>
  <c r="BI23" i="1"/>
  <c r="W23" i="3" s="1"/>
  <c r="N23" i="2"/>
  <c r="BI31" i="1"/>
  <c r="W31" i="3" s="1"/>
  <c r="N31" i="2"/>
  <c r="K8" i="2"/>
  <c r="BF8" i="1"/>
  <c r="T8" i="3" s="1"/>
  <c r="BF13" i="1"/>
  <c r="T13" i="3" s="1"/>
  <c r="K13" i="2"/>
  <c r="BF21" i="1"/>
  <c r="T21" i="3" s="1"/>
  <c r="K21" i="2"/>
  <c r="T29" i="1"/>
  <c r="BW29" i="3" s="1"/>
  <c r="BF29" i="1"/>
  <c r="T29" i="3" s="1"/>
  <c r="K29" i="2"/>
  <c r="H7" i="2"/>
  <c r="BC7" i="1"/>
  <c r="Q7" i="3" s="1"/>
  <c r="J19" i="2"/>
  <c r="BE19" i="1"/>
  <c r="S19" i="3" s="1"/>
  <c r="BG33" i="1"/>
  <c r="U33" i="3" s="1"/>
  <c r="L33" i="2"/>
  <c r="BI22" i="1"/>
  <c r="W22" i="3" s="1"/>
  <c r="N22" i="2"/>
  <c r="BI30" i="1"/>
  <c r="W30" i="3" s="1"/>
  <c r="N30" i="2"/>
  <c r="H8" i="2"/>
  <c r="BC8" i="1"/>
  <c r="Q8" i="3" s="1"/>
  <c r="BC17" i="1"/>
  <c r="Q17" i="3" s="1"/>
  <c r="H17" i="2"/>
  <c r="BC20" i="1"/>
  <c r="Q20" i="3" s="1"/>
  <c r="H20" i="2"/>
  <c r="BG25" i="1"/>
  <c r="U25" i="3" s="1"/>
  <c r="L25" i="2"/>
  <c r="J28" i="2"/>
  <c r="BE28" i="1"/>
  <c r="S28" i="3" s="1"/>
  <c r="J31" i="2"/>
  <c r="BE31" i="1"/>
  <c r="S31" i="3" s="1"/>
  <c r="J34" i="2"/>
  <c r="BE34" i="1"/>
  <c r="S34" i="3" s="1"/>
  <c r="BI8" i="1"/>
  <c r="W8" i="3" s="1"/>
  <c r="N8" i="2"/>
  <c r="BI16" i="1"/>
  <c r="W16" i="3" s="1"/>
  <c r="N16" i="2"/>
  <c r="BI24" i="1"/>
  <c r="W24" i="3" s="1"/>
  <c r="N24" i="2"/>
  <c r="BI32" i="1"/>
  <c r="W32" i="3" s="1"/>
  <c r="N32" i="2"/>
  <c r="K7" i="2"/>
  <c r="BF7" i="1"/>
  <c r="T7" i="3" s="1"/>
  <c r="T14" i="1"/>
  <c r="BW14" i="3" s="1"/>
  <c r="BF14" i="1"/>
  <c r="T14" i="3" s="1"/>
  <c r="K14" i="2"/>
  <c r="BF22" i="1"/>
  <c r="T22" i="3" s="1"/>
  <c r="K22" i="2"/>
  <c r="BF30" i="1"/>
  <c r="T30" i="3" s="1"/>
  <c r="K30" i="2"/>
  <c r="J16" i="2"/>
  <c r="BE16" i="1"/>
  <c r="S16" i="3" s="1"/>
  <c r="N5" i="2"/>
  <c r="BI5" i="1"/>
  <c r="W5" i="3" s="1"/>
  <c r="BF20" i="1"/>
  <c r="T20" i="3" s="1"/>
  <c r="K20" i="2"/>
  <c r="BC14" i="1"/>
  <c r="Q14" i="3" s="1"/>
  <c r="H14" i="2"/>
  <c r="J20" i="2"/>
  <c r="BE20" i="1"/>
  <c r="S20" i="3" s="1"/>
  <c r="BC23" i="1"/>
  <c r="Q23" i="3" s="1"/>
  <c r="H23" i="2"/>
  <c r="BC26" i="1"/>
  <c r="Q26" i="3" s="1"/>
  <c r="H26" i="2"/>
  <c r="BC32" i="1"/>
  <c r="Q32" i="3" s="1"/>
  <c r="H32" i="2"/>
  <c r="L34" i="2"/>
  <c r="BI9" i="1"/>
  <c r="W9" i="3" s="1"/>
  <c r="N9" i="2"/>
  <c r="BI17" i="1"/>
  <c r="W17" i="3" s="1"/>
  <c r="N17" i="2"/>
  <c r="BI25" i="1"/>
  <c r="W25" i="3" s="1"/>
  <c r="N25" i="2"/>
  <c r="BI33" i="1"/>
  <c r="W33" i="3" s="1"/>
  <c r="N33" i="2"/>
  <c r="T15" i="1"/>
  <c r="BW15" i="3" s="1"/>
  <c r="BF15" i="1"/>
  <c r="T15" i="3" s="1"/>
  <c r="K15" i="2"/>
  <c r="T23" i="1"/>
  <c r="BW23" i="3" s="1"/>
  <c r="BF23" i="1"/>
  <c r="T23" i="3" s="1"/>
  <c r="K23" i="2"/>
  <c r="T31" i="1"/>
  <c r="BW31" i="3" s="1"/>
  <c r="BF31" i="1"/>
  <c r="T31" i="3" s="1"/>
  <c r="K31" i="2"/>
  <c r="BC25" i="1"/>
  <c r="Q25" i="3" s="1"/>
  <c r="H25" i="2"/>
  <c r="BC11" i="1"/>
  <c r="Q11" i="3" s="1"/>
  <c r="H11" i="2"/>
  <c r="L8" i="2"/>
  <c r="BG8" i="1"/>
  <c r="U8" i="3" s="1"/>
  <c r="L11" i="2"/>
  <c r="BG11" i="1"/>
  <c r="U11" i="3" s="1"/>
  <c r="J14" i="2"/>
  <c r="BE14" i="1"/>
  <c r="S14" i="3" s="1"/>
  <c r="BC18" i="1"/>
  <c r="Q18" i="3" s="1"/>
  <c r="H18" i="2"/>
  <c r="T20" i="1"/>
  <c r="BW20" i="3" s="1"/>
  <c r="J23" i="2"/>
  <c r="BE23" i="1"/>
  <c r="S23" i="3" s="1"/>
  <c r="J26" i="2"/>
  <c r="BE26" i="1"/>
  <c r="S26" i="3" s="1"/>
  <c r="BC29" i="1"/>
  <c r="Q29" i="3" s="1"/>
  <c r="H29" i="2"/>
  <c r="J32" i="2"/>
  <c r="BE32" i="1"/>
  <c r="S32" i="3" s="1"/>
  <c r="BC35" i="1"/>
  <c r="Q35" i="3" s="1"/>
  <c r="H35" i="2"/>
  <c r="BI10" i="1"/>
  <c r="W10" i="3" s="1"/>
  <c r="N10" i="2"/>
  <c r="BI18" i="1"/>
  <c r="W18" i="3" s="1"/>
  <c r="N18" i="2"/>
  <c r="BI26" i="1"/>
  <c r="W26" i="3" s="1"/>
  <c r="N26" i="2"/>
  <c r="BI34" i="1"/>
  <c r="W34" i="3" s="1"/>
  <c r="N34" i="2"/>
  <c r="K5" i="2"/>
  <c r="BF5" i="1"/>
  <c r="T5" i="3" s="1"/>
  <c r="BF16" i="1"/>
  <c r="T16" i="3" s="1"/>
  <c r="K16" i="2"/>
  <c r="BF24" i="1"/>
  <c r="T24" i="3" s="1"/>
  <c r="K24" i="2"/>
  <c r="BF32" i="1"/>
  <c r="T32" i="3" s="1"/>
  <c r="K32" i="2"/>
  <c r="BC22" i="1"/>
  <c r="Q22" i="3" s="1"/>
  <c r="H22" i="2"/>
  <c r="K12" i="2"/>
  <c r="BF12" i="1"/>
  <c r="T12" i="3" s="1"/>
  <c r="J11" i="2"/>
  <c r="BE11" i="1"/>
  <c r="S11" i="3" s="1"/>
  <c r="H9" i="2"/>
  <c r="BC9" i="1"/>
  <c r="Q9" i="3" s="1"/>
  <c r="BC12" i="1"/>
  <c r="Q12" i="3" s="1"/>
  <c r="H12" i="2"/>
  <c r="BC15" i="1"/>
  <c r="Q15" i="3" s="1"/>
  <c r="H15" i="2"/>
  <c r="J18" i="2"/>
  <c r="BE18" i="1"/>
  <c r="S18" i="3" s="1"/>
  <c r="BC21" i="1"/>
  <c r="Q21" i="3" s="1"/>
  <c r="H21" i="2"/>
  <c r="BC24" i="1"/>
  <c r="Q24" i="3" s="1"/>
  <c r="H24" i="2"/>
  <c r="BG26" i="1"/>
  <c r="U26" i="3" s="1"/>
  <c r="J29" i="2"/>
  <c r="BE29" i="1"/>
  <c r="S29" i="3" s="1"/>
  <c r="BG32" i="1"/>
  <c r="U32" i="3" s="1"/>
  <c r="L32" i="2"/>
  <c r="J35" i="2"/>
  <c r="BE35" i="1"/>
  <c r="S35" i="3" s="1"/>
  <c r="BI11" i="1"/>
  <c r="W11" i="3" s="1"/>
  <c r="N11" i="2"/>
  <c r="BI19" i="1"/>
  <c r="W19" i="3" s="1"/>
  <c r="N19" i="2"/>
  <c r="BI27" i="1"/>
  <c r="W27" i="3" s="1"/>
  <c r="N27" i="2"/>
  <c r="BI35" i="1"/>
  <c r="W35" i="3" s="1"/>
  <c r="N35" i="2"/>
  <c r="T9" i="1"/>
  <c r="BW9" i="3" s="1"/>
  <c r="G9" i="14" s="1"/>
  <c r="K9" i="2"/>
  <c r="BF9" i="1"/>
  <c r="T9" i="3" s="1"/>
  <c r="T17" i="1"/>
  <c r="BW17" i="3" s="1"/>
  <c r="BF17" i="1"/>
  <c r="T17" i="3" s="1"/>
  <c r="K17" i="2"/>
  <c r="BF25" i="1"/>
  <c r="T25" i="3" s="1"/>
  <c r="K25" i="2"/>
  <c r="BF33" i="1"/>
  <c r="T33" i="3" s="1"/>
  <c r="K33" i="2"/>
  <c r="BG30" i="1"/>
  <c r="U30" i="3" s="1"/>
  <c r="L30" i="2"/>
  <c r="BF28" i="1"/>
  <c r="T28" i="3" s="1"/>
  <c r="K28" i="2"/>
  <c r="J17" i="2"/>
  <c r="BE17" i="1"/>
  <c r="S17" i="3" s="1"/>
  <c r="H5" i="2"/>
  <c r="BC5" i="1"/>
  <c r="Q5" i="3" s="1"/>
  <c r="J9" i="2"/>
  <c r="BE9" i="1"/>
  <c r="S9" i="3" s="1"/>
  <c r="J12" i="2"/>
  <c r="BE12" i="1"/>
  <c r="S12" i="3" s="1"/>
  <c r="J15" i="2"/>
  <c r="BE15" i="1"/>
  <c r="S15" i="3" s="1"/>
  <c r="J21" i="2"/>
  <c r="BE21" i="1"/>
  <c r="S21" i="3" s="1"/>
  <c r="J24" i="2"/>
  <c r="BE24" i="1"/>
  <c r="S24" i="3" s="1"/>
  <c r="BC27" i="1"/>
  <c r="Q27" i="3" s="1"/>
  <c r="H27" i="2"/>
  <c r="BC30" i="1"/>
  <c r="Q30" i="3" s="1"/>
  <c r="H30" i="2"/>
  <c r="BC33" i="1"/>
  <c r="Q33" i="3" s="1"/>
  <c r="H33" i="2"/>
  <c r="BG35" i="1"/>
  <c r="U35" i="3" s="1"/>
  <c r="L35" i="2"/>
  <c r="BI12" i="1"/>
  <c r="W12" i="3" s="1"/>
  <c r="N12" i="2"/>
  <c r="BI20" i="1"/>
  <c r="W20" i="3" s="1"/>
  <c r="N20" i="2"/>
  <c r="BI28" i="1"/>
  <c r="W28" i="3" s="1"/>
  <c r="N28" i="2"/>
  <c r="K10" i="2"/>
  <c r="BF10" i="1"/>
  <c r="T10" i="3" s="1"/>
  <c r="BF18" i="1"/>
  <c r="T18" i="3" s="1"/>
  <c r="K18" i="2"/>
  <c r="BF26" i="1"/>
  <c r="T26" i="3" s="1"/>
  <c r="K26" i="2"/>
  <c r="BF34" i="1"/>
  <c r="T34" i="3" s="1"/>
  <c r="K34" i="2"/>
  <c r="J10" i="2"/>
  <c r="BE10" i="1"/>
  <c r="S10" i="3" s="1"/>
  <c r="J8" i="2"/>
  <c r="BE8" i="1"/>
  <c r="S8" i="3" s="1"/>
  <c r="J5" i="2"/>
  <c r="BE5" i="1"/>
  <c r="S5" i="3" s="1"/>
  <c r="H10" i="2"/>
  <c r="BC10" i="1"/>
  <c r="Q10" i="3" s="1"/>
  <c r="T12" i="1"/>
  <c r="BW12" i="3" s="1"/>
  <c r="BC16" i="1"/>
  <c r="Q16" i="3" s="1"/>
  <c r="H16" i="2"/>
  <c r="BC19" i="1"/>
  <c r="Q19" i="3" s="1"/>
  <c r="H19" i="2"/>
  <c r="BG21" i="1"/>
  <c r="U21" i="3" s="1"/>
  <c r="L21" i="2"/>
  <c r="L24" i="2"/>
  <c r="J27" i="2"/>
  <c r="BE27" i="1"/>
  <c r="S27" i="3" s="1"/>
  <c r="J30" i="2"/>
  <c r="BE30" i="1"/>
  <c r="S30" i="3" s="1"/>
  <c r="J33" i="2"/>
  <c r="BE33" i="1"/>
  <c r="S33" i="3" s="1"/>
  <c r="BI13" i="1"/>
  <c r="W13" i="3" s="1"/>
  <c r="N13" i="2"/>
  <c r="BI21" i="1"/>
  <c r="W21" i="3" s="1"/>
  <c r="N21" i="2"/>
  <c r="BI29" i="1"/>
  <c r="W29" i="3" s="1"/>
  <c r="N29" i="2"/>
  <c r="L5" i="2"/>
  <c r="T24" i="9" s="1"/>
  <c r="BG5" i="1"/>
  <c r="U5" i="3" s="1"/>
  <c r="BF11" i="1"/>
  <c r="T11" i="3" s="1"/>
  <c r="K11" i="2"/>
  <c r="BF19" i="1"/>
  <c r="T19" i="3" s="1"/>
  <c r="K19" i="2"/>
  <c r="BF27" i="1"/>
  <c r="T27" i="3" s="1"/>
  <c r="K27" i="2"/>
  <c r="BF35" i="1"/>
  <c r="T35" i="3" s="1"/>
  <c r="K35" i="2"/>
  <c r="DB3" i="1"/>
  <c r="CX3" i="1"/>
  <c r="CJ3" i="1"/>
  <c r="CH3" i="1"/>
  <c r="DI3" i="1"/>
  <c r="DG3" i="1"/>
  <c r="CG15" i="1"/>
  <c r="DC5" i="1"/>
  <c r="DB5" i="1" s="1"/>
  <c r="CK5" i="1"/>
  <c r="CJ5" i="1" s="1"/>
  <c r="EA3" i="1"/>
  <c r="EB5" i="1"/>
  <c r="DW3" i="1"/>
  <c r="DJ5" i="1"/>
  <c r="DI5" i="1" s="1"/>
  <c r="EH35" i="1"/>
  <c r="EH34" i="1"/>
  <c r="EH33" i="1"/>
  <c r="EH32" i="1"/>
  <c r="EH31" i="1"/>
  <c r="EH30" i="1"/>
  <c r="EH29" i="1"/>
  <c r="EH28" i="1"/>
  <c r="EH27" i="1"/>
  <c r="EH26" i="1"/>
  <c r="EH25" i="1"/>
  <c r="EH24" i="1"/>
  <c r="EH23" i="1"/>
  <c r="EH22" i="1"/>
  <c r="EH21" i="1"/>
  <c r="EH20" i="1"/>
  <c r="EH19" i="1"/>
  <c r="EH18" i="1"/>
  <c r="EH17" i="1"/>
  <c r="EH16" i="1"/>
  <c r="EH15" i="1"/>
  <c r="EH14" i="1"/>
  <c r="EH13" i="1"/>
  <c r="EH12" i="1"/>
  <c r="EH11" i="1"/>
  <c r="EH10" i="1"/>
  <c r="EH9" i="1"/>
  <c r="EH8" i="1"/>
  <c r="EH7" i="1"/>
  <c r="CD32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AQ10" i="1" s="1"/>
  <c r="M9" i="1"/>
  <c r="M8" i="1"/>
  <c r="CD8" i="1" s="1"/>
  <c r="I35" i="1"/>
  <c r="BL35" i="3" s="1"/>
  <c r="I34" i="1"/>
  <c r="BL34" i="3" s="1"/>
  <c r="I33" i="1"/>
  <c r="BL33" i="3" s="1"/>
  <c r="I32" i="1"/>
  <c r="BL32" i="3" s="1"/>
  <c r="I31" i="1"/>
  <c r="BL31" i="3" s="1"/>
  <c r="I30" i="1"/>
  <c r="BL30" i="3" s="1"/>
  <c r="I29" i="1"/>
  <c r="BL29" i="3" s="1"/>
  <c r="I28" i="1"/>
  <c r="BL28" i="3" s="1"/>
  <c r="I27" i="1"/>
  <c r="BL27" i="3" s="1"/>
  <c r="I26" i="1"/>
  <c r="BL26" i="3" s="1"/>
  <c r="I25" i="1"/>
  <c r="BL25" i="3" s="1"/>
  <c r="I24" i="1"/>
  <c r="BL24" i="3" s="1"/>
  <c r="I23" i="1"/>
  <c r="BL23" i="3" s="1"/>
  <c r="I22" i="1"/>
  <c r="BL22" i="3" s="1"/>
  <c r="I21" i="1"/>
  <c r="BL21" i="3" s="1"/>
  <c r="I20" i="1"/>
  <c r="BL20" i="3" s="1"/>
  <c r="I19" i="1"/>
  <c r="BL19" i="3" s="1"/>
  <c r="I18" i="1"/>
  <c r="BL18" i="3" s="1"/>
  <c r="I17" i="1"/>
  <c r="BL17" i="3" s="1"/>
  <c r="I16" i="1"/>
  <c r="BL16" i="3" s="1"/>
  <c r="I15" i="1"/>
  <c r="BL15" i="3" s="1"/>
  <c r="I14" i="1"/>
  <c r="BL14" i="3" s="1"/>
  <c r="I13" i="1"/>
  <c r="BL13" i="3" s="1"/>
  <c r="I12" i="1"/>
  <c r="BL12" i="3" s="1"/>
  <c r="I11" i="1"/>
  <c r="BL11" i="3" s="1"/>
  <c r="I10" i="1"/>
  <c r="BL10" i="3" s="1"/>
  <c r="I9" i="1"/>
  <c r="BL9" i="3" s="1"/>
  <c r="I8" i="1"/>
  <c r="BL8" i="3" s="1"/>
  <c r="G35" i="1"/>
  <c r="G34" i="1"/>
  <c r="AM34" i="1" s="1"/>
  <c r="G33" i="1"/>
  <c r="G32" i="1"/>
  <c r="G31" i="1"/>
  <c r="G30" i="1"/>
  <c r="G29" i="1"/>
  <c r="G28" i="1"/>
  <c r="G27" i="1"/>
  <c r="G26" i="1"/>
  <c r="G25" i="1"/>
  <c r="G24" i="1"/>
  <c r="G23" i="1"/>
  <c r="CG23" i="1" s="1"/>
  <c r="G22" i="1"/>
  <c r="G21" i="1"/>
  <c r="G20" i="1"/>
  <c r="G19" i="1"/>
  <c r="G18" i="1"/>
  <c r="DF18" i="1" s="1"/>
  <c r="G17" i="1"/>
  <c r="G16" i="1"/>
  <c r="G15" i="1"/>
  <c r="G14" i="1"/>
  <c r="G13" i="1"/>
  <c r="G12" i="1"/>
  <c r="G11" i="1"/>
  <c r="G10" i="1"/>
  <c r="AM10" i="1" s="1"/>
  <c r="G9" i="1"/>
  <c r="G8" i="1"/>
  <c r="V14" i="14" l="1"/>
  <c r="R12" i="14"/>
  <c r="S12" i="14"/>
  <c r="R10" i="14"/>
  <c r="P8" i="14"/>
  <c r="V16" i="14"/>
  <c r="V13" i="14"/>
  <c r="T12" i="14"/>
  <c r="P16" i="14"/>
  <c r="V12" i="14"/>
  <c r="P12" i="8"/>
  <c r="E24" i="8"/>
  <c r="Q24" i="8" s="1"/>
  <c r="P24" i="8"/>
  <c r="R13" i="13"/>
  <c r="V11" i="8"/>
  <c r="P14" i="8"/>
  <c r="N14" i="8"/>
  <c r="P11" i="14"/>
  <c r="E11" i="14"/>
  <c r="Q11" i="14" s="1"/>
  <c r="E10" i="14"/>
  <c r="Q10" i="14" s="1"/>
  <c r="P10" i="14"/>
  <c r="V8" i="8"/>
  <c r="V10" i="8"/>
  <c r="BG24" i="1"/>
  <c r="U24" i="3" s="1"/>
  <c r="L26" i="2"/>
  <c r="I24" i="8"/>
  <c r="U24" i="8" s="1"/>
  <c r="V24" i="8"/>
  <c r="G24" i="8"/>
  <c r="S24" i="8" s="1"/>
  <c r="R24" i="8"/>
  <c r="R15" i="14"/>
  <c r="P12" i="14"/>
  <c r="Q12" i="14"/>
  <c r="E13" i="8"/>
  <c r="Q13" i="8" s="1"/>
  <c r="P13" i="8"/>
  <c r="R12" i="13"/>
  <c r="BN13" i="1"/>
  <c r="T8" i="14"/>
  <c r="E16" i="14"/>
  <c r="Q16" i="14" s="1"/>
  <c r="R16" i="14"/>
  <c r="R14" i="8"/>
  <c r="E12" i="8"/>
  <c r="Q12" i="8" s="1"/>
  <c r="R12" i="8"/>
  <c r="G13" i="14"/>
  <c r="S13" i="14" s="1"/>
  <c r="V12" i="8"/>
  <c r="L13" i="2"/>
  <c r="L19" i="2"/>
  <c r="V8" i="14"/>
  <c r="P14" i="14"/>
  <c r="I12" i="14"/>
  <c r="U12" i="14" s="1"/>
  <c r="V11" i="14"/>
  <c r="E13" i="14"/>
  <c r="Q13" i="14" s="1"/>
  <c r="R13" i="14"/>
  <c r="R13" i="8"/>
  <c r="G13" i="8"/>
  <c r="S13" i="8" s="1"/>
  <c r="E8" i="14"/>
  <c r="Q8" i="14" s="1"/>
  <c r="R8" i="14"/>
  <c r="BG13" i="1"/>
  <c r="U13" i="3" s="1"/>
  <c r="V14" i="8"/>
  <c r="E9" i="8"/>
  <c r="V10" i="14"/>
  <c r="Q14" i="14"/>
  <c r="P13" i="14"/>
  <c r="B9" i="9"/>
  <c r="N9" i="9" s="1"/>
  <c r="B9" i="13"/>
  <c r="N9" i="13" s="1"/>
  <c r="B9" i="11"/>
  <c r="N9" i="11" s="1"/>
  <c r="B9" i="10"/>
  <c r="N9" i="10" s="1"/>
  <c r="B9" i="14"/>
  <c r="Q9" i="14" s="1"/>
  <c r="B9" i="12"/>
  <c r="N9" i="12" s="1"/>
  <c r="B9" i="8"/>
  <c r="N9" i="8" s="1"/>
  <c r="G14" i="14"/>
  <c r="S14" i="14" s="1"/>
  <c r="I14" i="14"/>
  <c r="U14" i="14" s="1"/>
  <c r="T14" i="14"/>
  <c r="I9" i="14"/>
  <c r="V15" i="14"/>
  <c r="R15" i="13"/>
  <c r="R16" i="13"/>
  <c r="BN21" i="1"/>
  <c r="I24" i="9"/>
  <c r="U24" i="9" s="1"/>
  <c r="V24" i="9"/>
  <c r="R11" i="14"/>
  <c r="BN29" i="1"/>
  <c r="R24" i="9"/>
  <c r="G24" i="9"/>
  <c r="S24" i="9" s="1"/>
  <c r="R14" i="13"/>
  <c r="CB35" i="1"/>
  <c r="V13" i="8"/>
  <c r="G15" i="14"/>
  <c r="S15" i="14" s="1"/>
  <c r="G11" i="14"/>
  <c r="S11" i="14" s="1"/>
  <c r="G16" i="14"/>
  <c r="S16" i="14" s="1"/>
  <c r="P15" i="14"/>
  <c r="E15" i="14"/>
  <c r="Q15" i="14" s="1"/>
  <c r="R14" i="14"/>
  <c r="CW26" i="1"/>
  <c r="BJ26" i="3"/>
  <c r="CD26" i="1"/>
  <c r="BP26" i="3"/>
  <c r="BZ35" i="1"/>
  <c r="BJ35" i="3"/>
  <c r="BP27" i="1"/>
  <c r="BP27" i="3"/>
  <c r="AJ3" i="3"/>
  <c r="CZ3" i="1"/>
  <c r="CO3" i="1"/>
  <c r="AA3" i="3" s="1"/>
  <c r="BL12" i="1"/>
  <c r="BJ12" i="3"/>
  <c r="BP12" i="1"/>
  <c r="BP12" i="3"/>
  <c r="L22" i="2"/>
  <c r="BG19" i="1"/>
  <c r="U19" i="3" s="1"/>
  <c r="B28" i="4"/>
  <c r="CW18" i="1"/>
  <c r="BJ18" i="3"/>
  <c r="CD34" i="1"/>
  <c r="BP34" i="3"/>
  <c r="BZ11" i="1"/>
  <c r="BJ11" i="3"/>
  <c r="BP19" i="1"/>
  <c r="BP19" i="3"/>
  <c r="AN5" i="3"/>
  <c r="CS5" i="1"/>
  <c r="AE5" i="3" s="1"/>
  <c r="Y10" i="1"/>
  <c r="DF10" i="1"/>
  <c r="BL21" i="1"/>
  <c r="BJ21" i="3"/>
  <c r="CD29" i="1"/>
  <c r="BP29" i="3"/>
  <c r="BS18" i="1"/>
  <c r="CW14" i="1"/>
  <c r="BJ14" i="3"/>
  <c r="CW22" i="1"/>
  <c r="BJ22" i="3"/>
  <c r="CW30" i="1"/>
  <c r="BJ30" i="3"/>
  <c r="AQ14" i="1"/>
  <c r="BP14" i="3"/>
  <c r="AQ22" i="1"/>
  <c r="BP22" i="3"/>
  <c r="AQ30" i="1"/>
  <c r="BP30" i="3"/>
  <c r="Y26" i="1"/>
  <c r="BS26" i="1"/>
  <c r="DF26" i="1"/>
  <c r="DY3" i="1"/>
  <c r="BB3" i="3"/>
  <c r="DN3" i="1"/>
  <c r="AS3" i="3" s="1"/>
  <c r="L18" i="2"/>
  <c r="BG22" i="1"/>
  <c r="U22" i="3" s="1"/>
  <c r="L16" i="2"/>
  <c r="L28" i="2"/>
  <c r="B29" i="4"/>
  <c r="CD18" i="1"/>
  <c r="BP18" i="3"/>
  <c r="BZ27" i="1"/>
  <c r="BJ27" i="3"/>
  <c r="BP35" i="1"/>
  <c r="BP35" i="3"/>
  <c r="BL28" i="1"/>
  <c r="BJ28" i="3"/>
  <c r="BP20" i="1"/>
  <c r="BP20" i="3"/>
  <c r="CD21" i="1"/>
  <c r="BP21" i="3"/>
  <c r="AO30" i="1"/>
  <c r="DF15" i="1"/>
  <c r="BJ15" i="3"/>
  <c r="CD15" i="1"/>
  <c r="BP15" i="3"/>
  <c r="CD23" i="1"/>
  <c r="BP23" i="3"/>
  <c r="CD31" i="1"/>
  <c r="BP31" i="3"/>
  <c r="Y34" i="1"/>
  <c r="AQ18" i="1"/>
  <c r="BS34" i="1"/>
  <c r="DF34" i="1"/>
  <c r="EA5" i="1"/>
  <c r="BG5" i="3"/>
  <c r="DS5" i="1"/>
  <c r="AX5" i="3" s="1"/>
  <c r="BG18" i="1"/>
  <c r="U18" i="3" s="1"/>
  <c r="BG16" i="1"/>
  <c r="U16" i="3" s="1"/>
  <c r="BG28" i="1"/>
  <c r="U28" i="3" s="1"/>
  <c r="T15" i="8" s="1"/>
  <c r="B31" i="4"/>
  <c r="AO22" i="1"/>
  <c r="AO5" i="3"/>
  <c r="CT5" i="1"/>
  <c r="AF5" i="3" s="1"/>
  <c r="BL13" i="1"/>
  <c r="BJ13" i="3"/>
  <c r="CD13" i="1"/>
  <c r="BP13" i="3"/>
  <c r="DF16" i="1"/>
  <c r="BJ16" i="3"/>
  <c r="BP16" i="1"/>
  <c r="BP16" i="3"/>
  <c r="V12" i="13" s="1"/>
  <c r="BP32" i="1"/>
  <c r="BP32" i="3"/>
  <c r="AQ26" i="1"/>
  <c r="BF3" i="3"/>
  <c r="DR3" i="1"/>
  <c r="AW3" i="3" s="1"/>
  <c r="CW10" i="1"/>
  <c r="BJ10" i="3"/>
  <c r="CW34" i="1"/>
  <c r="BJ34" i="3"/>
  <c r="CD10" i="1"/>
  <c r="BP10" i="3"/>
  <c r="BZ19" i="1"/>
  <c r="BJ19" i="3"/>
  <c r="BP11" i="1"/>
  <c r="BP11" i="3"/>
  <c r="AO14" i="1"/>
  <c r="BG34" i="1"/>
  <c r="U34" i="3" s="1"/>
  <c r="BL20" i="1"/>
  <c r="BJ20" i="3"/>
  <c r="BP28" i="1"/>
  <c r="BP28" i="3"/>
  <c r="AN3" i="3"/>
  <c r="CS3" i="1"/>
  <c r="AE3" i="3" s="1"/>
  <c r="BL29" i="1"/>
  <c r="BJ29" i="3"/>
  <c r="Y18" i="1"/>
  <c r="DF23" i="1"/>
  <c r="BJ23" i="3"/>
  <c r="DF31" i="1"/>
  <c r="BJ31" i="3"/>
  <c r="DF8" i="1"/>
  <c r="BJ8" i="3"/>
  <c r="DF24" i="1"/>
  <c r="BJ24" i="3"/>
  <c r="DF32" i="1"/>
  <c r="BJ32" i="3"/>
  <c r="BP8" i="1"/>
  <c r="BP8" i="3"/>
  <c r="BP24" i="1"/>
  <c r="BP24" i="3"/>
  <c r="DF9" i="1"/>
  <c r="BJ9" i="3"/>
  <c r="DF17" i="1"/>
  <c r="BJ17" i="3"/>
  <c r="DF25" i="1"/>
  <c r="BJ25" i="3"/>
  <c r="DF33" i="1"/>
  <c r="BJ33" i="3"/>
  <c r="AQ9" i="1"/>
  <c r="BP9" i="3"/>
  <c r="AQ17" i="1"/>
  <c r="BP17" i="3"/>
  <c r="AQ25" i="1"/>
  <c r="BP25" i="3"/>
  <c r="AQ33" i="1"/>
  <c r="BP33" i="3"/>
  <c r="AM18" i="1"/>
  <c r="BN9" i="1"/>
  <c r="CB27" i="1"/>
  <c r="C7" i="4"/>
  <c r="CB23" i="1"/>
  <c r="K23" i="1"/>
  <c r="BN23" i="3" s="1"/>
  <c r="CG11" i="1"/>
  <c r="T27" i="2"/>
  <c r="AW27" i="1"/>
  <c r="K27" i="3" s="1"/>
  <c r="Q19" i="2"/>
  <c r="AT19" i="1"/>
  <c r="H19" i="3" s="1"/>
  <c r="S8" i="2"/>
  <c r="AV8" i="1"/>
  <c r="J8" i="3" s="1"/>
  <c r="S15" i="2"/>
  <c r="AV15" i="1"/>
  <c r="J15" i="3" s="1"/>
  <c r="S17" i="2"/>
  <c r="AV17" i="1"/>
  <c r="J17" i="3" s="1"/>
  <c r="S35" i="2"/>
  <c r="AV35" i="1"/>
  <c r="J35" i="3" s="1"/>
  <c r="S26" i="2"/>
  <c r="AV26" i="1"/>
  <c r="J26" i="3" s="1"/>
  <c r="Q25" i="2"/>
  <c r="AT25" i="1"/>
  <c r="H25" i="3" s="1"/>
  <c r="T15" i="2"/>
  <c r="AW15" i="1"/>
  <c r="K15" i="3" s="1"/>
  <c r="W24" i="2"/>
  <c r="AZ24" i="1"/>
  <c r="N24" i="3" s="1"/>
  <c r="W30" i="2"/>
  <c r="AZ30" i="1"/>
  <c r="N30" i="3" s="1"/>
  <c r="S13" i="2"/>
  <c r="AV13" i="1"/>
  <c r="J13" i="3" s="1"/>
  <c r="CB16" i="1"/>
  <c r="K16" i="1"/>
  <c r="BN16" i="3" s="1"/>
  <c r="CB24" i="1"/>
  <c r="K24" i="1"/>
  <c r="BN24" i="3" s="1"/>
  <c r="CB32" i="1"/>
  <c r="K32" i="1"/>
  <c r="BN32" i="3" s="1"/>
  <c r="S27" i="2"/>
  <c r="AV27" i="1"/>
  <c r="J27" i="3" s="1"/>
  <c r="T18" i="2"/>
  <c r="AW18" i="1"/>
  <c r="K18" i="3" s="1"/>
  <c r="Q27" i="2"/>
  <c r="AT27" i="1"/>
  <c r="H27" i="3" s="1"/>
  <c r="T25" i="2"/>
  <c r="AW25" i="1"/>
  <c r="K25" i="3" s="1"/>
  <c r="W35" i="2"/>
  <c r="AZ35" i="1"/>
  <c r="N35" i="3" s="1"/>
  <c r="Q24" i="2"/>
  <c r="AT24" i="1"/>
  <c r="H24" i="3" s="1"/>
  <c r="Q12" i="2"/>
  <c r="AT12" i="1"/>
  <c r="H12" i="3" s="1"/>
  <c r="Q22" i="2"/>
  <c r="AT22" i="1"/>
  <c r="H22" i="3" s="1"/>
  <c r="W10" i="2"/>
  <c r="AZ10" i="1"/>
  <c r="N10" i="3" s="1"/>
  <c r="W9" i="2"/>
  <c r="AZ9" i="1"/>
  <c r="N9" i="3" s="1"/>
  <c r="V9" i="6" s="1"/>
  <c r="Q23" i="2"/>
  <c r="AT23" i="1"/>
  <c r="H23" i="3" s="1"/>
  <c r="T14" i="2"/>
  <c r="AW14" i="1"/>
  <c r="K14" i="3" s="1"/>
  <c r="S28" i="2"/>
  <c r="AV28" i="1"/>
  <c r="J28" i="3" s="1"/>
  <c r="AO9" i="1"/>
  <c r="K9" i="1"/>
  <c r="BN9" i="3" s="1"/>
  <c r="G9" i="13" s="1"/>
  <c r="S9" i="13" s="1"/>
  <c r="CB15" i="1"/>
  <c r="K15" i="1"/>
  <c r="BN15" i="3" s="1"/>
  <c r="CB31" i="1"/>
  <c r="K31" i="1"/>
  <c r="BN31" i="3" s="1"/>
  <c r="DV35" i="1"/>
  <c r="W29" i="2"/>
  <c r="AZ29" i="1"/>
  <c r="N29" i="3" s="1"/>
  <c r="Q20" i="2"/>
  <c r="AT20" i="1"/>
  <c r="H20" i="3" s="1"/>
  <c r="T8" i="2"/>
  <c r="AW8" i="1"/>
  <c r="K8" i="3" s="1"/>
  <c r="S25" i="2"/>
  <c r="AV25" i="1"/>
  <c r="J25" i="3" s="1"/>
  <c r="CB8" i="1"/>
  <c r="K8" i="1"/>
  <c r="BN8" i="3" s="1"/>
  <c r="W12" i="2"/>
  <c r="AZ12" i="1"/>
  <c r="N12" i="3" s="1"/>
  <c r="U11" i="2"/>
  <c r="AX11" i="1"/>
  <c r="L11" i="3" s="1"/>
  <c r="W14" i="2"/>
  <c r="AZ14" i="1"/>
  <c r="N14" i="3" s="1"/>
  <c r="AO17" i="1"/>
  <c r="K17" i="1"/>
  <c r="BN17" i="3" s="1"/>
  <c r="AO25" i="1"/>
  <c r="K25" i="1"/>
  <c r="BN25" i="3" s="1"/>
  <c r="AO33" i="1"/>
  <c r="K33" i="1"/>
  <c r="BN33" i="3" s="1"/>
  <c r="BN17" i="1"/>
  <c r="CG19" i="1"/>
  <c r="T19" i="2"/>
  <c r="AW19" i="1"/>
  <c r="K19" i="3" s="1"/>
  <c r="W21" i="2"/>
  <c r="AZ21" i="1"/>
  <c r="N21" i="3" s="1"/>
  <c r="Q16" i="2"/>
  <c r="AT16" i="1"/>
  <c r="H16" i="3" s="1"/>
  <c r="S10" i="2"/>
  <c r="AV10" i="1"/>
  <c r="J10" i="3" s="1"/>
  <c r="T10" i="2"/>
  <c r="AW10" i="1"/>
  <c r="K10" i="3" s="1"/>
  <c r="S24" i="2"/>
  <c r="AV24" i="1"/>
  <c r="J24" i="3" s="1"/>
  <c r="S12" i="2"/>
  <c r="AV12" i="1"/>
  <c r="J12" i="3" s="1"/>
  <c r="Q9" i="2"/>
  <c r="AT9" i="1"/>
  <c r="H9" i="3" s="1"/>
  <c r="S23" i="2"/>
  <c r="AV23" i="1"/>
  <c r="J23" i="3" s="1"/>
  <c r="T31" i="2"/>
  <c r="AW31" i="1"/>
  <c r="K31" i="3" s="1"/>
  <c r="S20" i="2"/>
  <c r="AV20" i="1"/>
  <c r="J20" i="3" s="1"/>
  <c r="S16" i="2"/>
  <c r="AV16" i="1"/>
  <c r="J16" i="3" s="1"/>
  <c r="W16" i="2"/>
  <c r="AZ16" i="1"/>
  <c r="N16" i="3" s="1"/>
  <c r="V12" i="6" s="1"/>
  <c r="Q17" i="2"/>
  <c r="AT17" i="1"/>
  <c r="H17" i="3" s="1"/>
  <c r="W22" i="2"/>
  <c r="AZ22" i="1"/>
  <c r="N22" i="3" s="1"/>
  <c r="T29" i="2"/>
  <c r="AW29" i="1"/>
  <c r="K29" i="3" s="1"/>
  <c r="S22" i="2"/>
  <c r="AV22" i="1"/>
  <c r="J22" i="3" s="1"/>
  <c r="U10" i="2"/>
  <c r="AX10" i="1"/>
  <c r="L10" i="3" s="1"/>
  <c r="CB10" i="1"/>
  <c r="K10" i="1"/>
  <c r="BN10" i="3" s="1"/>
  <c r="CB18" i="1"/>
  <c r="K18" i="1"/>
  <c r="BN18" i="3" s="1"/>
  <c r="CB26" i="1"/>
  <c r="K26" i="1"/>
  <c r="BN26" i="3" s="1"/>
  <c r="CB34" i="1"/>
  <c r="K34" i="1"/>
  <c r="BN34" i="3" s="1"/>
  <c r="U35" i="2"/>
  <c r="AX35" i="1"/>
  <c r="L35" i="3" s="1"/>
  <c r="T28" i="2"/>
  <c r="AW28" i="1"/>
  <c r="K28" i="3" s="1"/>
  <c r="T17" i="2"/>
  <c r="AW17" i="1"/>
  <c r="K17" i="3" s="1"/>
  <c r="W27" i="2"/>
  <c r="AZ27" i="1"/>
  <c r="N27" i="3" s="1"/>
  <c r="U32" i="2"/>
  <c r="AX32" i="1"/>
  <c r="L32" i="3" s="1"/>
  <c r="Q21" i="2"/>
  <c r="AT21" i="1"/>
  <c r="H21" i="3" s="1"/>
  <c r="T32" i="2"/>
  <c r="AW32" i="1"/>
  <c r="K32" i="3" s="1"/>
  <c r="W34" i="2"/>
  <c r="AZ34" i="1"/>
  <c r="N34" i="3" s="1"/>
  <c r="Q35" i="2"/>
  <c r="AT35" i="1"/>
  <c r="H35" i="3" s="1"/>
  <c r="U8" i="2"/>
  <c r="AX8" i="1"/>
  <c r="L8" i="3" s="1"/>
  <c r="W33" i="2"/>
  <c r="AZ33" i="1"/>
  <c r="N33" i="3" s="1"/>
  <c r="U34" i="2"/>
  <c r="U13" i="2"/>
  <c r="AX13" i="1"/>
  <c r="L13" i="3" s="1"/>
  <c r="W31" i="2"/>
  <c r="AZ31" i="1"/>
  <c r="N31" i="3" s="1"/>
  <c r="Q34" i="2"/>
  <c r="AT34" i="1"/>
  <c r="H34" i="3" s="1"/>
  <c r="U27" i="2"/>
  <c r="AX27" i="1"/>
  <c r="L27" i="3" s="1"/>
  <c r="AO11" i="1"/>
  <c r="K11" i="1"/>
  <c r="BN11" i="3" s="1"/>
  <c r="AO19" i="1"/>
  <c r="K19" i="1"/>
  <c r="BN19" i="3" s="1"/>
  <c r="AO27" i="1"/>
  <c r="K27" i="1"/>
  <c r="BN27" i="3" s="1"/>
  <c r="AO35" i="1"/>
  <c r="K35" i="1"/>
  <c r="BN35" i="3" s="1"/>
  <c r="BN25" i="1"/>
  <c r="CB11" i="1"/>
  <c r="CG27" i="1"/>
  <c r="T11" i="2"/>
  <c r="AW11" i="1"/>
  <c r="K11" i="3" s="1"/>
  <c r="W13" i="2"/>
  <c r="AZ13" i="1"/>
  <c r="N13" i="3" s="1"/>
  <c r="AX24" i="1"/>
  <c r="L24" i="3" s="1"/>
  <c r="Q10" i="2"/>
  <c r="AT10" i="1"/>
  <c r="H10" i="3" s="1"/>
  <c r="S21" i="2"/>
  <c r="AV21" i="1"/>
  <c r="J21" i="3" s="1"/>
  <c r="S9" i="2"/>
  <c r="AV9" i="1"/>
  <c r="J9" i="3" s="1"/>
  <c r="S29" i="2"/>
  <c r="AV29" i="1"/>
  <c r="J29" i="3" s="1"/>
  <c r="S18" i="2"/>
  <c r="AV18" i="1"/>
  <c r="J18" i="3" s="1"/>
  <c r="S11" i="2"/>
  <c r="AV11" i="1"/>
  <c r="J11" i="3" s="1"/>
  <c r="S32" i="2"/>
  <c r="AV32" i="1"/>
  <c r="J32" i="3" s="1"/>
  <c r="W8" i="2"/>
  <c r="AZ8" i="1"/>
  <c r="N8" i="3" s="1"/>
  <c r="U25" i="2"/>
  <c r="AX25" i="1"/>
  <c r="L25" i="3" s="1"/>
  <c r="U33" i="2"/>
  <c r="AX33" i="1"/>
  <c r="L33" i="3" s="1"/>
  <c r="BN12" i="1"/>
  <c r="K12" i="1"/>
  <c r="BN12" i="3" s="1"/>
  <c r="BN20" i="1"/>
  <c r="K20" i="1"/>
  <c r="BN20" i="3" s="1"/>
  <c r="BN28" i="1"/>
  <c r="K28" i="1"/>
  <c r="BN28" i="3" s="1"/>
  <c r="CD16" i="1"/>
  <c r="DV11" i="1"/>
  <c r="CG31" i="1"/>
  <c r="S33" i="2"/>
  <c r="AV33" i="1"/>
  <c r="J33" i="3" s="1"/>
  <c r="T34" i="2"/>
  <c r="AW34" i="1"/>
  <c r="K34" i="3" s="1"/>
  <c r="W28" i="2"/>
  <c r="AZ28" i="1"/>
  <c r="N28" i="3" s="1"/>
  <c r="Q33" i="2"/>
  <c r="AT33" i="1"/>
  <c r="H33" i="3" s="1"/>
  <c r="U30" i="2"/>
  <c r="AX30" i="1"/>
  <c r="L30" i="3" s="1"/>
  <c r="T9" i="2"/>
  <c r="AW9" i="1"/>
  <c r="K9" i="3" s="1"/>
  <c r="W19" i="2"/>
  <c r="AZ19" i="1"/>
  <c r="N19" i="3" s="1"/>
  <c r="T24" i="2"/>
  <c r="AW24" i="1"/>
  <c r="K24" i="3" s="1"/>
  <c r="W26" i="2"/>
  <c r="AZ26" i="1"/>
  <c r="N26" i="3" s="1"/>
  <c r="T23" i="2"/>
  <c r="AW23" i="1"/>
  <c r="K23" i="3" s="1"/>
  <c r="W25" i="2"/>
  <c r="AZ25" i="1"/>
  <c r="N25" i="3" s="1"/>
  <c r="Q32" i="2"/>
  <c r="AT32" i="1"/>
  <c r="H32" i="3" s="1"/>
  <c r="Q14" i="2"/>
  <c r="AT14" i="1"/>
  <c r="H14" i="3" s="1"/>
  <c r="T30" i="2"/>
  <c r="AW30" i="1"/>
  <c r="K30" i="3" s="1"/>
  <c r="S34" i="2"/>
  <c r="AV34" i="1"/>
  <c r="J34" i="3" s="1"/>
  <c r="Q8" i="2"/>
  <c r="AT8" i="1"/>
  <c r="H8" i="3" s="1"/>
  <c r="S19" i="2"/>
  <c r="AV19" i="1"/>
  <c r="J19" i="3" s="1"/>
  <c r="T21" i="2"/>
  <c r="AW21" i="1"/>
  <c r="K21" i="3" s="1"/>
  <c r="W23" i="2"/>
  <c r="AZ23" i="1"/>
  <c r="N23" i="3" s="1"/>
  <c r="Q31" i="2"/>
  <c r="AT31" i="1"/>
  <c r="H31" i="3" s="1"/>
  <c r="Q13" i="2"/>
  <c r="AT13" i="1"/>
  <c r="H13" i="3" s="1"/>
  <c r="AO13" i="1"/>
  <c r="K13" i="1"/>
  <c r="BN13" i="3" s="1"/>
  <c r="AO21" i="1"/>
  <c r="K21" i="1"/>
  <c r="BN21" i="3" s="1"/>
  <c r="AO29" i="1"/>
  <c r="K29" i="1"/>
  <c r="BN29" i="3" s="1"/>
  <c r="BN33" i="1"/>
  <c r="CB19" i="1"/>
  <c r="DV19" i="1"/>
  <c r="CG35" i="1"/>
  <c r="T35" i="2"/>
  <c r="AW35" i="1"/>
  <c r="K35" i="3" s="1"/>
  <c r="U21" i="2"/>
  <c r="AX21" i="1"/>
  <c r="L21" i="3" s="1"/>
  <c r="T12" i="2"/>
  <c r="AW12" i="1"/>
  <c r="K12" i="3" s="1"/>
  <c r="Q18" i="2"/>
  <c r="AT18" i="1"/>
  <c r="H18" i="3" s="1"/>
  <c r="Q11" i="2"/>
  <c r="AT11" i="1"/>
  <c r="H11" i="3" s="1"/>
  <c r="W32" i="2"/>
  <c r="AZ32" i="1"/>
  <c r="N32" i="3" s="1"/>
  <c r="U22" i="2"/>
  <c r="BN14" i="1"/>
  <c r="K14" i="1"/>
  <c r="BN14" i="3" s="1"/>
  <c r="BN22" i="1"/>
  <c r="K22" i="1"/>
  <c r="BN22" i="3" s="1"/>
  <c r="BN30" i="1"/>
  <c r="K30" i="1"/>
  <c r="BN30" i="3" s="1"/>
  <c r="AM26" i="1"/>
  <c r="AQ34" i="1"/>
  <c r="BS10" i="1"/>
  <c r="CD24" i="1"/>
  <c r="DV27" i="1"/>
  <c r="S30" i="2"/>
  <c r="AV30" i="1"/>
  <c r="J30" i="3" s="1"/>
  <c r="T26" i="2"/>
  <c r="AW26" i="1"/>
  <c r="K26" i="3" s="1"/>
  <c r="W20" i="2"/>
  <c r="AZ20" i="1"/>
  <c r="N20" i="3" s="1"/>
  <c r="Q30" i="2"/>
  <c r="AT30" i="1"/>
  <c r="H30" i="3" s="1"/>
  <c r="T33" i="2"/>
  <c r="AW33" i="1"/>
  <c r="K33" i="3" s="1"/>
  <c r="W11" i="2"/>
  <c r="AZ11" i="1"/>
  <c r="N11" i="3" s="1"/>
  <c r="U26" i="2"/>
  <c r="AX26" i="1"/>
  <c r="L26" i="3" s="1"/>
  <c r="Q15" i="2"/>
  <c r="AT15" i="1"/>
  <c r="H15" i="3" s="1"/>
  <c r="T16" i="2"/>
  <c r="AW16" i="1"/>
  <c r="K16" i="3" s="1"/>
  <c r="W18" i="2"/>
  <c r="AZ18" i="1"/>
  <c r="N18" i="3" s="1"/>
  <c r="Q29" i="2"/>
  <c r="AT29" i="1"/>
  <c r="H29" i="3" s="1"/>
  <c r="S14" i="2"/>
  <c r="AV14" i="1"/>
  <c r="J14" i="3" s="1"/>
  <c r="W17" i="2"/>
  <c r="AZ17" i="1"/>
  <c r="N17" i="3" s="1"/>
  <c r="Q26" i="2"/>
  <c r="AT26" i="1"/>
  <c r="H26" i="3" s="1"/>
  <c r="T20" i="2"/>
  <c r="AW20" i="1"/>
  <c r="K20" i="3" s="1"/>
  <c r="T22" i="2"/>
  <c r="AW22" i="1"/>
  <c r="K22" i="3" s="1"/>
  <c r="S31" i="2"/>
  <c r="AV31" i="1"/>
  <c r="J31" i="3" s="1"/>
  <c r="T13" i="2"/>
  <c r="AW13" i="1"/>
  <c r="K13" i="3" s="1"/>
  <c r="W15" i="2"/>
  <c r="AZ15" i="1"/>
  <c r="N15" i="3" s="1"/>
  <c r="Q28" i="2"/>
  <c r="AT28" i="1"/>
  <c r="H28" i="3" s="1"/>
  <c r="T5" i="2"/>
  <c r="AW5" i="1"/>
  <c r="K5" i="3" s="1"/>
  <c r="W5" i="2"/>
  <c r="AZ5" i="1"/>
  <c r="N5" i="3" s="1"/>
  <c r="W7" i="2"/>
  <c r="AZ7" i="1"/>
  <c r="N7" i="3" s="1"/>
  <c r="V24" i="6" s="1"/>
  <c r="T7" i="2"/>
  <c r="AW7" i="1"/>
  <c r="K7" i="3" s="1"/>
  <c r="U5" i="2"/>
  <c r="AX5" i="1"/>
  <c r="L5" i="3" s="1"/>
  <c r="S5" i="2"/>
  <c r="AV5" i="1"/>
  <c r="J5" i="3" s="1"/>
  <c r="Q5" i="2"/>
  <c r="AT5" i="1"/>
  <c r="H5" i="3" s="1"/>
  <c r="U7" i="2"/>
  <c r="AX7" i="1"/>
  <c r="L7" i="3" s="1"/>
  <c r="S7" i="2"/>
  <c r="AV7" i="1"/>
  <c r="J7" i="3" s="1"/>
  <c r="Q7" i="2"/>
  <c r="AT7" i="1"/>
  <c r="H7" i="3" s="1"/>
  <c r="Y11" i="1"/>
  <c r="Y19" i="1"/>
  <c r="Y27" i="1"/>
  <c r="Y35" i="1"/>
  <c r="AF15" i="1"/>
  <c r="AF23" i="1"/>
  <c r="AF31" i="1"/>
  <c r="AM11" i="1"/>
  <c r="AM19" i="1"/>
  <c r="AM27" i="1"/>
  <c r="AM35" i="1"/>
  <c r="AO15" i="1"/>
  <c r="AO23" i="1"/>
  <c r="AO31" i="1"/>
  <c r="AQ11" i="1"/>
  <c r="AQ19" i="1"/>
  <c r="AQ27" i="1"/>
  <c r="AQ35" i="1"/>
  <c r="BL15" i="1"/>
  <c r="BL23" i="1"/>
  <c r="BL31" i="1"/>
  <c r="BP9" i="1"/>
  <c r="BP13" i="1"/>
  <c r="BP17" i="1"/>
  <c r="BP21" i="1"/>
  <c r="BP25" i="1"/>
  <c r="BP29" i="1"/>
  <c r="BP33" i="1"/>
  <c r="BS11" i="1"/>
  <c r="BS19" i="1"/>
  <c r="BS27" i="1"/>
  <c r="BS35" i="1"/>
  <c r="BZ9" i="1"/>
  <c r="CD11" i="1"/>
  <c r="CB14" i="1"/>
  <c r="BZ17" i="1"/>
  <c r="CD19" i="1"/>
  <c r="CB22" i="1"/>
  <c r="BZ25" i="1"/>
  <c r="CD27" i="1"/>
  <c r="CB30" i="1"/>
  <c r="BZ33" i="1"/>
  <c r="CD35" i="1"/>
  <c r="DF11" i="1"/>
  <c r="DF19" i="1"/>
  <c r="DF27" i="1"/>
  <c r="DF35" i="1"/>
  <c r="DV12" i="1"/>
  <c r="DV20" i="1"/>
  <c r="DV28" i="1"/>
  <c r="CW11" i="1"/>
  <c r="CW15" i="1"/>
  <c r="CW19" i="1"/>
  <c r="CW23" i="1"/>
  <c r="CW27" i="1"/>
  <c r="CW31" i="1"/>
  <c r="CW35" i="1"/>
  <c r="BG15" i="1"/>
  <c r="U15" i="3" s="1"/>
  <c r="L15" i="2"/>
  <c r="AF22" i="1"/>
  <c r="BZ22" i="1"/>
  <c r="Y12" i="1"/>
  <c r="Y20" i="1"/>
  <c r="Y28" i="1"/>
  <c r="AF8" i="1"/>
  <c r="AF16" i="1"/>
  <c r="AF24" i="1"/>
  <c r="AF32" i="1"/>
  <c r="AM12" i="1"/>
  <c r="AM20" i="1"/>
  <c r="AM28" i="1"/>
  <c r="AO8" i="1"/>
  <c r="AO16" i="1"/>
  <c r="AO24" i="1"/>
  <c r="AO32" i="1"/>
  <c r="AQ12" i="1"/>
  <c r="AQ20" i="1"/>
  <c r="AQ28" i="1"/>
  <c r="BL8" i="1"/>
  <c r="BL16" i="1"/>
  <c r="BL24" i="1"/>
  <c r="BL32" i="1"/>
  <c r="BN10" i="1"/>
  <c r="BN18" i="1"/>
  <c r="BN26" i="1"/>
  <c r="BN34" i="1"/>
  <c r="BS12" i="1"/>
  <c r="BS20" i="1"/>
  <c r="BS28" i="1"/>
  <c r="CB9" i="1"/>
  <c r="BZ12" i="1"/>
  <c r="CD14" i="1"/>
  <c r="CB17" i="1"/>
  <c r="BZ20" i="1"/>
  <c r="CD22" i="1"/>
  <c r="CB25" i="1"/>
  <c r="BZ28" i="1"/>
  <c r="CD30" i="1"/>
  <c r="CB33" i="1"/>
  <c r="DF12" i="1"/>
  <c r="DF20" i="1"/>
  <c r="DF28" i="1"/>
  <c r="DV13" i="1"/>
  <c r="DV21" i="1"/>
  <c r="DV29" i="1"/>
  <c r="CG8" i="1"/>
  <c r="CG12" i="1"/>
  <c r="CG16" i="1"/>
  <c r="CG20" i="1"/>
  <c r="CG24" i="1"/>
  <c r="CG28" i="1"/>
  <c r="CG32" i="1"/>
  <c r="L14" i="2"/>
  <c r="BG14" i="1"/>
  <c r="U14" i="3" s="1"/>
  <c r="AF14" i="1"/>
  <c r="BL30" i="1"/>
  <c r="Y13" i="1"/>
  <c r="Y21" i="1"/>
  <c r="Y29" i="1"/>
  <c r="AF9" i="1"/>
  <c r="AF17" i="1"/>
  <c r="AF25" i="1"/>
  <c r="AF33" i="1"/>
  <c r="AM13" i="1"/>
  <c r="AM21" i="1"/>
  <c r="AM29" i="1"/>
  <c r="AQ13" i="1"/>
  <c r="AQ21" i="1"/>
  <c r="AQ29" i="1"/>
  <c r="BL9" i="1"/>
  <c r="BL17" i="1"/>
  <c r="BL25" i="1"/>
  <c r="BL33" i="1"/>
  <c r="BP10" i="1"/>
  <c r="BP14" i="1"/>
  <c r="BP18" i="1"/>
  <c r="BP22" i="1"/>
  <c r="BP26" i="1"/>
  <c r="BP30" i="1"/>
  <c r="BP34" i="1"/>
  <c r="BS13" i="1"/>
  <c r="BS21" i="1"/>
  <c r="BS29" i="1"/>
  <c r="CD9" i="1"/>
  <c r="CB12" i="1"/>
  <c r="BZ15" i="1"/>
  <c r="CD17" i="1"/>
  <c r="CB20" i="1"/>
  <c r="BZ23" i="1"/>
  <c r="CD25" i="1"/>
  <c r="CB28" i="1"/>
  <c r="BZ31" i="1"/>
  <c r="CD33" i="1"/>
  <c r="DF13" i="1"/>
  <c r="DF21" i="1"/>
  <c r="DF29" i="1"/>
  <c r="DV14" i="1"/>
  <c r="DV22" i="1"/>
  <c r="DV30" i="1"/>
  <c r="CW8" i="1"/>
  <c r="CW12" i="1"/>
  <c r="CW16" i="1"/>
  <c r="CW20" i="1"/>
  <c r="CW24" i="1"/>
  <c r="CW28" i="1"/>
  <c r="CW32" i="1"/>
  <c r="L12" i="2"/>
  <c r="BG12" i="1"/>
  <c r="U12" i="3" s="1"/>
  <c r="BG31" i="1"/>
  <c r="U31" i="3" s="1"/>
  <c r="T16" i="8" s="1"/>
  <c r="L31" i="2"/>
  <c r="BG29" i="1"/>
  <c r="U29" i="3" s="1"/>
  <c r="L29" i="2"/>
  <c r="Y14" i="1"/>
  <c r="Y22" i="1"/>
  <c r="Y30" i="1"/>
  <c r="AF10" i="1"/>
  <c r="AF18" i="1"/>
  <c r="AF26" i="1"/>
  <c r="AF34" i="1"/>
  <c r="AM14" i="1"/>
  <c r="AM22" i="1"/>
  <c r="AM30" i="1"/>
  <c r="AO10" i="1"/>
  <c r="AO18" i="1"/>
  <c r="AO26" i="1"/>
  <c r="AO34" i="1"/>
  <c r="BL10" i="1"/>
  <c r="BL18" i="1"/>
  <c r="BL26" i="1"/>
  <c r="BL34" i="1"/>
  <c r="BN11" i="1"/>
  <c r="BN15" i="1"/>
  <c r="BN19" i="1"/>
  <c r="BN23" i="1"/>
  <c r="BN27" i="1"/>
  <c r="BN31" i="1"/>
  <c r="BN35" i="1"/>
  <c r="BS14" i="1"/>
  <c r="BS22" i="1"/>
  <c r="BS30" i="1"/>
  <c r="BZ10" i="1"/>
  <c r="CD12" i="1"/>
  <c r="BZ18" i="1"/>
  <c r="CD20" i="1"/>
  <c r="BZ26" i="1"/>
  <c r="CD28" i="1"/>
  <c r="BZ34" i="1"/>
  <c r="DF14" i="1"/>
  <c r="DF22" i="1"/>
  <c r="DF30" i="1"/>
  <c r="DV15" i="1"/>
  <c r="DV23" i="1"/>
  <c r="DV31" i="1"/>
  <c r="CG9" i="1"/>
  <c r="CG13" i="1"/>
  <c r="CG17" i="1"/>
  <c r="CG21" i="1"/>
  <c r="CG25" i="1"/>
  <c r="CG29" i="1"/>
  <c r="CG33" i="1"/>
  <c r="BG17" i="1"/>
  <c r="U17" i="3" s="1"/>
  <c r="L17" i="2"/>
  <c r="BG20" i="1"/>
  <c r="U20" i="3" s="1"/>
  <c r="L20" i="2"/>
  <c r="BL14" i="1"/>
  <c r="BZ14" i="1"/>
  <c r="Y15" i="1"/>
  <c r="Y23" i="1"/>
  <c r="Y31" i="1"/>
  <c r="AF11" i="1"/>
  <c r="AF19" i="1"/>
  <c r="AF27" i="1"/>
  <c r="AF35" i="1"/>
  <c r="AM15" i="1"/>
  <c r="AM23" i="1"/>
  <c r="AM31" i="1"/>
  <c r="AQ15" i="1"/>
  <c r="AQ23" i="1"/>
  <c r="AQ31" i="1"/>
  <c r="BL11" i="1"/>
  <c r="BL19" i="1"/>
  <c r="BL27" i="1"/>
  <c r="BL35" i="1"/>
  <c r="BP15" i="1"/>
  <c r="BP23" i="1"/>
  <c r="BP31" i="1"/>
  <c r="BS15" i="1"/>
  <c r="BS23" i="1"/>
  <c r="BS31" i="1"/>
  <c r="BZ13" i="1"/>
  <c r="BZ21" i="1"/>
  <c r="BZ29" i="1"/>
  <c r="DV8" i="1"/>
  <c r="DV16" i="1"/>
  <c r="DV24" i="1"/>
  <c r="DV32" i="1"/>
  <c r="CW9" i="1"/>
  <c r="CW13" i="1"/>
  <c r="CW17" i="1"/>
  <c r="CW21" i="1"/>
  <c r="CW25" i="1"/>
  <c r="CW29" i="1"/>
  <c r="CW33" i="1"/>
  <c r="AF30" i="1"/>
  <c r="BL22" i="1"/>
  <c r="Y8" i="1"/>
  <c r="Y16" i="1"/>
  <c r="Y24" i="1"/>
  <c r="Y32" i="1"/>
  <c r="AF12" i="1"/>
  <c r="AF20" i="1"/>
  <c r="AF28" i="1"/>
  <c r="AM8" i="1"/>
  <c r="AM16" i="1"/>
  <c r="AM24" i="1"/>
  <c r="AM32" i="1"/>
  <c r="AO12" i="1"/>
  <c r="AO20" i="1"/>
  <c r="AO28" i="1"/>
  <c r="AQ8" i="1"/>
  <c r="AQ16" i="1"/>
  <c r="AQ24" i="1"/>
  <c r="AQ32" i="1"/>
  <c r="BN8" i="1"/>
  <c r="BN16" i="1"/>
  <c r="BN24" i="1"/>
  <c r="BN32" i="1"/>
  <c r="BS8" i="1"/>
  <c r="BS16" i="1"/>
  <c r="BS24" i="1"/>
  <c r="BS32" i="1"/>
  <c r="BZ8" i="1"/>
  <c r="CB13" i="1"/>
  <c r="BZ16" i="1"/>
  <c r="CB21" i="1"/>
  <c r="BZ24" i="1"/>
  <c r="CB29" i="1"/>
  <c r="BZ32" i="1"/>
  <c r="DV9" i="1"/>
  <c r="DV17" i="1"/>
  <c r="DV25" i="1"/>
  <c r="DV33" i="1"/>
  <c r="CG10" i="1"/>
  <c r="CG14" i="1"/>
  <c r="CG18" i="1"/>
  <c r="CG22" i="1"/>
  <c r="CG26" i="1"/>
  <c r="CG30" i="1"/>
  <c r="CG34" i="1"/>
  <c r="BG23" i="1"/>
  <c r="U23" i="3" s="1"/>
  <c r="L23" i="2"/>
  <c r="BZ30" i="1"/>
  <c r="Y9" i="1"/>
  <c r="Y17" i="1"/>
  <c r="Y25" i="1"/>
  <c r="Y33" i="1"/>
  <c r="AF13" i="1"/>
  <c r="AF21" i="1"/>
  <c r="AF29" i="1"/>
  <c r="AM9" i="1"/>
  <c r="AM17" i="1"/>
  <c r="AM25" i="1"/>
  <c r="AM33" i="1"/>
  <c r="BS9" i="1"/>
  <c r="BS17" i="1"/>
  <c r="BS25" i="1"/>
  <c r="BS33" i="1"/>
  <c r="DV10" i="1"/>
  <c r="DV18" i="1"/>
  <c r="DV26" i="1"/>
  <c r="DV34" i="1"/>
  <c r="L9" i="2"/>
  <c r="BG9" i="1"/>
  <c r="U9" i="3" s="1"/>
  <c r="AJ3" i="1"/>
  <c r="AH3" i="1"/>
  <c r="AC3" i="1"/>
  <c r="AA3" i="1"/>
  <c r="M3" i="1"/>
  <c r="BP3" i="3" s="1"/>
  <c r="I3" i="1"/>
  <c r="G3" i="1"/>
  <c r="BJ3" i="3" s="1"/>
  <c r="G5" i="1"/>
  <c r="Y5" i="1" s="1"/>
  <c r="DF5" i="1"/>
  <c r="CD7" i="1"/>
  <c r="CD5" i="1"/>
  <c r="CB5" i="1"/>
  <c r="BP7" i="1"/>
  <c r="BW7" i="1" s="1"/>
  <c r="BN7" i="1"/>
  <c r="BU7" i="1" s="1"/>
  <c r="BP5" i="1"/>
  <c r="BW5" i="1" s="1"/>
  <c r="BN5" i="1"/>
  <c r="BU5" i="1" s="1"/>
  <c r="AF7" i="1"/>
  <c r="M7" i="1"/>
  <c r="M5" i="1"/>
  <c r="I7" i="1"/>
  <c r="BL7" i="3" s="1"/>
  <c r="I5" i="1"/>
  <c r="G7" i="1"/>
  <c r="T9" i="14" l="1"/>
  <c r="I8" i="14"/>
  <c r="U8" i="14" s="1"/>
  <c r="Q9" i="8"/>
  <c r="P9" i="8"/>
  <c r="P12" i="6"/>
  <c r="E12" i="6"/>
  <c r="R10" i="13"/>
  <c r="P14" i="13"/>
  <c r="E14" i="13"/>
  <c r="Q14" i="13" s="1"/>
  <c r="T12" i="8"/>
  <c r="I12" i="8"/>
  <c r="U12" i="8" s="1"/>
  <c r="G10" i="14"/>
  <c r="S10" i="14" s="1"/>
  <c r="I10" i="14"/>
  <c r="U10" i="14" s="1"/>
  <c r="T10" i="14"/>
  <c r="R8" i="13"/>
  <c r="I16" i="8"/>
  <c r="U16" i="8" s="1"/>
  <c r="V16" i="8"/>
  <c r="BZ3" i="1"/>
  <c r="I9" i="8"/>
  <c r="U9" i="8" s="1"/>
  <c r="T9" i="8"/>
  <c r="AX19" i="1"/>
  <c r="L19" i="3" s="1"/>
  <c r="P13" i="6"/>
  <c r="E13" i="6"/>
  <c r="U24" i="2"/>
  <c r="AX34" i="1"/>
  <c r="L34" i="3" s="1"/>
  <c r="V9" i="13"/>
  <c r="E9" i="13"/>
  <c r="Q9" i="13" s="1"/>
  <c r="P9" i="13"/>
  <c r="R11" i="13"/>
  <c r="G12" i="8"/>
  <c r="S12" i="8" s="1"/>
  <c r="R9" i="6"/>
  <c r="T12" i="13"/>
  <c r="I12" i="13"/>
  <c r="U12" i="13" s="1"/>
  <c r="G15" i="8"/>
  <c r="S15" i="8" s="1"/>
  <c r="R15" i="8"/>
  <c r="I13" i="8"/>
  <c r="U13" i="8" s="1"/>
  <c r="T13" i="8"/>
  <c r="AX16" i="1"/>
  <c r="L16" i="3" s="1"/>
  <c r="V14" i="13"/>
  <c r="T11" i="14"/>
  <c r="I11" i="14"/>
  <c r="U11" i="14" s="1"/>
  <c r="E16" i="8"/>
  <c r="Q16" i="8" s="1"/>
  <c r="P16" i="8"/>
  <c r="E10" i="8"/>
  <c r="Q10" i="8" s="1"/>
  <c r="P10" i="8"/>
  <c r="V9" i="8"/>
  <c r="G16" i="8"/>
  <c r="S16" i="8" s="1"/>
  <c r="R16" i="8"/>
  <c r="G14" i="8"/>
  <c r="S14" i="8" s="1"/>
  <c r="T14" i="8"/>
  <c r="I14" i="8"/>
  <c r="U14" i="8" s="1"/>
  <c r="V8" i="13"/>
  <c r="I13" i="14"/>
  <c r="U13" i="14" s="1"/>
  <c r="T13" i="14"/>
  <c r="G14" i="13"/>
  <c r="S14" i="13" s="1"/>
  <c r="I14" i="13"/>
  <c r="U14" i="13" s="1"/>
  <c r="T14" i="13"/>
  <c r="T9" i="13"/>
  <c r="I9" i="13"/>
  <c r="U9" i="13" s="1"/>
  <c r="G8" i="8"/>
  <c r="S8" i="8" s="1"/>
  <c r="G10" i="8"/>
  <c r="S10" i="8" s="1"/>
  <c r="BS5" i="1"/>
  <c r="U28" i="2"/>
  <c r="R9" i="13"/>
  <c r="R13" i="6"/>
  <c r="G8" i="13"/>
  <c r="S8" i="13" s="1"/>
  <c r="T10" i="13"/>
  <c r="R12" i="6"/>
  <c r="G12" i="6"/>
  <c r="P9" i="6"/>
  <c r="E9" i="6"/>
  <c r="V15" i="13"/>
  <c r="V11" i="13"/>
  <c r="P12" i="13"/>
  <c r="E12" i="13"/>
  <c r="Q12" i="13" s="1"/>
  <c r="V13" i="13"/>
  <c r="T15" i="14"/>
  <c r="I15" i="14"/>
  <c r="U15" i="14" s="1"/>
  <c r="E11" i="8"/>
  <c r="Q11" i="8" s="1"/>
  <c r="P11" i="8"/>
  <c r="E8" i="8"/>
  <c r="Q8" i="8" s="1"/>
  <c r="P8" i="8"/>
  <c r="N9" i="14"/>
  <c r="V9" i="14"/>
  <c r="R9" i="14"/>
  <c r="P9" i="14"/>
  <c r="R10" i="8"/>
  <c r="R9" i="8"/>
  <c r="G11" i="8"/>
  <c r="S11" i="8" s="1"/>
  <c r="R11" i="8"/>
  <c r="I11" i="8"/>
  <c r="U11" i="8" s="1"/>
  <c r="T11" i="8"/>
  <c r="I15" i="8"/>
  <c r="U15" i="8" s="1"/>
  <c r="V15" i="8"/>
  <c r="R24" i="13"/>
  <c r="G24" i="6"/>
  <c r="S24" i="6" s="1"/>
  <c r="R24" i="6"/>
  <c r="I24" i="6"/>
  <c r="U24" i="6" s="1"/>
  <c r="T24" i="6"/>
  <c r="AX28" i="1"/>
  <c r="L28" i="3" s="1"/>
  <c r="U19" i="2"/>
  <c r="AF5" i="1"/>
  <c r="T16" i="14"/>
  <c r="I16" i="14"/>
  <c r="U16" i="14" s="1"/>
  <c r="G12" i="13"/>
  <c r="S12" i="13" s="1"/>
  <c r="AM5" i="1"/>
  <c r="E24" i="6"/>
  <c r="Q24" i="6" s="1"/>
  <c r="P24" i="6"/>
  <c r="E15" i="8"/>
  <c r="Q15" i="8" s="1"/>
  <c r="P15" i="8"/>
  <c r="U9" i="14"/>
  <c r="R8" i="8"/>
  <c r="G8" i="14"/>
  <c r="S8" i="14" s="1"/>
  <c r="G9" i="8"/>
  <c r="S9" i="8" s="1"/>
  <c r="E14" i="8"/>
  <c r="Q14" i="8" s="1"/>
  <c r="S9" i="14"/>
  <c r="K5" i="1"/>
  <c r="BN5" i="3" s="1"/>
  <c r="BL5" i="3"/>
  <c r="BA30" i="3"/>
  <c r="DM30" i="1"/>
  <c r="AR30" i="3" s="1"/>
  <c r="U18" i="2"/>
  <c r="AI34" i="3"/>
  <c r="CN34" i="1"/>
  <c r="Z34" i="3" s="1"/>
  <c r="BA18" i="3"/>
  <c r="DM18" i="1"/>
  <c r="AR18" i="3" s="1"/>
  <c r="AI12" i="3"/>
  <c r="CN12" i="1"/>
  <c r="Z12" i="3" s="1"/>
  <c r="BA20" i="3"/>
  <c r="DM20" i="1"/>
  <c r="AR20" i="3" s="1"/>
  <c r="V10" i="6"/>
  <c r="V8" i="6"/>
  <c r="AI22" i="3"/>
  <c r="CN22" i="1"/>
  <c r="Z22" i="3" s="1"/>
  <c r="AI33" i="3"/>
  <c r="CN33" i="1"/>
  <c r="Z33" i="3" s="1"/>
  <c r="BA24" i="3"/>
  <c r="DM24" i="1"/>
  <c r="AR24" i="3" s="1"/>
  <c r="BA13" i="3"/>
  <c r="DM13" i="1"/>
  <c r="AR13" i="3" s="1"/>
  <c r="AI27" i="3"/>
  <c r="CN27" i="1"/>
  <c r="Z27" i="3" s="1"/>
  <c r="BZ5" i="1"/>
  <c r="BJ5" i="3"/>
  <c r="BA33" i="3"/>
  <c r="DM33" i="1"/>
  <c r="AR33" i="3" s="1"/>
  <c r="AI29" i="3"/>
  <c r="CN29" i="1"/>
  <c r="Z29" i="3" s="1"/>
  <c r="BA16" i="3"/>
  <c r="DM16" i="1"/>
  <c r="AR16" i="3" s="1"/>
  <c r="P12" i="11" s="1"/>
  <c r="AI32" i="3"/>
  <c r="CN32" i="1"/>
  <c r="Z32" i="3" s="1"/>
  <c r="BA22" i="3"/>
  <c r="DM22" i="1"/>
  <c r="AR22" i="3" s="1"/>
  <c r="AI23" i="3"/>
  <c r="CN23" i="1"/>
  <c r="Z23" i="3" s="1"/>
  <c r="BA27" i="3"/>
  <c r="DM27" i="1"/>
  <c r="AR27" i="3" s="1"/>
  <c r="BA11" i="3"/>
  <c r="DM11" i="1"/>
  <c r="AR11" i="3" s="1"/>
  <c r="BF5" i="3"/>
  <c r="DR5" i="1"/>
  <c r="AW5" i="3" s="1"/>
  <c r="AI14" i="3"/>
  <c r="CN14" i="1"/>
  <c r="Z14" i="3" s="1"/>
  <c r="AI13" i="3"/>
  <c r="CN13" i="1"/>
  <c r="Z13" i="3" s="1"/>
  <c r="BA10" i="3"/>
  <c r="DM10" i="1"/>
  <c r="AR10" i="3" s="1"/>
  <c r="BA32" i="3"/>
  <c r="DM32" i="1"/>
  <c r="AR32" i="3" s="1"/>
  <c r="AI8" i="3"/>
  <c r="CN8" i="1"/>
  <c r="Z8" i="3" s="1"/>
  <c r="BA21" i="3"/>
  <c r="DM21" i="1"/>
  <c r="AR21" i="3" s="1"/>
  <c r="AI31" i="3"/>
  <c r="CN31" i="1"/>
  <c r="Z31" i="3" s="1"/>
  <c r="AX18" i="1"/>
  <c r="L18" i="3" s="1"/>
  <c r="AI19" i="3"/>
  <c r="CN19" i="1"/>
  <c r="Z19" i="3" s="1"/>
  <c r="V16" i="6"/>
  <c r="V15" i="6"/>
  <c r="V11" i="6"/>
  <c r="V13" i="6"/>
  <c r="BA35" i="3"/>
  <c r="DM35" i="1"/>
  <c r="AR35" i="3" s="1"/>
  <c r="AI10" i="3"/>
  <c r="CN10" i="1"/>
  <c r="Z10" i="3" s="1"/>
  <c r="BD3" i="3"/>
  <c r="DP3" i="1"/>
  <c r="AU3" i="3" s="1"/>
  <c r="AI18" i="3"/>
  <c r="CN18" i="1"/>
  <c r="Z18" i="3" s="1"/>
  <c r="BA26" i="3"/>
  <c r="DM26" i="1"/>
  <c r="AR26" i="3" s="1"/>
  <c r="AI16" i="3"/>
  <c r="P12" i="10" s="1"/>
  <c r="CN16" i="1"/>
  <c r="Z16" i="3" s="1"/>
  <c r="P12" i="9" s="1"/>
  <c r="BA28" i="3"/>
  <c r="DM28" i="1"/>
  <c r="AR28" i="3" s="1"/>
  <c r="BA29" i="3"/>
  <c r="DM29" i="1"/>
  <c r="AR29" i="3" s="1"/>
  <c r="BA12" i="3"/>
  <c r="DM12" i="1"/>
  <c r="AR12" i="3" s="1"/>
  <c r="AI25" i="3"/>
  <c r="CN25" i="1"/>
  <c r="Z25" i="3" s="1"/>
  <c r="BA14" i="3"/>
  <c r="DM14" i="1"/>
  <c r="AR14" i="3" s="1"/>
  <c r="BA17" i="3"/>
  <c r="DM17" i="1"/>
  <c r="AR17" i="3" s="1"/>
  <c r="AI21" i="3"/>
  <c r="CN21" i="1"/>
  <c r="Z21" i="3" s="1"/>
  <c r="AI15" i="3"/>
  <c r="CN15" i="1"/>
  <c r="Z15" i="3" s="1"/>
  <c r="V14" i="6"/>
  <c r="BA19" i="3"/>
  <c r="DM19" i="1"/>
  <c r="AR19" i="3" s="1"/>
  <c r="AL3" i="3"/>
  <c r="CQ3" i="1"/>
  <c r="AC3" i="3" s="1"/>
  <c r="AI30" i="3"/>
  <c r="CN30" i="1"/>
  <c r="Z30" i="3" s="1"/>
  <c r="AI9" i="3"/>
  <c r="CN9" i="1"/>
  <c r="Z9" i="3" s="1"/>
  <c r="AI35" i="3"/>
  <c r="CN35" i="1"/>
  <c r="Z35" i="3" s="1"/>
  <c r="U16" i="2"/>
  <c r="BZ7" i="1"/>
  <c r="BJ7" i="3"/>
  <c r="AQ5" i="1"/>
  <c r="BP5" i="3"/>
  <c r="BA25" i="3"/>
  <c r="DM25" i="1"/>
  <c r="AR25" i="3" s="1"/>
  <c r="BA8" i="3"/>
  <c r="DM8" i="1"/>
  <c r="AR8" i="3" s="1"/>
  <c r="BA31" i="3"/>
  <c r="DM31" i="1"/>
  <c r="AR31" i="3" s="1"/>
  <c r="AI28" i="3"/>
  <c r="CN28" i="1"/>
  <c r="Z28" i="3" s="1"/>
  <c r="AQ7" i="1"/>
  <c r="BP7" i="3"/>
  <c r="V24" i="13" s="1"/>
  <c r="BA23" i="3"/>
  <c r="DM23" i="1"/>
  <c r="AR23" i="3" s="1"/>
  <c r="AI24" i="3"/>
  <c r="CN24" i="1"/>
  <c r="Z24" i="3" s="1"/>
  <c r="K3" i="1"/>
  <c r="BN3" i="3" s="1"/>
  <c r="BL3" i="3"/>
  <c r="BA34" i="3"/>
  <c r="DM34" i="1"/>
  <c r="AR34" i="3" s="1"/>
  <c r="BA9" i="3"/>
  <c r="DM9" i="1"/>
  <c r="AR9" i="3" s="1"/>
  <c r="AI17" i="3"/>
  <c r="CN17" i="1"/>
  <c r="Z17" i="3" s="1"/>
  <c r="BA15" i="3"/>
  <c r="DM15" i="1"/>
  <c r="AR15" i="3" s="1"/>
  <c r="AI20" i="3"/>
  <c r="CN20" i="1"/>
  <c r="Z20" i="3" s="1"/>
  <c r="P14" i="9" s="1"/>
  <c r="AI11" i="3"/>
  <c r="CN11" i="1"/>
  <c r="Z11" i="3" s="1"/>
  <c r="AX22" i="1"/>
  <c r="L22" i="3" s="1"/>
  <c r="AI26" i="3"/>
  <c r="CN26" i="1"/>
  <c r="Z26" i="3" s="1"/>
  <c r="C8" i="4"/>
  <c r="U29" i="2"/>
  <c r="AX29" i="1"/>
  <c r="L29" i="3" s="1"/>
  <c r="U14" i="2"/>
  <c r="AX14" i="1"/>
  <c r="L14" i="3" s="1"/>
  <c r="U15" i="2"/>
  <c r="AX15" i="1"/>
  <c r="L15" i="3" s="1"/>
  <c r="U31" i="2"/>
  <c r="AX31" i="1"/>
  <c r="L31" i="3" s="1"/>
  <c r="U12" i="2"/>
  <c r="AX12" i="1"/>
  <c r="L12" i="3" s="1"/>
  <c r="DF7" i="1"/>
  <c r="U20" i="2"/>
  <c r="AX20" i="1"/>
  <c r="L20" i="3" s="1"/>
  <c r="AO5" i="1"/>
  <c r="BS7" i="1"/>
  <c r="U23" i="2"/>
  <c r="AX23" i="1"/>
  <c r="L23" i="3" s="1"/>
  <c r="AO7" i="1"/>
  <c r="K7" i="1"/>
  <c r="BN7" i="3" s="1"/>
  <c r="BL5" i="1"/>
  <c r="U9" i="2"/>
  <c r="AX9" i="1"/>
  <c r="L9" i="3" s="1"/>
  <c r="U17" i="2"/>
  <c r="AX17" i="1"/>
  <c r="L17" i="3" s="1"/>
  <c r="BL7" i="1"/>
  <c r="CB7" i="1"/>
  <c r="BU3" i="1"/>
  <c r="CI3" i="1"/>
  <c r="CD3" i="1"/>
  <c r="CK3" i="1"/>
  <c r="CK7" i="1" s="1"/>
  <c r="CJ7" i="1" s="1"/>
  <c r="BE3" i="1"/>
  <c r="S3" i="3" s="1"/>
  <c r="DX3" i="1"/>
  <c r="CY3" i="1"/>
  <c r="CW5" i="1"/>
  <c r="DV5" i="1"/>
  <c r="CG5" i="1"/>
  <c r="BI3" i="1"/>
  <c r="W3" i="3" s="1"/>
  <c r="DC3" i="1"/>
  <c r="EB3" i="1"/>
  <c r="CG7" i="1"/>
  <c r="CW7" i="1"/>
  <c r="DV7" i="1"/>
  <c r="AM7" i="1"/>
  <c r="Y7" i="1"/>
  <c r="BC3" i="1"/>
  <c r="Q3" i="3" s="1"/>
  <c r="DV3" i="1"/>
  <c r="CW3" i="1"/>
  <c r="CG3" i="1"/>
  <c r="AQ3" i="1"/>
  <c r="DJ3" i="1"/>
  <c r="DJ7" i="1" s="1"/>
  <c r="DI7" i="1" s="1"/>
  <c r="BP3" i="1"/>
  <c r="BW3" i="1"/>
  <c r="CB3" i="1"/>
  <c r="DH3" i="1"/>
  <c r="AO3" i="1"/>
  <c r="BN3" i="1"/>
  <c r="BS3" i="1"/>
  <c r="BL3" i="1"/>
  <c r="AF3" i="1"/>
  <c r="Y3" i="1"/>
  <c r="DF3" i="1"/>
  <c r="AM3" i="1"/>
  <c r="BO3" i="1"/>
  <c r="BM3" i="1"/>
  <c r="Q13" i="6" l="1"/>
  <c r="P8" i="6"/>
  <c r="E8" i="6"/>
  <c r="T9" i="6"/>
  <c r="U9" i="6" s="1"/>
  <c r="I9" i="6"/>
  <c r="T11" i="6"/>
  <c r="U11" i="6" s="1"/>
  <c r="I11" i="6"/>
  <c r="P13" i="13"/>
  <c r="E13" i="13"/>
  <c r="Q13" i="13" s="1"/>
  <c r="I11" i="13"/>
  <c r="U11" i="13" s="1"/>
  <c r="T11" i="13"/>
  <c r="R14" i="6"/>
  <c r="T15" i="6"/>
  <c r="U15" i="6" s="1"/>
  <c r="I15" i="6"/>
  <c r="P8" i="13"/>
  <c r="E8" i="13"/>
  <c r="Q8" i="13" s="1"/>
  <c r="T8" i="6"/>
  <c r="U8" i="6" s="1"/>
  <c r="I8" i="6"/>
  <c r="P9" i="9"/>
  <c r="R15" i="6"/>
  <c r="G15" i="6"/>
  <c r="E15" i="13"/>
  <c r="Q15" i="13" s="1"/>
  <c r="P15" i="13"/>
  <c r="P9" i="12"/>
  <c r="P13" i="10"/>
  <c r="P10" i="13"/>
  <c r="E10" i="13"/>
  <c r="Q10" i="13" s="1"/>
  <c r="P16" i="11"/>
  <c r="R16" i="6"/>
  <c r="G16" i="6"/>
  <c r="Q9" i="6"/>
  <c r="I24" i="13"/>
  <c r="U24" i="13" s="1"/>
  <c r="T24" i="13"/>
  <c r="T10" i="6"/>
  <c r="U10" i="6" s="1"/>
  <c r="I10" i="6"/>
  <c r="P9" i="10"/>
  <c r="R11" i="6"/>
  <c r="G11" i="6"/>
  <c r="P15" i="6"/>
  <c r="E15" i="6"/>
  <c r="P12" i="12"/>
  <c r="G24" i="13"/>
  <c r="S24" i="13" s="1"/>
  <c r="P16" i="13"/>
  <c r="E16" i="13"/>
  <c r="Q16" i="13" s="1"/>
  <c r="I10" i="8"/>
  <c r="U10" i="8" s="1"/>
  <c r="T10" i="8"/>
  <c r="T12" i="6"/>
  <c r="U12" i="6" s="1"/>
  <c r="I12" i="6"/>
  <c r="G9" i="6"/>
  <c r="P11" i="13"/>
  <c r="E11" i="13"/>
  <c r="Q11" i="13" s="1"/>
  <c r="I8" i="8"/>
  <c r="U8" i="8" s="1"/>
  <c r="T8" i="8"/>
  <c r="P10" i="6"/>
  <c r="E10" i="6"/>
  <c r="P11" i="6"/>
  <c r="Q11" i="6" s="1"/>
  <c r="E11" i="6"/>
  <c r="I16" i="13"/>
  <c r="U16" i="13" s="1"/>
  <c r="V16" i="13"/>
  <c r="I10" i="13"/>
  <c r="U10" i="13" s="1"/>
  <c r="V10" i="13"/>
  <c r="T16" i="6"/>
  <c r="U16" i="6" s="1"/>
  <c r="I16" i="6"/>
  <c r="P15" i="10"/>
  <c r="P16" i="10"/>
  <c r="P8" i="10"/>
  <c r="R10" i="6"/>
  <c r="G10" i="6"/>
  <c r="G16" i="13"/>
  <c r="S16" i="13" s="1"/>
  <c r="T16" i="13"/>
  <c r="P16" i="6"/>
  <c r="E16" i="6"/>
  <c r="P8" i="11"/>
  <c r="I13" i="13"/>
  <c r="U13" i="13" s="1"/>
  <c r="T13" i="13"/>
  <c r="G13" i="13"/>
  <c r="S13" i="13" s="1"/>
  <c r="E24" i="13"/>
  <c r="Q24" i="13" s="1"/>
  <c r="P24" i="13"/>
  <c r="P15" i="9"/>
  <c r="T8" i="13"/>
  <c r="I8" i="13"/>
  <c r="U8" i="13" s="1"/>
  <c r="P14" i="6"/>
  <c r="E14" i="6"/>
  <c r="G10" i="13"/>
  <c r="S10" i="13" s="1"/>
  <c r="P9" i="11"/>
  <c r="P13" i="9"/>
  <c r="R8" i="6"/>
  <c r="S8" i="6" s="1"/>
  <c r="G8" i="6"/>
  <c r="G11" i="13"/>
  <c r="S11" i="13" s="1"/>
  <c r="G15" i="13"/>
  <c r="S15" i="13" s="1"/>
  <c r="T15" i="13"/>
  <c r="I15" i="13"/>
  <c r="U15" i="13" s="1"/>
  <c r="Q12" i="6"/>
  <c r="AK3" i="3"/>
  <c r="DA3" i="1"/>
  <c r="CP3" i="1"/>
  <c r="AB3" i="3" s="1"/>
  <c r="AI3" i="3"/>
  <c r="CN3" i="1"/>
  <c r="Z3" i="3" s="1"/>
  <c r="EB7" i="1"/>
  <c r="BG3" i="3"/>
  <c r="DS3" i="1"/>
  <c r="AX3" i="3" s="1"/>
  <c r="BA7" i="3"/>
  <c r="DM7" i="1"/>
  <c r="AR7" i="3" s="1"/>
  <c r="AI5" i="3"/>
  <c r="CN5" i="1"/>
  <c r="Z5" i="3" s="1"/>
  <c r="AI7" i="3"/>
  <c r="CN7" i="1"/>
  <c r="Z7" i="3" s="1"/>
  <c r="BA3" i="3"/>
  <c r="DM3" i="1"/>
  <c r="AR3" i="3" s="1"/>
  <c r="DC7" i="1"/>
  <c r="AO3" i="3"/>
  <c r="CT3" i="1"/>
  <c r="AF3" i="3" s="1"/>
  <c r="BC3" i="3"/>
  <c r="DZ3" i="1"/>
  <c r="DO3" i="1"/>
  <c r="AT3" i="3" s="1"/>
  <c r="C10" i="4"/>
  <c r="B10" i="4" s="1"/>
  <c r="C11" i="4"/>
  <c r="B11" i="4" s="1"/>
  <c r="C9" i="4"/>
  <c r="B9" i="4" s="1"/>
  <c r="BA5" i="3"/>
  <c r="DM5" i="1"/>
  <c r="AR5" i="3" s="1"/>
  <c r="Q3" i="2"/>
  <c r="AT3" i="1"/>
  <c r="H3" i="3" s="1"/>
  <c r="S3" i="2"/>
  <c r="AV3" i="1"/>
  <c r="J3" i="3" s="1"/>
  <c r="W3" i="2"/>
  <c r="AZ3" i="1"/>
  <c r="N3" i="3" s="1"/>
  <c r="BO7" i="1"/>
  <c r="BV7" i="1" s="1"/>
  <c r="BV11" i="1" s="1"/>
  <c r="BW11" i="1" s="1"/>
  <c r="BV3" i="1"/>
  <c r="CC3" i="1" s="1"/>
  <c r="DX7" i="1"/>
  <c r="DX5" i="1"/>
  <c r="CI7" i="1"/>
  <c r="CI5" i="1"/>
  <c r="CH5" i="1" s="1"/>
  <c r="BM5" i="1"/>
  <c r="BT5" i="1" s="1"/>
  <c r="BT3" i="1"/>
  <c r="CA3" i="1" s="1"/>
  <c r="CY7" i="1"/>
  <c r="CY5" i="1"/>
  <c r="DH5" i="1"/>
  <c r="DG5" i="1" s="1"/>
  <c r="DH7" i="1"/>
  <c r="BM7" i="1"/>
  <c r="BT7" i="1" s="1"/>
  <c r="BO5" i="1"/>
  <c r="BV5" i="1" s="1"/>
  <c r="S10" i="6" l="1"/>
  <c r="Q15" i="6"/>
  <c r="S11" i="6"/>
  <c r="S16" i="6"/>
  <c r="P24" i="9"/>
  <c r="E24" i="9"/>
  <c r="Q24" i="9" s="1"/>
  <c r="P8" i="9"/>
  <c r="P14" i="11"/>
  <c r="P16" i="12"/>
  <c r="P24" i="10"/>
  <c r="P16" i="9"/>
  <c r="P11" i="11"/>
  <c r="P15" i="12"/>
  <c r="P10" i="9"/>
  <c r="T14" i="6"/>
  <c r="U14" i="6" s="1"/>
  <c r="I14" i="6"/>
  <c r="G14" i="6"/>
  <c r="P10" i="11"/>
  <c r="P14" i="10"/>
  <c r="P24" i="11"/>
  <c r="P13" i="12"/>
  <c r="P8" i="12"/>
  <c r="T13" i="6"/>
  <c r="I13" i="6"/>
  <c r="G13" i="6"/>
  <c r="P10" i="10"/>
  <c r="Q10" i="6"/>
  <c r="P14" i="12"/>
  <c r="Q14" i="6"/>
  <c r="BV15" i="1"/>
  <c r="BW15" i="1" s="1"/>
  <c r="P24" i="12"/>
  <c r="Q16" i="6"/>
  <c r="S12" i="6"/>
  <c r="S15" i="6"/>
  <c r="P13" i="11"/>
  <c r="P11" i="12"/>
  <c r="P11" i="9"/>
  <c r="P15" i="11"/>
  <c r="BV9" i="1"/>
  <c r="BW9" i="1" s="1"/>
  <c r="BV19" i="1"/>
  <c r="BW19" i="1" s="1"/>
  <c r="S9" i="6"/>
  <c r="P11" i="10"/>
  <c r="P10" i="12"/>
  <c r="Q8" i="6"/>
  <c r="DW5" i="1"/>
  <c r="BC5" i="3"/>
  <c r="DO5" i="1"/>
  <c r="AT5" i="3" s="1"/>
  <c r="DZ5" i="1"/>
  <c r="BC7" i="3"/>
  <c r="R24" i="12" s="1"/>
  <c r="DZ7" i="1"/>
  <c r="DO7" i="1"/>
  <c r="AT7" i="3" s="1"/>
  <c r="E24" i="11" s="1"/>
  <c r="Q24" i="11" s="1"/>
  <c r="BE3" i="3"/>
  <c r="DQ3" i="1"/>
  <c r="AV3" i="3" s="1"/>
  <c r="EA7" i="1"/>
  <c r="BG7" i="3"/>
  <c r="DS7" i="1"/>
  <c r="AX7" i="3" s="1"/>
  <c r="V24" i="11" s="1"/>
  <c r="BV32" i="1"/>
  <c r="BW32" i="1" s="1"/>
  <c r="CX5" i="1"/>
  <c r="AK5" i="3"/>
  <c r="CP5" i="1"/>
  <c r="AB5" i="3" s="1"/>
  <c r="DA5" i="1"/>
  <c r="AK7" i="3"/>
  <c r="DA7" i="1"/>
  <c r="CP7" i="1"/>
  <c r="AB7" i="3" s="1"/>
  <c r="BV14" i="1"/>
  <c r="BW14" i="1" s="1"/>
  <c r="BV22" i="1"/>
  <c r="BW22" i="1" s="1"/>
  <c r="AM3" i="3"/>
  <c r="CR3" i="1"/>
  <c r="AD3" i="3" s="1"/>
  <c r="DB7" i="1"/>
  <c r="AO7" i="3"/>
  <c r="V24" i="10" s="1"/>
  <c r="CT7" i="1"/>
  <c r="AF7" i="3" s="1"/>
  <c r="BV8" i="1"/>
  <c r="BW8" i="1" s="1"/>
  <c r="BV13" i="1"/>
  <c r="BW13" i="1" s="1"/>
  <c r="BV34" i="1"/>
  <c r="BW34" i="1" s="1"/>
  <c r="BV23" i="1"/>
  <c r="BW23" i="1" s="1"/>
  <c r="BV12" i="1"/>
  <c r="BW12" i="1" s="1"/>
  <c r="BV17" i="1"/>
  <c r="BW17" i="1" s="1"/>
  <c r="BV10" i="1"/>
  <c r="BW10" i="1" s="1"/>
  <c r="BV27" i="1"/>
  <c r="BW27" i="1" s="1"/>
  <c r="BV16" i="1"/>
  <c r="BW16" i="1" s="1"/>
  <c r="BV21" i="1"/>
  <c r="BW21" i="1" s="1"/>
  <c r="BV18" i="1"/>
  <c r="BW18" i="1" s="1"/>
  <c r="BV31" i="1"/>
  <c r="BW31" i="1" s="1"/>
  <c r="BV25" i="1"/>
  <c r="BW25" i="1" s="1"/>
  <c r="BV35" i="1"/>
  <c r="BW35" i="1" s="1"/>
  <c r="BV29" i="1"/>
  <c r="BW29" i="1" s="1"/>
  <c r="BV30" i="1"/>
  <c r="BW30" i="1" s="1"/>
  <c r="BV20" i="1"/>
  <c r="BW20" i="1" s="1"/>
  <c r="BV26" i="1"/>
  <c r="BW26" i="1" s="1"/>
  <c r="BV24" i="1"/>
  <c r="BW24" i="1" s="1"/>
  <c r="BV28" i="1"/>
  <c r="BW28" i="1" s="1"/>
  <c r="BV33" i="1"/>
  <c r="BW33" i="1" s="1"/>
  <c r="DH35" i="1"/>
  <c r="DH34" i="1"/>
  <c r="DH27" i="1"/>
  <c r="DH26" i="1"/>
  <c r="DH29" i="1"/>
  <c r="DH14" i="1"/>
  <c r="DH33" i="1"/>
  <c r="DH22" i="1"/>
  <c r="DH13" i="1"/>
  <c r="DH30" i="1"/>
  <c r="DH15" i="1"/>
  <c r="DH21" i="1"/>
  <c r="DH25" i="1"/>
  <c r="DH31" i="1"/>
  <c r="DH8" i="1"/>
  <c r="DH12" i="1"/>
  <c r="DH16" i="1"/>
  <c r="DH10" i="1"/>
  <c r="DH11" i="1"/>
  <c r="DH28" i="1"/>
  <c r="DH23" i="1"/>
  <c r="DH24" i="1"/>
  <c r="DH9" i="1"/>
  <c r="DH18" i="1"/>
  <c r="DH19" i="1"/>
  <c r="DH20" i="1"/>
  <c r="DH32" i="1"/>
  <c r="DH17" i="1"/>
  <c r="DG7" i="1"/>
  <c r="CI25" i="1"/>
  <c r="CI23" i="1"/>
  <c r="CI18" i="1"/>
  <c r="CI34" i="1"/>
  <c r="CI16" i="1"/>
  <c r="CI21" i="1"/>
  <c r="CI19" i="1"/>
  <c r="CI20" i="1"/>
  <c r="CI17" i="1"/>
  <c r="CI15" i="1"/>
  <c r="CI22" i="1"/>
  <c r="CI8" i="1"/>
  <c r="CI13" i="1"/>
  <c r="CI11" i="1"/>
  <c r="CI24" i="1"/>
  <c r="CI9" i="1"/>
  <c r="CI10" i="1"/>
  <c r="CI26" i="1"/>
  <c r="CI27" i="1"/>
  <c r="CH7" i="1"/>
  <c r="CI35" i="1"/>
  <c r="CI12" i="1"/>
  <c r="CI28" i="1"/>
  <c r="CI33" i="1"/>
  <c r="CI31" i="1"/>
  <c r="CI14" i="1"/>
  <c r="CI30" i="1"/>
  <c r="CI29" i="1"/>
  <c r="CI32" i="1"/>
  <c r="DX14" i="1"/>
  <c r="DX31" i="1"/>
  <c r="DX29" i="1"/>
  <c r="DX27" i="1"/>
  <c r="DX33" i="1"/>
  <c r="DX23" i="1"/>
  <c r="DX21" i="1"/>
  <c r="DX19" i="1"/>
  <c r="DX12" i="1"/>
  <c r="DX25" i="1"/>
  <c r="DX15" i="1"/>
  <c r="DX13" i="1"/>
  <c r="DX11" i="1"/>
  <c r="DX17" i="1"/>
  <c r="DX34" i="1"/>
  <c r="DX32" i="1"/>
  <c r="DX35" i="1"/>
  <c r="DX9" i="1"/>
  <c r="DX26" i="1"/>
  <c r="DX24" i="1"/>
  <c r="DX22" i="1"/>
  <c r="DX28" i="1"/>
  <c r="DX18" i="1"/>
  <c r="DX16" i="1"/>
  <c r="DW7" i="1"/>
  <c r="DX30" i="1"/>
  <c r="DX20" i="1"/>
  <c r="DX10" i="1"/>
  <c r="DX8" i="1"/>
  <c r="CY23" i="1"/>
  <c r="CY22" i="1"/>
  <c r="CY17" i="1"/>
  <c r="CY32" i="1"/>
  <c r="CY19" i="1"/>
  <c r="CY18" i="1"/>
  <c r="CY13" i="1"/>
  <c r="CY28" i="1"/>
  <c r="CY15" i="1"/>
  <c r="CY14" i="1"/>
  <c r="CY9" i="1"/>
  <c r="CY21" i="1"/>
  <c r="CY24" i="1"/>
  <c r="CY11" i="1"/>
  <c r="CY10" i="1"/>
  <c r="CY16" i="1"/>
  <c r="CY27" i="1"/>
  <c r="CY20" i="1"/>
  <c r="CX7" i="1"/>
  <c r="CY33" i="1"/>
  <c r="CY12" i="1"/>
  <c r="CY35" i="1"/>
  <c r="CY34" i="1"/>
  <c r="CY29" i="1"/>
  <c r="CY8" i="1"/>
  <c r="CY26" i="1"/>
  <c r="CY31" i="1"/>
  <c r="CY30" i="1"/>
  <c r="CY25" i="1"/>
  <c r="BT35" i="1"/>
  <c r="BU35" i="1" s="1"/>
  <c r="BT31" i="1"/>
  <c r="BU31" i="1" s="1"/>
  <c r="BT27" i="1"/>
  <c r="BU27" i="1" s="1"/>
  <c r="BT23" i="1"/>
  <c r="BU23" i="1" s="1"/>
  <c r="BT19" i="1"/>
  <c r="BU19" i="1" s="1"/>
  <c r="BT15" i="1"/>
  <c r="BU15" i="1" s="1"/>
  <c r="BT11" i="1"/>
  <c r="BU11" i="1" s="1"/>
  <c r="BT34" i="1"/>
  <c r="BU34" i="1" s="1"/>
  <c r="BT30" i="1"/>
  <c r="BU30" i="1" s="1"/>
  <c r="BT26" i="1"/>
  <c r="BU26" i="1" s="1"/>
  <c r="BT22" i="1"/>
  <c r="BU22" i="1" s="1"/>
  <c r="BT18" i="1"/>
  <c r="BU18" i="1" s="1"/>
  <c r="BT14" i="1"/>
  <c r="BU14" i="1" s="1"/>
  <c r="BT10" i="1"/>
  <c r="BU10" i="1" s="1"/>
  <c r="BT32" i="1"/>
  <c r="BU32" i="1" s="1"/>
  <c r="BT28" i="1"/>
  <c r="BU28" i="1" s="1"/>
  <c r="BT24" i="1"/>
  <c r="BU24" i="1" s="1"/>
  <c r="BT20" i="1"/>
  <c r="BU20" i="1" s="1"/>
  <c r="BT16" i="1"/>
  <c r="BU16" i="1" s="1"/>
  <c r="BT12" i="1"/>
  <c r="BU12" i="1" s="1"/>
  <c r="BT8" i="1"/>
  <c r="BU8" i="1" s="1"/>
  <c r="BT33" i="1"/>
  <c r="BU33" i="1" s="1"/>
  <c r="BT29" i="1"/>
  <c r="BU29" i="1" s="1"/>
  <c r="BT25" i="1"/>
  <c r="BU25" i="1" s="1"/>
  <c r="BT21" i="1"/>
  <c r="BU21" i="1" s="1"/>
  <c r="BT17" i="1"/>
  <c r="BU17" i="1" s="1"/>
  <c r="BT13" i="1"/>
  <c r="BU13" i="1" s="1"/>
  <c r="BT9" i="1"/>
  <c r="BU9" i="1" s="1"/>
  <c r="R24" i="11" l="1"/>
  <c r="V24" i="12"/>
  <c r="S14" i="6"/>
  <c r="E24" i="12"/>
  <c r="Q24" i="12" s="1"/>
  <c r="R24" i="10"/>
  <c r="U13" i="6"/>
  <c r="S13" i="6"/>
  <c r="E24" i="10"/>
  <c r="Q24" i="10" s="1"/>
  <c r="BC28" i="3"/>
  <c r="DO28" i="1"/>
  <c r="AT28" i="3" s="1"/>
  <c r="AK10" i="3"/>
  <c r="CP10" i="1"/>
  <c r="AB10" i="3" s="1"/>
  <c r="BC13" i="3"/>
  <c r="DO13" i="1"/>
  <c r="AT13" i="3" s="1"/>
  <c r="AJ5" i="3"/>
  <c r="CZ5" i="1"/>
  <c r="CO5" i="1"/>
  <c r="AA5" i="3" s="1"/>
  <c r="BE7" i="3"/>
  <c r="DQ7" i="1"/>
  <c r="AV7" i="3" s="1"/>
  <c r="AK27" i="3"/>
  <c r="CP27" i="1"/>
  <c r="AB27" i="3" s="1"/>
  <c r="BC23" i="3"/>
  <c r="DO23" i="1"/>
  <c r="AT23" i="3" s="1"/>
  <c r="AK16" i="3"/>
  <c r="CP16" i="1"/>
  <c r="AB16" i="3" s="1"/>
  <c r="BC11" i="3"/>
  <c r="DO11" i="1"/>
  <c r="AT11" i="3" s="1"/>
  <c r="AK34" i="3"/>
  <c r="CP34" i="1"/>
  <c r="AB34" i="3" s="1"/>
  <c r="AK13" i="3"/>
  <c r="CP13" i="1"/>
  <c r="AB13" i="3" s="1"/>
  <c r="DA13" i="1"/>
  <c r="BC10" i="3"/>
  <c r="DO10" i="1"/>
  <c r="AT10" i="3" s="1"/>
  <c r="BC24" i="3"/>
  <c r="DO24" i="1"/>
  <c r="AT24" i="3" s="1"/>
  <c r="BC27" i="3"/>
  <c r="DO27" i="1"/>
  <c r="AT27" i="3" s="1"/>
  <c r="AK35" i="3"/>
  <c r="CP35" i="1"/>
  <c r="AB35" i="3" s="1"/>
  <c r="AK11" i="3"/>
  <c r="CP11" i="1"/>
  <c r="AB11" i="3" s="1"/>
  <c r="CP18" i="1"/>
  <c r="AB18" i="3" s="1"/>
  <c r="AK18" i="3"/>
  <c r="BC20" i="3"/>
  <c r="DO20" i="1"/>
  <c r="AT20" i="3" s="1"/>
  <c r="BC26" i="3"/>
  <c r="DZ26" i="1"/>
  <c r="DO26" i="1"/>
  <c r="AT26" i="3" s="1"/>
  <c r="BC15" i="3"/>
  <c r="DO15" i="1"/>
  <c r="AT15" i="3" s="1"/>
  <c r="BC29" i="3"/>
  <c r="DO29" i="1"/>
  <c r="AT29" i="3" s="1"/>
  <c r="BC17" i="3"/>
  <c r="DO17" i="1"/>
  <c r="AT17" i="3" s="1"/>
  <c r="BC22" i="3"/>
  <c r="DO22" i="1"/>
  <c r="AT22" i="3" s="1"/>
  <c r="AK24" i="3"/>
  <c r="CP24" i="1"/>
  <c r="AB24" i="3" s="1"/>
  <c r="BC31" i="3"/>
  <c r="DO31" i="1"/>
  <c r="AT31" i="3" s="1"/>
  <c r="BE5" i="3"/>
  <c r="DQ5" i="1"/>
  <c r="AV5" i="3" s="1"/>
  <c r="AK8" i="3"/>
  <c r="CP8" i="1"/>
  <c r="AB8" i="3" s="1"/>
  <c r="AK28" i="3"/>
  <c r="CP28" i="1"/>
  <c r="AB28" i="3" s="1"/>
  <c r="AK25" i="3"/>
  <c r="CP25" i="1"/>
  <c r="AB25" i="3" s="1"/>
  <c r="BC9" i="3"/>
  <c r="DO9" i="1"/>
  <c r="AT9" i="3" s="1"/>
  <c r="AK30" i="3"/>
  <c r="CP30" i="1"/>
  <c r="AB30" i="3" s="1"/>
  <c r="AK32" i="3"/>
  <c r="CP32" i="1"/>
  <c r="AB32" i="3" s="1"/>
  <c r="BC35" i="3"/>
  <c r="DO35" i="1"/>
  <c r="AT35" i="3" s="1"/>
  <c r="BC14" i="3"/>
  <c r="DO14" i="1"/>
  <c r="AT14" i="3" s="1"/>
  <c r="AM7" i="3"/>
  <c r="G24" i="10" s="1"/>
  <c r="S24" i="10" s="1"/>
  <c r="CR7" i="1"/>
  <c r="AD7" i="3" s="1"/>
  <c r="AK23" i="3"/>
  <c r="CP23" i="1"/>
  <c r="AB23" i="3" s="1"/>
  <c r="BC8" i="3"/>
  <c r="DO8" i="1"/>
  <c r="AT8" i="3" s="1"/>
  <c r="BC33" i="3"/>
  <c r="DZ33" i="1"/>
  <c r="DO33" i="1"/>
  <c r="AT33" i="3" s="1"/>
  <c r="AK12" i="3"/>
  <c r="CP12" i="1"/>
  <c r="AB12" i="3" s="1"/>
  <c r="BC30" i="3"/>
  <c r="DO30" i="1"/>
  <c r="AT30" i="3" s="1"/>
  <c r="BC25" i="3"/>
  <c r="DO25" i="1"/>
  <c r="AT25" i="3" s="1"/>
  <c r="AK33" i="3"/>
  <c r="CP33" i="1"/>
  <c r="AB33" i="3" s="1"/>
  <c r="AK21" i="3"/>
  <c r="CP21" i="1"/>
  <c r="AB21" i="3" s="1"/>
  <c r="DY7" i="1"/>
  <c r="BB7" i="3"/>
  <c r="DN7" i="1"/>
  <c r="AS7" i="3" s="1"/>
  <c r="BC12" i="3"/>
  <c r="DO12" i="1"/>
  <c r="AT12" i="3" s="1"/>
  <c r="AK31" i="3"/>
  <c r="CP31" i="1"/>
  <c r="AB31" i="3" s="1"/>
  <c r="DA31" i="1"/>
  <c r="AJ7" i="3"/>
  <c r="CO7" i="1"/>
  <c r="AA7" i="3" s="1"/>
  <c r="CZ7" i="1"/>
  <c r="AK9" i="3"/>
  <c r="CP9" i="1"/>
  <c r="AB9" i="3" s="1"/>
  <c r="AK17" i="3"/>
  <c r="CP17" i="1"/>
  <c r="AB17" i="3" s="1"/>
  <c r="BC16" i="3"/>
  <c r="DO16" i="1"/>
  <c r="AT16" i="3" s="1"/>
  <c r="BC32" i="3"/>
  <c r="DO32" i="1"/>
  <c r="AT32" i="3" s="1"/>
  <c r="BC19" i="3"/>
  <c r="DO19" i="1"/>
  <c r="AT19" i="3" s="1"/>
  <c r="BF7" i="3"/>
  <c r="DR7" i="1"/>
  <c r="AW7" i="3" s="1"/>
  <c r="AK15" i="3"/>
  <c r="CP15" i="1"/>
  <c r="AB15" i="3" s="1"/>
  <c r="DA15" i="1"/>
  <c r="AK29" i="3"/>
  <c r="CP29" i="1"/>
  <c r="AB29" i="3" s="1"/>
  <c r="AK19" i="3"/>
  <c r="CP19" i="1"/>
  <c r="AB19" i="3" s="1"/>
  <c r="CP26" i="1"/>
  <c r="AB26" i="3" s="1"/>
  <c r="AK26" i="3"/>
  <c r="AK20" i="3"/>
  <c r="CP20" i="1"/>
  <c r="AB20" i="3" s="1"/>
  <c r="AK14" i="3"/>
  <c r="CP14" i="1"/>
  <c r="AB14" i="3" s="1"/>
  <c r="AK22" i="3"/>
  <c r="CP22" i="1"/>
  <c r="AB22" i="3" s="1"/>
  <c r="DA22" i="1"/>
  <c r="BC18" i="3"/>
  <c r="DO18" i="1"/>
  <c r="AT18" i="3" s="1"/>
  <c r="BC34" i="3"/>
  <c r="DO34" i="1"/>
  <c r="AT34" i="3" s="1"/>
  <c r="BC21" i="3"/>
  <c r="DO21" i="1"/>
  <c r="AT21" i="3" s="1"/>
  <c r="AN7" i="3"/>
  <c r="CS7" i="1"/>
  <c r="AE7" i="3" s="1"/>
  <c r="AM5" i="3"/>
  <c r="CR5" i="1"/>
  <c r="AD5" i="3" s="1"/>
  <c r="DY5" i="1"/>
  <c r="BB5" i="3"/>
  <c r="DN5" i="1"/>
  <c r="AS5" i="3" s="1"/>
  <c r="EB17" i="1"/>
  <c r="DZ17" i="1" s="1"/>
  <c r="DW17" i="1"/>
  <c r="CH18" i="1"/>
  <c r="CK18" i="1"/>
  <c r="CJ18" i="1" s="1"/>
  <c r="CX29" i="1"/>
  <c r="DC29" i="1"/>
  <c r="CX16" i="1"/>
  <c r="DC16" i="1"/>
  <c r="DC28" i="1"/>
  <c r="DA28" i="1" s="1"/>
  <c r="CX28" i="1"/>
  <c r="DW8" i="1"/>
  <c r="EB8" i="1"/>
  <c r="DW22" i="1"/>
  <c r="EB22" i="1"/>
  <c r="EB11" i="1"/>
  <c r="DW11" i="1"/>
  <c r="EB33" i="1"/>
  <c r="DW33" i="1"/>
  <c r="CH14" i="1"/>
  <c r="CK14" i="1"/>
  <c r="CJ14" i="1" s="1"/>
  <c r="CH26" i="1"/>
  <c r="CK26" i="1"/>
  <c r="CJ26" i="1" s="1"/>
  <c r="CK15" i="1"/>
  <c r="CJ15" i="1" s="1"/>
  <c r="CH15" i="1"/>
  <c r="CK23" i="1"/>
  <c r="CJ23" i="1" s="1"/>
  <c r="CH23" i="1"/>
  <c r="DG9" i="1"/>
  <c r="DJ9" i="1"/>
  <c r="DI9" i="1" s="1"/>
  <c r="DG8" i="1"/>
  <c r="DJ8" i="1"/>
  <c r="DI8" i="1" s="1"/>
  <c r="DG33" i="1"/>
  <c r="DJ33" i="1"/>
  <c r="DI33" i="1" s="1"/>
  <c r="CX15" i="1"/>
  <c r="DC15" i="1"/>
  <c r="EB23" i="1"/>
  <c r="DW23" i="1"/>
  <c r="CK30" i="1"/>
  <c r="CJ30" i="1" s="1"/>
  <c r="CH30" i="1"/>
  <c r="DC34" i="1"/>
  <c r="CX34" i="1"/>
  <c r="DC10" i="1"/>
  <c r="DA10" i="1" s="1"/>
  <c r="CX10" i="1"/>
  <c r="DC13" i="1"/>
  <c r="CX13" i="1"/>
  <c r="EB10" i="1"/>
  <c r="DW10" i="1"/>
  <c r="DW24" i="1"/>
  <c r="EB24" i="1"/>
  <c r="DZ24" i="1" s="1"/>
  <c r="DW13" i="1"/>
  <c r="EB13" i="1"/>
  <c r="DZ13" i="1" s="1"/>
  <c r="DW27" i="1"/>
  <c r="EB27" i="1"/>
  <c r="CH31" i="1"/>
  <c r="CK31" i="1"/>
  <c r="CJ31" i="1" s="1"/>
  <c r="CH10" i="1"/>
  <c r="CK10" i="1"/>
  <c r="CJ10" i="1" s="1"/>
  <c r="CH17" i="1"/>
  <c r="CK17" i="1"/>
  <c r="CJ17" i="1" s="1"/>
  <c r="CH25" i="1"/>
  <c r="CK25" i="1"/>
  <c r="CJ25" i="1" s="1"/>
  <c r="DJ24" i="1"/>
  <c r="DI24" i="1" s="1"/>
  <c r="DG24" i="1"/>
  <c r="DG31" i="1"/>
  <c r="DJ31" i="1"/>
  <c r="DI31" i="1" s="1"/>
  <c r="DG14" i="1"/>
  <c r="DJ14" i="1"/>
  <c r="DI14" i="1" s="1"/>
  <c r="CX27" i="1"/>
  <c r="DC27" i="1"/>
  <c r="EB28" i="1"/>
  <c r="DW28" i="1"/>
  <c r="CH27" i="1"/>
  <c r="CK27" i="1"/>
  <c r="CJ27" i="1" s="1"/>
  <c r="DC35" i="1"/>
  <c r="DA35" i="1" s="1"/>
  <c r="CX35" i="1"/>
  <c r="CX11" i="1"/>
  <c r="DC11" i="1"/>
  <c r="DA11" i="1" s="1"/>
  <c r="DC18" i="1"/>
  <c r="CX18" i="1"/>
  <c r="DW20" i="1"/>
  <c r="EB20" i="1"/>
  <c r="EB26" i="1"/>
  <c r="DW26" i="1"/>
  <c r="EB15" i="1"/>
  <c r="DW15" i="1"/>
  <c r="DW29" i="1"/>
  <c r="EB29" i="1"/>
  <c r="DZ29" i="1" s="1"/>
  <c r="CH33" i="1"/>
  <c r="CK33" i="1"/>
  <c r="CJ33" i="1" s="1"/>
  <c r="CK9" i="1"/>
  <c r="CJ9" i="1" s="1"/>
  <c r="CH9" i="1"/>
  <c r="CK20" i="1"/>
  <c r="CJ20" i="1" s="1"/>
  <c r="CH20" i="1"/>
  <c r="DG23" i="1"/>
  <c r="DJ23" i="1"/>
  <c r="DI23" i="1" s="1"/>
  <c r="DG25" i="1"/>
  <c r="DJ25" i="1"/>
  <c r="DI25" i="1" s="1"/>
  <c r="DG29" i="1"/>
  <c r="DJ29" i="1"/>
  <c r="DI29" i="1" s="1"/>
  <c r="DC23" i="1"/>
  <c r="CX23" i="1"/>
  <c r="CH22" i="1"/>
  <c r="CK22" i="1"/>
  <c r="CJ22" i="1" s="1"/>
  <c r="CX25" i="1"/>
  <c r="DC25" i="1"/>
  <c r="DA25" i="1" s="1"/>
  <c r="DC12" i="1"/>
  <c r="DA12" i="1" s="1"/>
  <c r="CX12" i="1"/>
  <c r="DC24" i="1"/>
  <c r="DA24" i="1" s="1"/>
  <c r="CX24" i="1"/>
  <c r="CX19" i="1"/>
  <c r="DC19" i="1"/>
  <c r="DW30" i="1"/>
  <c r="EB30" i="1"/>
  <c r="DW9" i="1"/>
  <c r="EB9" i="1"/>
  <c r="DZ9" i="1" s="1"/>
  <c r="DW25" i="1"/>
  <c r="EB25" i="1"/>
  <c r="DZ25" i="1" s="1"/>
  <c r="EB31" i="1"/>
  <c r="DW31" i="1"/>
  <c r="CK28" i="1"/>
  <c r="CJ28" i="1" s="1"/>
  <c r="CH28" i="1"/>
  <c r="CH24" i="1"/>
  <c r="CK24" i="1"/>
  <c r="CJ24" i="1" s="1"/>
  <c r="CH19" i="1"/>
  <c r="CK19" i="1"/>
  <c r="CJ19" i="1" s="1"/>
  <c r="DG17" i="1"/>
  <c r="DJ17" i="1"/>
  <c r="DI17" i="1" s="1"/>
  <c r="DJ28" i="1"/>
  <c r="DI28" i="1" s="1"/>
  <c r="DG28" i="1"/>
  <c r="DG21" i="1"/>
  <c r="DJ21" i="1"/>
  <c r="DI21" i="1" s="1"/>
  <c r="DG26" i="1"/>
  <c r="DJ26" i="1"/>
  <c r="DI26" i="1" s="1"/>
  <c r="DG22" i="1"/>
  <c r="DJ22" i="1"/>
  <c r="DI22" i="1" s="1"/>
  <c r="DC30" i="1"/>
  <c r="CX30" i="1"/>
  <c r="DC33" i="1"/>
  <c r="DA33" i="1" s="1"/>
  <c r="CX33" i="1"/>
  <c r="CX21" i="1"/>
  <c r="DC21" i="1"/>
  <c r="DA21" i="1" s="1"/>
  <c r="DC32" i="1"/>
  <c r="DA32" i="1" s="1"/>
  <c r="CX32" i="1"/>
  <c r="DW35" i="1"/>
  <c r="EB35" i="1"/>
  <c r="DW12" i="1"/>
  <c r="EB12" i="1"/>
  <c r="DZ12" i="1" s="1"/>
  <c r="DW14" i="1"/>
  <c r="EB14" i="1"/>
  <c r="CH12" i="1"/>
  <c r="CK12" i="1"/>
  <c r="CJ12" i="1" s="1"/>
  <c r="CH11" i="1"/>
  <c r="CK11" i="1"/>
  <c r="CJ11" i="1" s="1"/>
  <c r="CK21" i="1"/>
  <c r="CJ21" i="1" s="1"/>
  <c r="CH21" i="1"/>
  <c r="DG32" i="1"/>
  <c r="DJ32" i="1"/>
  <c r="DI32" i="1" s="1"/>
  <c r="DG11" i="1"/>
  <c r="DJ11" i="1"/>
  <c r="DI11" i="1" s="1"/>
  <c r="DG15" i="1"/>
  <c r="DJ15" i="1"/>
  <c r="DI15" i="1" s="1"/>
  <c r="DG27" i="1"/>
  <c r="DJ27" i="1"/>
  <c r="DI27" i="1" s="1"/>
  <c r="DJ18" i="1"/>
  <c r="DI18" i="1" s="1"/>
  <c r="DG18" i="1"/>
  <c r="CX31" i="1"/>
  <c r="DC31" i="1"/>
  <c r="DC9" i="1"/>
  <c r="DA9" i="1" s="1"/>
  <c r="CX9" i="1"/>
  <c r="DC17" i="1"/>
  <c r="DA17" i="1" s="1"/>
  <c r="CX17" i="1"/>
  <c r="EB16" i="1"/>
  <c r="DW16" i="1"/>
  <c r="DW32" i="1"/>
  <c r="EB32" i="1"/>
  <c r="DW19" i="1"/>
  <c r="EB19" i="1"/>
  <c r="CK32" i="1"/>
  <c r="CJ32" i="1" s="1"/>
  <c r="CH32" i="1"/>
  <c r="CH35" i="1"/>
  <c r="CK35" i="1"/>
  <c r="CJ35" i="1" s="1"/>
  <c r="CH13" i="1"/>
  <c r="CK13" i="1"/>
  <c r="CJ13" i="1" s="1"/>
  <c r="CH16" i="1"/>
  <c r="CK16" i="1"/>
  <c r="CJ16" i="1" s="1"/>
  <c r="DG20" i="1"/>
  <c r="DJ20" i="1"/>
  <c r="DI20" i="1" s="1"/>
  <c r="DG10" i="1"/>
  <c r="DJ10" i="1"/>
  <c r="DI10" i="1" s="1"/>
  <c r="DG30" i="1"/>
  <c r="DJ30" i="1"/>
  <c r="DI30" i="1" s="1"/>
  <c r="DJ34" i="1"/>
  <c r="DI34" i="1" s="1"/>
  <c r="DG34" i="1"/>
  <c r="DC8" i="1"/>
  <c r="DA8" i="1" s="1"/>
  <c r="CX8" i="1"/>
  <c r="DJ12" i="1"/>
  <c r="DI12" i="1" s="1"/>
  <c r="DG12" i="1"/>
  <c r="DC26" i="1"/>
  <c r="DA26" i="1" s="1"/>
  <c r="CX26" i="1"/>
  <c r="CX20" i="1"/>
  <c r="DC20" i="1"/>
  <c r="CX14" i="1"/>
  <c r="DC14" i="1"/>
  <c r="DA14" i="1" s="1"/>
  <c r="DC22" i="1"/>
  <c r="CX22" i="1"/>
  <c r="EB18" i="1"/>
  <c r="DW18" i="1"/>
  <c r="EB34" i="1"/>
  <c r="DZ34" i="1" s="1"/>
  <c r="DW34" i="1"/>
  <c r="DW21" i="1"/>
  <c r="EB21" i="1"/>
  <c r="DZ21" i="1" s="1"/>
  <c r="CH29" i="1"/>
  <c r="CK29" i="1"/>
  <c r="CJ29" i="1" s="1"/>
  <c r="CK8" i="1"/>
  <c r="CJ8" i="1" s="1"/>
  <c r="CH8" i="1"/>
  <c r="CK34" i="1"/>
  <c r="CJ34" i="1" s="1"/>
  <c r="CH34" i="1"/>
  <c r="DG19" i="1"/>
  <c r="DJ19" i="1"/>
  <c r="DI19" i="1" s="1"/>
  <c r="DJ16" i="1"/>
  <c r="DI16" i="1" s="1"/>
  <c r="DG16" i="1"/>
  <c r="DG13" i="1"/>
  <c r="DJ13" i="1"/>
  <c r="DI13" i="1" s="1"/>
  <c r="DG35" i="1"/>
  <c r="DJ35" i="1"/>
  <c r="DI35" i="1" s="1"/>
  <c r="R13" i="11" l="1"/>
  <c r="E13" i="11"/>
  <c r="Q13" i="11" s="1"/>
  <c r="R14" i="10"/>
  <c r="E14" i="10"/>
  <c r="Q14" i="10" s="1"/>
  <c r="R13" i="12"/>
  <c r="E13" i="12"/>
  <c r="Q13" i="12" s="1"/>
  <c r="I24" i="11"/>
  <c r="U24" i="11" s="1"/>
  <c r="T24" i="11"/>
  <c r="E12" i="11"/>
  <c r="Q12" i="11" s="1"/>
  <c r="R12" i="11"/>
  <c r="R9" i="12"/>
  <c r="E9" i="12"/>
  <c r="Q9" i="12" s="1"/>
  <c r="G24" i="12"/>
  <c r="S24" i="12" s="1"/>
  <c r="T24" i="12"/>
  <c r="E14" i="9"/>
  <c r="Q14" i="9" s="1"/>
  <c r="R14" i="9"/>
  <c r="R12" i="12"/>
  <c r="E12" i="12"/>
  <c r="Q12" i="12" s="1"/>
  <c r="E12" i="10"/>
  <c r="Q12" i="10" s="1"/>
  <c r="R12" i="10"/>
  <c r="I24" i="12"/>
  <c r="U24" i="12" s="1"/>
  <c r="R9" i="11"/>
  <c r="E9" i="11"/>
  <c r="Q9" i="11" s="1"/>
  <c r="R9" i="10"/>
  <c r="E9" i="10"/>
  <c r="Q9" i="10" s="1"/>
  <c r="E12" i="9"/>
  <c r="Q12" i="9" s="1"/>
  <c r="R12" i="9"/>
  <c r="R9" i="9"/>
  <c r="E9" i="9"/>
  <c r="Q9" i="9" s="1"/>
  <c r="I24" i="10"/>
  <c r="U24" i="10" s="1"/>
  <c r="T24" i="10"/>
  <c r="G24" i="11"/>
  <c r="S24" i="11" s="1"/>
  <c r="AM9" i="3"/>
  <c r="CR9" i="1"/>
  <c r="AD9" i="3" s="1"/>
  <c r="BE29" i="3"/>
  <c r="DQ29" i="1"/>
  <c r="AV29" i="3" s="1"/>
  <c r="AM32" i="3"/>
  <c r="CR32" i="1"/>
  <c r="AD32" i="3" s="1"/>
  <c r="AM25" i="3"/>
  <c r="CR25" i="1"/>
  <c r="AD25" i="3" s="1"/>
  <c r="BE34" i="3"/>
  <c r="DQ34" i="1"/>
  <c r="AV34" i="3" s="1"/>
  <c r="AM21" i="3"/>
  <c r="CR21" i="1"/>
  <c r="AD21" i="3" s="1"/>
  <c r="AM14" i="3"/>
  <c r="CR14" i="1"/>
  <c r="AD14" i="3" s="1"/>
  <c r="BE12" i="3"/>
  <c r="DQ12" i="1"/>
  <c r="AV12" i="3" s="1"/>
  <c r="BE24" i="3"/>
  <c r="DQ24" i="1"/>
  <c r="AV24" i="3" s="1"/>
  <c r="AM33" i="3"/>
  <c r="CR33" i="1"/>
  <c r="AD33" i="3" s="1"/>
  <c r="AM12" i="3"/>
  <c r="CR12" i="1"/>
  <c r="AD12" i="3" s="1"/>
  <c r="AM35" i="3"/>
  <c r="CR35" i="1"/>
  <c r="AD35" i="3" s="1"/>
  <c r="AM10" i="3"/>
  <c r="CR10" i="1"/>
  <c r="AD10" i="3" s="1"/>
  <c r="AM28" i="3"/>
  <c r="CR28" i="1"/>
  <c r="AD28" i="3" s="1"/>
  <c r="EA35" i="1"/>
  <c r="BG35" i="3"/>
  <c r="DS35" i="1"/>
  <c r="AX35" i="3" s="1"/>
  <c r="EA30" i="1"/>
  <c r="DY30" i="1" s="1"/>
  <c r="BG30" i="3"/>
  <c r="DS30" i="1"/>
  <c r="AX30" i="3" s="1"/>
  <c r="EA20" i="1"/>
  <c r="DY20" i="1" s="1"/>
  <c r="BG20" i="3"/>
  <c r="DS20" i="1"/>
  <c r="AX20" i="3" s="1"/>
  <c r="V14" i="11" s="1"/>
  <c r="BB11" i="3"/>
  <c r="DN11" i="1"/>
  <c r="AS11" i="3" s="1"/>
  <c r="BE17" i="3"/>
  <c r="DQ17" i="1"/>
  <c r="AV17" i="3" s="1"/>
  <c r="DB30" i="1"/>
  <c r="AO30" i="3"/>
  <c r="CT30" i="1"/>
  <c r="AF30" i="3" s="1"/>
  <c r="BB20" i="3"/>
  <c r="DN20" i="1"/>
  <c r="AS20" i="3" s="1"/>
  <c r="DB34" i="1"/>
  <c r="AO34" i="3"/>
  <c r="CT34" i="1"/>
  <c r="AF34" i="3" s="1"/>
  <c r="AM24" i="3"/>
  <c r="CR24" i="1"/>
  <c r="AD24" i="3" s="1"/>
  <c r="BE26" i="3"/>
  <c r="DQ26" i="1"/>
  <c r="AV26" i="3" s="1"/>
  <c r="DY28" i="1"/>
  <c r="BB28" i="3"/>
  <c r="DN28" i="1"/>
  <c r="AS28" i="3" s="1"/>
  <c r="BB10" i="3"/>
  <c r="DN10" i="1"/>
  <c r="AS10" i="3" s="1"/>
  <c r="EA22" i="1"/>
  <c r="BG22" i="3"/>
  <c r="DS22" i="1"/>
  <c r="AX22" i="3" s="1"/>
  <c r="DB29" i="1"/>
  <c r="CZ29" i="1" s="1"/>
  <c r="AO29" i="3"/>
  <c r="CT29" i="1"/>
  <c r="AF29" i="3" s="1"/>
  <c r="BD5" i="3"/>
  <c r="DP5" i="1"/>
  <c r="AU5" i="3" s="1"/>
  <c r="AM15" i="3"/>
  <c r="CR15" i="1"/>
  <c r="AD15" i="3" s="1"/>
  <c r="BE33" i="3"/>
  <c r="DQ33" i="1"/>
  <c r="AV33" i="3" s="1"/>
  <c r="DB16" i="1"/>
  <c r="CZ16" i="1" s="1"/>
  <c r="AO16" i="3"/>
  <c r="CT16" i="1"/>
  <c r="AF16" i="3" s="1"/>
  <c r="V12" i="9" s="1"/>
  <c r="AM17" i="3"/>
  <c r="CR17" i="1"/>
  <c r="AD17" i="3" s="1"/>
  <c r="AJ20" i="3"/>
  <c r="CO20" i="1"/>
  <c r="AA20" i="3" s="1"/>
  <c r="AJ25" i="3"/>
  <c r="CO25" i="1"/>
  <c r="AA25" i="3" s="1"/>
  <c r="AM26" i="3"/>
  <c r="CR26" i="1"/>
  <c r="AD26" i="3" s="1"/>
  <c r="BD7" i="3"/>
  <c r="DP7" i="1"/>
  <c r="AU7" i="3" s="1"/>
  <c r="AM11" i="3"/>
  <c r="CR11" i="1"/>
  <c r="AD11" i="3" s="1"/>
  <c r="DA16" i="1"/>
  <c r="EA32" i="1"/>
  <c r="DY32" i="1" s="1"/>
  <c r="BG32" i="3"/>
  <c r="DS32" i="1"/>
  <c r="AX32" i="3" s="1"/>
  <c r="DY31" i="1"/>
  <c r="BB31" i="3"/>
  <c r="DN31" i="1"/>
  <c r="AS31" i="3" s="1"/>
  <c r="EA18" i="1"/>
  <c r="BG18" i="3"/>
  <c r="DS18" i="1"/>
  <c r="AX18" i="3" s="1"/>
  <c r="EA31" i="1"/>
  <c r="BG31" i="3"/>
  <c r="DS31" i="1"/>
  <c r="AX31" i="3" s="1"/>
  <c r="BB29" i="3"/>
  <c r="DN29" i="1"/>
  <c r="AS29" i="3" s="1"/>
  <c r="DB18" i="1"/>
  <c r="AO18" i="3"/>
  <c r="CT18" i="1"/>
  <c r="AF18" i="3" s="1"/>
  <c r="EA28" i="1"/>
  <c r="BG28" i="3"/>
  <c r="DS28" i="1"/>
  <c r="AX28" i="3" s="1"/>
  <c r="EA10" i="1"/>
  <c r="BG10" i="3"/>
  <c r="DS10" i="1"/>
  <c r="AX10" i="3" s="1"/>
  <c r="BB22" i="3"/>
  <c r="DN22" i="1"/>
  <c r="AS22" i="3" s="1"/>
  <c r="AJ29" i="3"/>
  <c r="CO29" i="1"/>
  <c r="AA29" i="3" s="1"/>
  <c r="DZ32" i="1"/>
  <c r="DA34" i="1"/>
  <c r="DB20" i="1"/>
  <c r="CZ20" i="1" s="1"/>
  <c r="AO20" i="3"/>
  <c r="V14" i="10" s="1"/>
  <c r="CT20" i="1"/>
  <c r="AF20" i="3" s="1"/>
  <c r="V14" i="9" s="1"/>
  <c r="AJ9" i="3"/>
  <c r="CO9" i="1"/>
  <c r="AA9" i="3" s="1"/>
  <c r="BE21" i="3"/>
  <c r="DQ21" i="1"/>
  <c r="AV21" i="3" s="1"/>
  <c r="BE13" i="3"/>
  <c r="DQ13" i="1"/>
  <c r="AV13" i="3" s="1"/>
  <c r="EA34" i="1"/>
  <c r="DY34" i="1" s="1"/>
  <c r="BG34" i="3"/>
  <c r="DS34" i="1"/>
  <c r="AX34" i="3" s="1"/>
  <c r="DB9" i="1"/>
  <c r="AO9" i="3"/>
  <c r="V9" i="10" s="1"/>
  <c r="CT9" i="1"/>
  <c r="AF9" i="3" s="1"/>
  <c r="AM31" i="3"/>
  <c r="CR31" i="1"/>
  <c r="AD31" i="3" s="1"/>
  <c r="DB31" i="1"/>
  <c r="AO31" i="3"/>
  <c r="CT31" i="1"/>
  <c r="AF31" i="3" s="1"/>
  <c r="DB19" i="1"/>
  <c r="CZ19" i="1" s="1"/>
  <c r="AO19" i="3"/>
  <c r="CT19" i="1"/>
  <c r="AF19" i="3" s="1"/>
  <c r="AJ18" i="3"/>
  <c r="CZ18" i="1"/>
  <c r="CO18" i="1"/>
  <c r="AA18" i="3" s="1"/>
  <c r="DB26" i="1"/>
  <c r="CZ26" i="1" s="1"/>
  <c r="AO26" i="3"/>
  <c r="CT26" i="1"/>
  <c r="AF26" i="3" s="1"/>
  <c r="AJ31" i="3"/>
  <c r="CO31" i="1"/>
  <c r="AA31" i="3" s="1"/>
  <c r="DB32" i="1"/>
  <c r="AO32" i="3"/>
  <c r="CT32" i="1"/>
  <c r="AF32" i="3" s="1"/>
  <c r="AJ19" i="3"/>
  <c r="CO19" i="1"/>
  <c r="AA19" i="3" s="1"/>
  <c r="DB21" i="1"/>
  <c r="AO21" i="3"/>
  <c r="CT21" i="1"/>
  <c r="AF21" i="3" s="1"/>
  <c r="EA25" i="1"/>
  <c r="BG25" i="3"/>
  <c r="DS25" i="1"/>
  <c r="AX25" i="3" s="1"/>
  <c r="AJ24" i="3"/>
  <c r="CO24" i="1"/>
  <c r="AA24" i="3" s="1"/>
  <c r="AJ23" i="3"/>
  <c r="CO23" i="1"/>
  <c r="AA23" i="3" s="1"/>
  <c r="BB15" i="3"/>
  <c r="DN15" i="1"/>
  <c r="AS15" i="3" s="1"/>
  <c r="DB11" i="1"/>
  <c r="AO11" i="3"/>
  <c r="CT11" i="1"/>
  <c r="AF11" i="3" s="1"/>
  <c r="DB27" i="1"/>
  <c r="AO27" i="3"/>
  <c r="CT27" i="1"/>
  <c r="AF27" i="3" s="1"/>
  <c r="EA27" i="1"/>
  <c r="BG27" i="3"/>
  <c r="DS27" i="1"/>
  <c r="AX27" i="3" s="1"/>
  <c r="AJ13" i="3"/>
  <c r="CO13" i="1"/>
  <c r="AA13" i="3" s="1"/>
  <c r="BB23" i="3"/>
  <c r="DN23" i="1"/>
  <c r="AS23" i="3" s="1"/>
  <c r="EA8" i="1"/>
  <c r="DY8" i="1" s="1"/>
  <c r="BG8" i="3"/>
  <c r="DS8" i="1"/>
  <c r="AX8" i="3" s="1"/>
  <c r="DA19" i="1"/>
  <c r="DZ30" i="1"/>
  <c r="DZ20" i="1"/>
  <c r="BB34" i="3"/>
  <c r="DN34" i="1"/>
  <c r="AS34" i="3" s="1"/>
  <c r="EA19" i="1"/>
  <c r="DY19" i="1" s="1"/>
  <c r="BG19" i="3"/>
  <c r="DS19" i="1"/>
  <c r="AX19" i="3" s="1"/>
  <c r="AJ30" i="3"/>
  <c r="CO30" i="1"/>
  <c r="AA30" i="3" s="1"/>
  <c r="CZ30" i="1"/>
  <c r="AJ34" i="3"/>
  <c r="CO34" i="1"/>
  <c r="AA34" i="3" s="1"/>
  <c r="BB19" i="3"/>
  <c r="DN19" i="1"/>
  <c r="AS19" i="3" s="1"/>
  <c r="DY35" i="1"/>
  <c r="BB35" i="3"/>
  <c r="DN35" i="1"/>
  <c r="AS35" i="3" s="1"/>
  <c r="BB30" i="3"/>
  <c r="DN30" i="1"/>
  <c r="AS30" i="3" s="1"/>
  <c r="EA11" i="1"/>
  <c r="BG11" i="3"/>
  <c r="DS11" i="1"/>
  <c r="AX11" i="3" s="1"/>
  <c r="BE9" i="3"/>
  <c r="DQ9" i="1"/>
  <c r="AV9" i="3" s="1"/>
  <c r="AJ26" i="3"/>
  <c r="CO26" i="1"/>
  <c r="AA26" i="3" s="1"/>
  <c r="AJ32" i="3"/>
  <c r="CO32" i="1"/>
  <c r="AA32" i="3" s="1"/>
  <c r="CZ32" i="1"/>
  <c r="EA29" i="1"/>
  <c r="DY29" i="1" s="1"/>
  <c r="BG29" i="3"/>
  <c r="DS29" i="1"/>
  <c r="AX29" i="3" s="1"/>
  <c r="BB32" i="3"/>
  <c r="DN32" i="1"/>
  <c r="AS32" i="3" s="1"/>
  <c r="AJ22" i="3"/>
  <c r="CO22" i="1"/>
  <c r="AA22" i="3" s="1"/>
  <c r="CZ22" i="1"/>
  <c r="BB16" i="3"/>
  <c r="DN16" i="1"/>
  <c r="AS16" i="3" s="1"/>
  <c r="EA14" i="1"/>
  <c r="BG14" i="3"/>
  <c r="V13" i="12" s="1"/>
  <c r="DS14" i="1"/>
  <c r="AX14" i="3" s="1"/>
  <c r="DB22" i="1"/>
  <c r="AO22" i="3"/>
  <c r="CT22" i="1"/>
  <c r="AF22" i="3" s="1"/>
  <c r="EA16" i="1"/>
  <c r="BG16" i="3"/>
  <c r="V12" i="12" s="1"/>
  <c r="DS16" i="1"/>
  <c r="AX16" i="3" s="1"/>
  <c r="BB14" i="3"/>
  <c r="DN14" i="1"/>
  <c r="AS14" i="3" s="1"/>
  <c r="AJ21" i="3"/>
  <c r="CO21" i="1"/>
  <c r="AA21" i="3" s="1"/>
  <c r="BB25" i="3"/>
  <c r="DN25" i="1"/>
  <c r="AS25" i="3" s="1"/>
  <c r="DB24" i="1"/>
  <c r="CZ24" i="1" s="1"/>
  <c r="AO24" i="3"/>
  <c r="CT24" i="1"/>
  <c r="AF24" i="3" s="1"/>
  <c r="DB23" i="1"/>
  <c r="CZ23" i="1" s="1"/>
  <c r="AO23" i="3"/>
  <c r="CT23" i="1"/>
  <c r="AF23" i="3" s="1"/>
  <c r="EA15" i="1"/>
  <c r="BG15" i="3"/>
  <c r="DS15" i="1"/>
  <c r="AX15" i="3" s="1"/>
  <c r="AJ11" i="3"/>
  <c r="CO11" i="1"/>
  <c r="AA11" i="3" s="1"/>
  <c r="AJ27" i="3"/>
  <c r="CO27" i="1"/>
  <c r="AA27" i="3" s="1"/>
  <c r="CZ27" i="1"/>
  <c r="BB27" i="3"/>
  <c r="DN27" i="1"/>
  <c r="AS27" i="3" s="1"/>
  <c r="DB13" i="1"/>
  <c r="AO13" i="3"/>
  <c r="CT13" i="1"/>
  <c r="AF13" i="3" s="1"/>
  <c r="EA23" i="1"/>
  <c r="DY23" i="1" s="1"/>
  <c r="BG23" i="3"/>
  <c r="DS23" i="1"/>
  <c r="AX23" i="3" s="1"/>
  <c r="BB8" i="3"/>
  <c r="DN8" i="1"/>
  <c r="AS8" i="3" s="1"/>
  <c r="DZ18" i="1"/>
  <c r="DZ8" i="1"/>
  <c r="DZ14" i="1"/>
  <c r="DA30" i="1"/>
  <c r="DZ22" i="1"/>
  <c r="DZ23" i="1"/>
  <c r="AL5" i="3"/>
  <c r="CQ5" i="1"/>
  <c r="AC5" i="3" s="1"/>
  <c r="DB25" i="1"/>
  <c r="AO25" i="3"/>
  <c r="CT25" i="1"/>
  <c r="AF25" i="3" s="1"/>
  <c r="EA24" i="1"/>
  <c r="BG24" i="3"/>
  <c r="DS24" i="1"/>
  <c r="AX24" i="3" s="1"/>
  <c r="AM22" i="3"/>
  <c r="CR22" i="1"/>
  <c r="AD22" i="3" s="1"/>
  <c r="AM13" i="3"/>
  <c r="CR13" i="1"/>
  <c r="AD13" i="3" s="1"/>
  <c r="BB24" i="3"/>
  <c r="DN24" i="1"/>
  <c r="AS24" i="3" s="1"/>
  <c r="AJ16" i="3"/>
  <c r="CO16" i="1"/>
  <c r="AA16" i="3" s="1"/>
  <c r="BE25" i="3"/>
  <c r="DQ25" i="1"/>
  <c r="AV25" i="3" s="1"/>
  <c r="DY18" i="1"/>
  <c r="BB18" i="3"/>
  <c r="DN18" i="1"/>
  <c r="AS18" i="3" s="1"/>
  <c r="EA21" i="1"/>
  <c r="BG21" i="3"/>
  <c r="DS21" i="1"/>
  <c r="AX21" i="3" s="1"/>
  <c r="DB14" i="1"/>
  <c r="AO14" i="3"/>
  <c r="V13" i="10" s="1"/>
  <c r="CT14" i="1"/>
  <c r="AF14" i="3" s="1"/>
  <c r="V13" i="9" s="1"/>
  <c r="AJ8" i="3"/>
  <c r="CO8" i="1"/>
  <c r="AA8" i="3" s="1"/>
  <c r="AJ17" i="3"/>
  <c r="CO17" i="1"/>
  <c r="AA17" i="3" s="1"/>
  <c r="EA12" i="1"/>
  <c r="BG12" i="3"/>
  <c r="DS12" i="1"/>
  <c r="AX12" i="3" s="1"/>
  <c r="AJ33" i="3"/>
  <c r="CO33" i="1"/>
  <c r="AA33" i="3" s="1"/>
  <c r="EA9" i="1"/>
  <c r="BG9" i="3"/>
  <c r="V9" i="12" s="1"/>
  <c r="DS9" i="1"/>
  <c r="AX9" i="3" s="1"/>
  <c r="V9" i="11" s="1"/>
  <c r="AJ12" i="3"/>
  <c r="CO12" i="1"/>
  <c r="AA12" i="3" s="1"/>
  <c r="BB26" i="3"/>
  <c r="DN26" i="1"/>
  <c r="AS26" i="3" s="1"/>
  <c r="AJ35" i="3"/>
  <c r="CO35" i="1"/>
  <c r="AA35" i="3" s="1"/>
  <c r="EA13" i="1"/>
  <c r="DY13" i="1" s="1"/>
  <c r="BG13" i="3"/>
  <c r="DS13" i="1"/>
  <c r="AX13" i="3" s="1"/>
  <c r="AJ10" i="3"/>
  <c r="CZ10" i="1"/>
  <c r="CO10" i="1"/>
  <c r="AA10" i="3" s="1"/>
  <c r="DB15" i="1"/>
  <c r="AO15" i="3"/>
  <c r="CT15" i="1"/>
  <c r="AF15" i="3" s="1"/>
  <c r="BB33" i="3"/>
  <c r="DN33" i="1"/>
  <c r="AS33" i="3" s="1"/>
  <c r="AJ28" i="3"/>
  <c r="CO28" i="1"/>
  <c r="AA28" i="3" s="1"/>
  <c r="CZ28" i="1"/>
  <c r="BB17" i="3"/>
  <c r="DN17" i="1"/>
  <c r="AS17" i="3" s="1"/>
  <c r="DA20" i="1"/>
  <c r="DZ16" i="1"/>
  <c r="AL7" i="3"/>
  <c r="CQ7" i="1"/>
  <c r="AC7" i="3" s="1"/>
  <c r="DZ15" i="1"/>
  <c r="DA18" i="1"/>
  <c r="DZ10" i="1"/>
  <c r="DZ11" i="1"/>
  <c r="DZ28" i="1"/>
  <c r="AM8" i="3"/>
  <c r="CR8" i="1"/>
  <c r="AD8" i="3" s="1"/>
  <c r="BB21" i="3"/>
  <c r="DN21" i="1"/>
  <c r="AS21" i="3" s="1"/>
  <c r="AJ14" i="3"/>
  <c r="CO14" i="1"/>
  <c r="AA14" i="3" s="1"/>
  <c r="DB8" i="1"/>
  <c r="AO8" i="3"/>
  <c r="CT8" i="1"/>
  <c r="AF8" i="3" s="1"/>
  <c r="DB17" i="1"/>
  <c r="CZ17" i="1" s="1"/>
  <c r="AO17" i="3"/>
  <c r="CT17" i="1"/>
  <c r="AF17" i="3" s="1"/>
  <c r="BB12" i="3"/>
  <c r="DN12" i="1"/>
  <c r="AS12" i="3" s="1"/>
  <c r="DB33" i="1"/>
  <c r="CZ33" i="1" s="1"/>
  <c r="AO33" i="3"/>
  <c r="CT33" i="1"/>
  <c r="AF33" i="3" s="1"/>
  <c r="BB9" i="3"/>
  <c r="DN9" i="1"/>
  <c r="AS9" i="3" s="1"/>
  <c r="DB12" i="1"/>
  <c r="CZ12" i="1" s="1"/>
  <c r="AO12" i="3"/>
  <c r="CT12" i="1"/>
  <c r="AF12" i="3" s="1"/>
  <c r="EA26" i="1"/>
  <c r="BG26" i="3"/>
  <c r="DS26" i="1"/>
  <c r="AX26" i="3" s="1"/>
  <c r="DB35" i="1"/>
  <c r="AO35" i="3"/>
  <c r="CT35" i="1"/>
  <c r="AF35" i="3" s="1"/>
  <c r="BB13" i="3"/>
  <c r="DN13" i="1"/>
  <c r="AS13" i="3" s="1"/>
  <c r="DB10" i="1"/>
  <c r="AO10" i="3"/>
  <c r="CT10" i="1"/>
  <c r="AF10" i="3" s="1"/>
  <c r="AJ15" i="3"/>
  <c r="CO15" i="1"/>
  <c r="AA15" i="3" s="1"/>
  <c r="EA33" i="1"/>
  <c r="DY33" i="1" s="1"/>
  <c r="BG33" i="3"/>
  <c r="DS33" i="1"/>
  <c r="AX33" i="3" s="1"/>
  <c r="DB28" i="1"/>
  <c r="AO28" i="3"/>
  <c r="CT28" i="1"/>
  <c r="AF28" i="3" s="1"/>
  <c r="EA17" i="1"/>
  <c r="BG17" i="3"/>
  <c r="DS17" i="1"/>
  <c r="AX17" i="3" s="1"/>
  <c r="DA29" i="1"/>
  <c r="DZ19" i="1"/>
  <c r="DA23" i="1"/>
  <c r="DZ35" i="1"/>
  <c r="DZ31" i="1"/>
  <c r="DZ27" i="1"/>
  <c r="DA27" i="1"/>
  <c r="DY27" i="1"/>
  <c r="DY9" i="1"/>
  <c r="DY22" i="1"/>
  <c r="DY25" i="1"/>
  <c r="DY21" i="1"/>
  <c r="T11" i="9" l="1"/>
  <c r="R10" i="9"/>
  <c r="E10" i="9"/>
  <c r="Q10" i="9" s="1"/>
  <c r="R10" i="12"/>
  <c r="E10" i="12"/>
  <c r="Q10" i="12" s="1"/>
  <c r="R8" i="9"/>
  <c r="E8" i="9"/>
  <c r="Q8" i="9" s="1"/>
  <c r="G11" i="11"/>
  <c r="S11" i="11" s="1"/>
  <c r="I9" i="11"/>
  <c r="U9" i="11" s="1"/>
  <c r="T9" i="11"/>
  <c r="V16" i="11"/>
  <c r="V15" i="11"/>
  <c r="V11" i="11"/>
  <c r="G13" i="9"/>
  <c r="S13" i="9" s="1"/>
  <c r="G8" i="12"/>
  <c r="S8" i="12" s="1"/>
  <c r="R8" i="12"/>
  <c r="E8" i="12"/>
  <c r="Q8" i="12" s="1"/>
  <c r="R10" i="10"/>
  <c r="E10" i="10"/>
  <c r="Q10" i="10" s="1"/>
  <c r="E15" i="9"/>
  <c r="Q15" i="9" s="1"/>
  <c r="R15" i="9"/>
  <c r="R14" i="11"/>
  <c r="E14" i="11"/>
  <c r="Q14" i="11" s="1"/>
  <c r="R15" i="12"/>
  <c r="E15" i="12"/>
  <c r="Q15" i="12" s="1"/>
  <c r="R10" i="11"/>
  <c r="E10" i="11"/>
  <c r="Q10" i="11" s="1"/>
  <c r="T10" i="9"/>
  <c r="V16" i="10"/>
  <c r="V15" i="10"/>
  <c r="V11" i="10"/>
  <c r="V8" i="10"/>
  <c r="V10" i="10"/>
  <c r="R16" i="9"/>
  <c r="E16" i="9"/>
  <c r="Q16" i="9" s="1"/>
  <c r="T9" i="12"/>
  <c r="I9" i="12"/>
  <c r="U9" i="12" s="1"/>
  <c r="V11" i="12"/>
  <c r="T8" i="11"/>
  <c r="E8" i="10"/>
  <c r="Q8" i="10" s="1"/>
  <c r="G8" i="10"/>
  <c r="S8" i="10" s="1"/>
  <c r="R8" i="10"/>
  <c r="V10" i="11"/>
  <c r="V14" i="12"/>
  <c r="V8" i="12"/>
  <c r="V10" i="12"/>
  <c r="I9" i="9"/>
  <c r="U9" i="9" s="1"/>
  <c r="V9" i="9"/>
  <c r="R13" i="10"/>
  <c r="G13" i="10"/>
  <c r="S13" i="10" s="1"/>
  <c r="E13" i="10"/>
  <c r="Q13" i="10" s="1"/>
  <c r="R15" i="11"/>
  <c r="E15" i="11"/>
  <c r="Q15" i="11" s="1"/>
  <c r="E13" i="9"/>
  <c r="Q13" i="9" s="1"/>
  <c r="R13" i="9"/>
  <c r="G9" i="11"/>
  <c r="S9" i="11" s="1"/>
  <c r="V12" i="10"/>
  <c r="E15" i="10"/>
  <c r="Q15" i="10" s="1"/>
  <c r="R15" i="10"/>
  <c r="V12" i="11"/>
  <c r="R16" i="12"/>
  <c r="E16" i="12"/>
  <c r="Q16" i="12" s="1"/>
  <c r="I13" i="10"/>
  <c r="U13" i="10" s="1"/>
  <c r="T13" i="10"/>
  <c r="R11" i="11"/>
  <c r="E11" i="11"/>
  <c r="Q11" i="11" s="1"/>
  <c r="R14" i="12"/>
  <c r="E14" i="12"/>
  <c r="Q14" i="12" s="1"/>
  <c r="G9" i="9"/>
  <c r="S9" i="9" s="1"/>
  <c r="T9" i="9"/>
  <c r="E16" i="10"/>
  <c r="Q16" i="10" s="1"/>
  <c r="R16" i="10"/>
  <c r="R11" i="12"/>
  <c r="E11" i="12"/>
  <c r="Q11" i="12" s="1"/>
  <c r="G16" i="10"/>
  <c r="S16" i="10" s="1"/>
  <c r="G11" i="10"/>
  <c r="S11" i="10" s="1"/>
  <c r="E8" i="11"/>
  <c r="Q8" i="11" s="1"/>
  <c r="R8" i="11"/>
  <c r="G11" i="12"/>
  <c r="S11" i="12" s="1"/>
  <c r="G11" i="9"/>
  <c r="S11" i="9" s="1"/>
  <c r="R11" i="9"/>
  <c r="E11" i="9"/>
  <c r="Q11" i="9" s="1"/>
  <c r="E16" i="11"/>
  <c r="Q16" i="11" s="1"/>
  <c r="R16" i="11"/>
  <c r="V13" i="11"/>
  <c r="G9" i="10"/>
  <c r="S9" i="10" s="1"/>
  <c r="I9" i="10"/>
  <c r="U9" i="10" s="1"/>
  <c r="T9" i="10"/>
  <c r="R11" i="10"/>
  <c r="E11" i="10"/>
  <c r="Q11" i="10" s="1"/>
  <c r="G9" i="12"/>
  <c r="S9" i="12" s="1"/>
  <c r="BD33" i="3"/>
  <c r="DP33" i="1"/>
  <c r="AU33" i="3" s="1"/>
  <c r="BD30" i="3"/>
  <c r="DP30" i="1"/>
  <c r="AU30" i="3" s="1"/>
  <c r="AL17" i="3"/>
  <c r="CQ17" i="1"/>
  <c r="AC17" i="3" s="1"/>
  <c r="BD19" i="3"/>
  <c r="DP19" i="1"/>
  <c r="AU19" i="3" s="1"/>
  <c r="BD8" i="3"/>
  <c r="DP8" i="1"/>
  <c r="AU8" i="3" s="1"/>
  <c r="BD20" i="3"/>
  <c r="DP20" i="1"/>
  <c r="AU20" i="3" s="1"/>
  <c r="AL12" i="3"/>
  <c r="CQ12" i="1"/>
  <c r="AC12" i="3" s="1"/>
  <c r="AL29" i="3"/>
  <c r="CQ29" i="1"/>
  <c r="AC29" i="3" s="1"/>
  <c r="AL33" i="3"/>
  <c r="CQ33" i="1"/>
  <c r="AC33" i="3" s="1"/>
  <c r="BD23" i="3"/>
  <c r="DP23" i="1"/>
  <c r="AU23" i="3" s="1"/>
  <c r="AL23" i="3"/>
  <c r="CQ23" i="1"/>
  <c r="AC23" i="3" s="1"/>
  <c r="AL19" i="3"/>
  <c r="CQ19" i="1"/>
  <c r="AC19" i="3" s="1"/>
  <c r="AN34" i="3"/>
  <c r="CS34" i="1"/>
  <c r="AE34" i="3" s="1"/>
  <c r="AN14" i="3"/>
  <c r="CS14" i="1"/>
  <c r="AE14" i="3" s="1"/>
  <c r="AN25" i="3"/>
  <c r="CS25" i="1"/>
  <c r="AE25" i="3" s="1"/>
  <c r="BE18" i="3"/>
  <c r="DQ18" i="1"/>
  <c r="AV18" i="3" s="1"/>
  <c r="AN13" i="3"/>
  <c r="CS13" i="1"/>
  <c r="AE13" i="3" s="1"/>
  <c r="AL26" i="3"/>
  <c r="CQ26" i="1"/>
  <c r="AC26" i="3" s="1"/>
  <c r="AN11" i="3"/>
  <c r="CS11" i="1"/>
  <c r="AE11" i="3" s="1"/>
  <c r="BE32" i="3"/>
  <c r="DQ32" i="1"/>
  <c r="AV32" i="3" s="1"/>
  <c r="BF10" i="3"/>
  <c r="DR10" i="1"/>
  <c r="AW10" i="3" s="1"/>
  <c r="BD28" i="3"/>
  <c r="DP28" i="1"/>
  <c r="AU28" i="3" s="1"/>
  <c r="BD13" i="3"/>
  <c r="DP13" i="1"/>
  <c r="AU13" i="3" s="1"/>
  <c r="AN15" i="3"/>
  <c r="CS15" i="1"/>
  <c r="AE15" i="3" s="1"/>
  <c r="BE31" i="3"/>
  <c r="DQ31" i="1"/>
  <c r="AV31" i="3" s="1"/>
  <c r="AN35" i="3"/>
  <c r="CS35" i="1"/>
  <c r="AE35" i="3" s="1"/>
  <c r="BD21" i="3"/>
  <c r="DP21" i="1"/>
  <c r="AU21" i="3" s="1"/>
  <c r="AL10" i="3"/>
  <c r="CQ10" i="1"/>
  <c r="AC10" i="3" s="1"/>
  <c r="BF14" i="3"/>
  <c r="DR14" i="1"/>
  <c r="AW14" i="3" s="1"/>
  <c r="CZ34" i="1"/>
  <c r="AN9" i="3"/>
  <c r="CS9" i="1"/>
  <c r="AE9" i="3" s="1"/>
  <c r="BD25" i="3"/>
  <c r="DP25" i="1"/>
  <c r="AU25" i="3" s="1"/>
  <c r="AM23" i="3"/>
  <c r="CR23" i="1"/>
  <c r="AD23" i="3" s="1"/>
  <c r="AN28" i="3"/>
  <c r="CS28" i="1"/>
  <c r="AE28" i="3" s="1"/>
  <c r="BE16" i="3"/>
  <c r="DQ16" i="1"/>
  <c r="AV16" i="3" s="1"/>
  <c r="I12" i="11" s="1"/>
  <c r="U12" i="11" s="1"/>
  <c r="BF27" i="3"/>
  <c r="DR27" i="1"/>
  <c r="AW27" i="3" s="1"/>
  <c r="CZ9" i="1"/>
  <c r="BF22" i="3"/>
  <c r="DR22" i="1"/>
  <c r="AW22" i="3" s="1"/>
  <c r="BF35" i="3"/>
  <c r="DR35" i="1"/>
  <c r="AW35" i="3" s="1"/>
  <c r="BF17" i="3"/>
  <c r="DR17" i="1"/>
  <c r="AW17" i="3" s="1"/>
  <c r="BE15" i="3"/>
  <c r="DQ15" i="1"/>
  <c r="AV15" i="3" s="1"/>
  <c r="BF12" i="3"/>
  <c r="DR12" i="1"/>
  <c r="AW12" i="3" s="1"/>
  <c r="BE35" i="3"/>
  <c r="DQ35" i="1"/>
  <c r="AV35" i="3" s="1"/>
  <c r="BF9" i="3"/>
  <c r="DR9" i="1"/>
  <c r="AW9" i="3" s="1"/>
  <c r="AN24" i="3"/>
  <c r="CS24" i="1"/>
  <c r="AE24" i="3" s="1"/>
  <c r="BF19" i="3"/>
  <c r="DR19" i="1"/>
  <c r="AW19" i="3" s="1"/>
  <c r="BD22" i="3"/>
  <c r="DP22" i="1"/>
  <c r="AU22" i="3" s="1"/>
  <c r="BD27" i="3"/>
  <c r="DP27" i="1"/>
  <c r="AU27" i="3" s="1"/>
  <c r="BE19" i="3"/>
  <c r="DQ19" i="1"/>
  <c r="AV19" i="3" s="1"/>
  <c r="AN10" i="3"/>
  <c r="CS10" i="1"/>
  <c r="AE10" i="3" s="1"/>
  <c r="BF26" i="3"/>
  <c r="DR26" i="1"/>
  <c r="AW26" i="3" s="1"/>
  <c r="AN33" i="3"/>
  <c r="CS33" i="1"/>
  <c r="AE33" i="3" s="1"/>
  <c r="AN8" i="3"/>
  <c r="CS8" i="1"/>
  <c r="AE8" i="3" s="1"/>
  <c r="BE28" i="3"/>
  <c r="DQ28" i="1"/>
  <c r="AV28" i="3" s="1"/>
  <c r="AM20" i="3"/>
  <c r="CR20" i="1"/>
  <c r="AD20" i="3" s="1"/>
  <c r="DY26" i="1"/>
  <c r="BF21" i="3"/>
  <c r="DR21" i="1"/>
  <c r="AW21" i="3" s="1"/>
  <c r="BE23" i="3"/>
  <c r="DQ23" i="1"/>
  <c r="AV23" i="3" s="1"/>
  <c r="AL27" i="3"/>
  <c r="CQ27" i="1"/>
  <c r="AC27" i="3" s="1"/>
  <c r="BF15" i="3"/>
  <c r="DR15" i="1"/>
  <c r="AW15" i="3" s="1"/>
  <c r="BF16" i="3"/>
  <c r="DR16" i="1"/>
  <c r="AW16" i="3" s="1"/>
  <c r="DY15" i="1"/>
  <c r="AN26" i="3"/>
  <c r="CS26" i="1"/>
  <c r="AE26" i="3" s="1"/>
  <c r="BF28" i="3"/>
  <c r="DR28" i="1"/>
  <c r="AW28" i="3" s="1"/>
  <c r="BF31" i="3"/>
  <c r="DR31" i="1"/>
  <c r="AW31" i="3" s="1"/>
  <c r="BE27" i="3"/>
  <c r="DQ27" i="1"/>
  <c r="AV27" i="3" s="1"/>
  <c r="AN21" i="3"/>
  <c r="CS21" i="1"/>
  <c r="AE21" i="3" s="1"/>
  <c r="AL20" i="3"/>
  <c r="CQ20" i="1"/>
  <c r="AC20" i="3" s="1"/>
  <c r="BF8" i="3"/>
  <c r="DR8" i="1"/>
  <c r="AW8" i="3" s="1"/>
  <c r="BD29" i="3"/>
  <c r="DP29" i="1"/>
  <c r="AU29" i="3" s="1"/>
  <c r="DY14" i="1"/>
  <c r="AM29" i="3"/>
  <c r="CR29" i="1"/>
  <c r="AD29" i="3" s="1"/>
  <c r="CZ14" i="1"/>
  <c r="BE11" i="3"/>
  <c r="DQ11" i="1"/>
  <c r="AV11" i="3" s="1"/>
  <c r="CZ8" i="1"/>
  <c r="BE22" i="3"/>
  <c r="DQ22" i="1"/>
  <c r="AV22" i="3" s="1"/>
  <c r="CZ21" i="1"/>
  <c r="DY16" i="1"/>
  <c r="BF29" i="3"/>
  <c r="DR29" i="1"/>
  <c r="AW29" i="3" s="1"/>
  <c r="AL30" i="3"/>
  <c r="CQ30" i="1"/>
  <c r="AC30" i="3" s="1"/>
  <c r="BE20" i="3"/>
  <c r="DQ20" i="1"/>
  <c r="AV20" i="3" s="1"/>
  <c r="G14" i="11" s="1"/>
  <c r="S14" i="11" s="1"/>
  <c r="BF25" i="3"/>
  <c r="DR25" i="1"/>
  <c r="AW25" i="3" s="1"/>
  <c r="AN31" i="3"/>
  <c r="CS31" i="1"/>
  <c r="AE31" i="3" s="1"/>
  <c r="BF34" i="3"/>
  <c r="DR34" i="1"/>
  <c r="AW34" i="3" s="1"/>
  <c r="BF32" i="3"/>
  <c r="DR32" i="1"/>
  <c r="AW32" i="3" s="1"/>
  <c r="CZ25" i="1"/>
  <c r="BF20" i="3"/>
  <c r="DR20" i="1"/>
  <c r="AW20" i="3" s="1"/>
  <c r="AL28" i="3"/>
  <c r="CQ28" i="1"/>
  <c r="AC28" i="3" s="1"/>
  <c r="BF11" i="3"/>
  <c r="DR11" i="1"/>
  <c r="AW11" i="3" s="1"/>
  <c r="BF30" i="3"/>
  <c r="DR30" i="1"/>
  <c r="AW30" i="3" s="1"/>
  <c r="BD9" i="3"/>
  <c r="DP9" i="1"/>
  <c r="AU9" i="3" s="1"/>
  <c r="AN17" i="3"/>
  <c r="CS17" i="1"/>
  <c r="AE17" i="3" s="1"/>
  <c r="DY12" i="1"/>
  <c r="AL16" i="3"/>
  <c r="CQ16" i="1"/>
  <c r="AC16" i="3" s="1"/>
  <c r="AN19" i="3"/>
  <c r="CS19" i="1"/>
  <c r="AE19" i="3" s="1"/>
  <c r="BD31" i="3"/>
  <c r="DP31" i="1"/>
  <c r="AU31" i="3" s="1"/>
  <c r="DY11" i="1"/>
  <c r="BD32" i="3"/>
  <c r="DP32" i="1"/>
  <c r="AU32" i="3" s="1"/>
  <c r="BF33" i="3"/>
  <c r="DR33" i="1"/>
  <c r="AW33" i="3" s="1"/>
  <c r="BE10" i="3"/>
  <c r="DQ10" i="1"/>
  <c r="AV10" i="3" s="1"/>
  <c r="BF13" i="3"/>
  <c r="DR13" i="1"/>
  <c r="AW13" i="3" s="1"/>
  <c r="BF24" i="3"/>
  <c r="DR24" i="1"/>
  <c r="AW24" i="3" s="1"/>
  <c r="AM30" i="3"/>
  <c r="CR30" i="1"/>
  <c r="AD30" i="3" s="1"/>
  <c r="BF23" i="3"/>
  <c r="DR23" i="1"/>
  <c r="AW23" i="3" s="1"/>
  <c r="AL22" i="3"/>
  <c r="CQ22" i="1"/>
  <c r="AC22" i="3" s="1"/>
  <c r="AL32" i="3"/>
  <c r="CQ32" i="1"/>
  <c r="AC32" i="3" s="1"/>
  <c r="BD35" i="3"/>
  <c r="DP35" i="1"/>
  <c r="AU35" i="3" s="1"/>
  <c r="BE30" i="3"/>
  <c r="DQ30" i="1"/>
  <c r="AV30" i="3" s="1"/>
  <c r="AN27" i="3"/>
  <c r="CS27" i="1"/>
  <c r="AE27" i="3" s="1"/>
  <c r="AN32" i="3"/>
  <c r="CS32" i="1"/>
  <c r="AE32" i="3" s="1"/>
  <c r="AL18" i="3"/>
  <c r="CQ18" i="1"/>
  <c r="AC18" i="3" s="1"/>
  <c r="AM16" i="3"/>
  <c r="CR16" i="1"/>
  <c r="AD16" i="3" s="1"/>
  <c r="DY10" i="1"/>
  <c r="AN30" i="3"/>
  <c r="CS30" i="1"/>
  <c r="AE30" i="3" s="1"/>
  <c r="BE8" i="3"/>
  <c r="DQ8" i="1"/>
  <c r="AV8" i="3" s="1"/>
  <c r="AL24" i="3"/>
  <c r="CQ24" i="1"/>
  <c r="AC24" i="3" s="1"/>
  <c r="AM34" i="3"/>
  <c r="CR34" i="1"/>
  <c r="AD34" i="3" s="1"/>
  <c r="AN29" i="3"/>
  <c r="CS29" i="1"/>
  <c r="AE29" i="3" s="1"/>
  <c r="BD34" i="3"/>
  <c r="DP34" i="1"/>
  <c r="AU34" i="3" s="1"/>
  <c r="AM27" i="3"/>
  <c r="CR27" i="1"/>
  <c r="AD27" i="3" s="1"/>
  <c r="CZ15" i="1"/>
  <c r="AN12" i="3"/>
  <c r="CS12" i="1"/>
  <c r="AE12" i="3" s="1"/>
  <c r="AM18" i="3"/>
  <c r="CR18" i="1"/>
  <c r="AD18" i="3" s="1"/>
  <c r="DY17" i="1"/>
  <c r="CZ35" i="1"/>
  <c r="BD18" i="3"/>
  <c r="DP18" i="1"/>
  <c r="AU18" i="3" s="1"/>
  <c r="DY24" i="1"/>
  <c r="BE14" i="3"/>
  <c r="DQ14" i="1"/>
  <c r="AV14" i="3" s="1"/>
  <c r="CZ11" i="1"/>
  <c r="AN23" i="3"/>
  <c r="CS23" i="1"/>
  <c r="AE23" i="3" s="1"/>
  <c r="AN22" i="3"/>
  <c r="CS22" i="1"/>
  <c r="AE22" i="3" s="1"/>
  <c r="AM19" i="3"/>
  <c r="CR19" i="1"/>
  <c r="AD19" i="3" s="1"/>
  <c r="CZ13" i="1"/>
  <c r="CZ31" i="1"/>
  <c r="AN20" i="3"/>
  <c r="CS20" i="1"/>
  <c r="AE20" i="3" s="1"/>
  <c r="AN18" i="3"/>
  <c r="CS18" i="1"/>
  <c r="AE18" i="3" s="1"/>
  <c r="BF18" i="3"/>
  <c r="DR18" i="1"/>
  <c r="AW18" i="3" s="1"/>
  <c r="AN16" i="3"/>
  <c r="CS16" i="1"/>
  <c r="AE16" i="3" s="1"/>
  <c r="G8" i="11" l="1"/>
  <c r="S8" i="11" s="1"/>
  <c r="T16" i="11"/>
  <c r="I16" i="11"/>
  <c r="U16" i="11" s="1"/>
  <c r="G16" i="11"/>
  <c r="S16" i="11" s="1"/>
  <c r="T16" i="12"/>
  <c r="G16" i="12"/>
  <c r="S16" i="12" s="1"/>
  <c r="T15" i="10"/>
  <c r="I15" i="10"/>
  <c r="U15" i="10" s="1"/>
  <c r="G15" i="10"/>
  <c r="S15" i="10" s="1"/>
  <c r="T15" i="11"/>
  <c r="I15" i="11"/>
  <c r="U15" i="11" s="1"/>
  <c r="G15" i="11"/>
  <c r="S15" i="11" s="1"/>
  <c r="T15" i="12"/>
  <c r="G15" i="12"/>
  <c r="S15" i="12" s="1"/>
  <c r="I10" i="12"/>
  <c r="U10" i="12" s="1"/>
  <c r="T10" i="12"/>
  <c r="G15" i="9"/>
  <c r="S15" i="9" s="1"/>
  <c r="T15" i="9"/>
  <c r="I12" i="9"/>
  <c r="U12" i="9" s="1"/>
  <c r="T12" i="9"/>
  <c r="G12" i="9"/>
  <c r="S12" i="9" s="1"/>
  <c r="G14" i="9"/>
  <c r="S14" i="9" s="1"/>
  <c r="I14" i="9"/>
  <c r="U14" i="9" s="1"/>
  <c r="T14" i="9"/>
  <c r="I12" i="12"/>
  <c r="U12" i="12" s="1"/>
  <c r="T12" i="12"/>
  <c r="G12" i="12"/>
  <c r="S12" i="12" s="1"/>
  <c r="T8" i="10"/>
  <c r="I8" i="10"/>
  <c r="U8" i="10" s="1"/>
  <c r="G10" i="12"/>
  <c r="S10" i="12" s="1"/>
  <c r="I10" i="9"/>
  <c r="U10" i="9" s="1"/>
  <c r="V10" i="9"/>
  <c r="I16" i="12"/>
  <c r="U16" i="12" s="1"/>
  <c r="V16" i="12"/>
  <c r="I15" i="12"/>
  <c r="U15" i="12" s="1"/>
  <c r="V15" i="12"/>
  <c r="G14" i="10"/>
  <c r="S14" i="10" s="1"/>
  <c r="T14" i="10"/>
  <c r="I14" i="10"/>
  <c r="U14" i="10" s="1"/>
  <c r="I8" i="9"/>
  <c r="U8" i="9" s="1"/>
  <c r="V8" i="9"/>
  <c r="T16" i="10"/>
  <c r="I16" i="10"/>
  <c r="U16" i="10" s="1"/>
  <c r="G8" i="9"/>
  <c r="S8" i="9" s="1"/>
  <c r="T8" i="9"/>
  <c r="I13" i="9"/>
  <c r="U13" i="9" s="1"/>
  <c r="T13" i="9"/>
  <c r="I11" i="9"/>
  <c r="U11" i="9" s="1"/>
  <c r="V11" i="9"/>
  <c r="I13" i="11"/>
  <c r="U13" i="11" s="1"/>
  <c r="T13" i="11"/>
  <c r="G13" i="11"/>
  <c r="S13" i="11" s="1"/>
  <c r="I8" i="11"/>
  <c r="U8" i="11" s="1"/>
  <c r="V8" i="11"/>
  <c r="T12" i="11"/>
  <c r="G12" i="11"/>
  <c r="S12" i="11" s="1"/>
  <c r="T14" i="11"/>
  <c r="I14" i="11"/>
  <c r="U14" i="11" s="1"/>
  <c r="I16" i="9"/>
  <c r="U16" i="9" s="1"/>
  <c r="V16" i="9"/>
  <c r="G16" i="9"/>
  <c r="S16" i="9" s="1"/>
  <c r="T16" i="9"/>
  <c r="T12" i="10"/>
  <c r="G12" i="10"/>
  <c r="S12" i="10" s="1"/>
  <c r="T11" i="10"/>
  <c r="I11" i="10"/>
  <c r="U11" i="10" s="1"/>
  <c r="G10" i="10"/>
  <c r="S10" i="10" s="1"/>
  <c r="T10" i="10"/>
  <c r="I10" i="10"/>
  <c r="U10" i="10" s="1"/>
  <c r="T14" i="12"/>
  <c r="I14" i="12"/>
  <c r="U14" i="12" s="1"/>
  <c r="I11" i="12"/>
  <c r="U11" i="12" s="1"/>
  <c r="T11" i="12"/>
  <c r="G14" i="12"/>
  <c r="S14" i="12" s="1"/>
  <c r="I12" i="10"/>
  <c r="U12" i="10" s="1"/>
  <c r="T8" i="12"/>
  <c r="I8" i="12"/>
  <c r="U8" i="12" s="1"/>
  <c r="G10" i="11"/>
  <c r="S10" i="11" s="1"/>
  <c r="I10" i="11"/>
  <c r="U10" i="11" s="1"/>
  <c r="T10" i="11"/>
  <c r="T11" i="11"/>
  <c r="I11" i="11"/>
  <c r="U11" i="11" s="1"/>
  <c r="G10" i="9"/>
  <c r="S10" i="9" s="1"/>
  <c r="I15" i="9"/>
  <c r="U15" i="9" s="1"/>
  <c r="V15" i="9"/>
  <c r="BD12" i="3"/>
  <c r="DP12" i="1"/>
  <c r="AU12" i="3" s="1"/>
  <c r="AL8" i="3"/>
  <c r="CQ8" i="1"/>
  <c r="AC8" i="3" s="1"/>
  <c r="BD11" i="3"/>
  <c r="DP11" i="1"/>
  <c r="AU11" i="3" s="1"/>
  <c r="AL13" i="3"/>
  <c r="CQ13" i="1"/>
  <c r="AC13" i="3" s="1"/>
  <c r="BD24" i="3"/>
  <c r="DP24" i="1"/>
  <c r="AU24" i="3" s="1"/>
  <c r="BD10" i="3"/>
  <c r="DP10" i="1"/>
  <c r="AU10" i="3" s="1"/>
  <c r="BD26" i="3"/>
  <c r="DP26" i="1"/>
  <c r="AU26" i="3" s="1"/>
  <c r="AL11" i="3"/>
  <c r="CQ11" i="1"/>
  <c r="AC11" i="3" s="1"/>
  <c r="BD15" i="3"/>
  <c r="DP15" i="1"/>
  <c r="AU15" i="3" s="1"/>
  <c r="AL9" i="3"/>
  <c r="CQ9" i="1"/>
  <c r="AC9" i="3" s="1"/>
  <c r="AL15" i="3"/>
  <c r="CQ15" i="1"/>
  <c r="AC15" i="3" s="1"/>
  <c r="BD16" i="3"/>
  <c r="DP16" i="1"/>
  <c r="AU16" i="3" s="1"/>
  <c r="AL34" i="3"/>
  <c r="CQ34" i="1"/>
  <c r="AC34" i="3" s="1"/>
  <c r="AL35" i="3"/>
  <c r="CQ35" i="1"/>
  <c r="AC35" i="3" s="1"/>
  <c r="AL25" i="3"/>
  <c r="CQ25" i="1"/>
  <c r="AC25" i="3" s="1"/>
  <c r="AL21" i="3"/>
  <c r="CQ21" i="1"/>
  <c r="AC21" i="3" s="1"/>
  <c r="AL31" i="3"/>
  <c r="CQ31" i="1"/>
  <c r="AC31" i="3" s="1"/>
  <c r="AL14" i="3"/>
  <c r="CQ14" i="1"/>
  <c r="AC14" i="3" s="1"/>
  <c r="BD17" i="3"/>
  <c r="DP17" i="1"/>
  <c r="AU17" i="3" s="1"/>
  <c r="BD14" i="3"/>
  <c r="DP14" i="1"/>
  <c r="AU14" i="3" s="1"/>
  <c r="I13" i="12" l="1"/>
  <c r="U13" i="12" s="1"/>
  <c r="T13" i="12"/>
  <c r="G13" i="12"/>
  <c r="S13" i="12" s="1"/>
</calcChain>
</file>

<file path=xl/comments1.xml><?xml version="1.0" encoding="utf-8"?>
<comments xmlns="http://schemas.openxmlformats.org/spreadsheetml/2006/main">
  <authors>
    <author>Lena Kittel</author>
  </authors>
  <commentList>
    <comment ref="A4" authorId="0" shapeId="0">
      <text>
        <r>
          <rPr>
            <b/>
            <sz val="9"/>
            <color indexed="81"/>
            <rFont val="Segoe UI"/>
            <family val="2"/>
          </rPr>
          <t>Lena Kittel:</t>
        </r>
        <r>
          <rPr>
            <sz val="9"/>
            <color indexed="81"/>
            <rFont val="Segoe UI"/>
            <family val="2"/>
          </rPr>
          <t xml:space="preserve">
wir brauchen relative änderung zu 2011
</t>
        </r>
      </text>
    </comment>
    <comment ref="L4" authorId="0" shapeId="0">
      <text>
        <r>
          <rPr>
            <b/>
            <sz val="9"/>
            <color indexed="81"/>
            <rFont val="Segoe UI"/>
            <family val="2"/>
          </rPr>
          <t>Lena Kittel:</t>
        </r>
        <r>
          <rPr>
            <sz val="9"/>
            <color indexed="81"/>
            <rFont val="Segoe UI"/>
            <family val="2"/>
          </rPr>
          <t xml:space="preserve">
wir brauchen relative änderung zu 2011
</t>
        </r>
      </text>
    </comment>
  </commentList>
</comments>
</file>

<file path=xl/comments2.xml><?xml version="1.0" encoding="utf-8"?>
<comments xmlns="http://schemas.openxmlformats.org/spreadsheetml/2006/main">
  <authors>
    <author>Lena Kittel</author>
  </authors>
  <commentList>
    <comment ref="A4" authorId="0" shapeId="0">
      <text>
        <r>
          <rPr>
            <b/>
            <sz val="9"/>
            <color indexed="81"/>
            <rFont val="Segoe UI"/>
            <family val="2"/>
          </rPr>
          <t>Lena Kittel:</t>
        </r>
        <r>
          <rPr>
            <sz val="9"/>
            <color indexed="81"/>
            <rFont val="Segoe UI"/>
            <family val="2"/>
          </rPr>
          <t xml:space="preserve">
wir brauchen relative änderung zu 2011
</t>
        </r>
      </text>
    </comment>
    <comment ref="L4" authorId="0" shapeId="0">
      <text>
        <r>
          <rPr>
            <b/>
            <sz val="9"/>
            <color indexed="81"/>
            <rFont val="Segoe UI"/>
            <family val="2"/>
          </rPr>
          <t>Lena Kittel:</t>
        </r>
        <r>
          <rPr>
            <sz val="9"/>
            <color indexed="81"/>
            <rFont val="Segoe UI"/>
            <family val="2"/>
          </rPr>
          <t xml:space="preserve">
wir brauchen relative änderung zu 2011
</t>
        </r>
      </text>
    </comment>
  </commentList>
</comments>
</file>

<file path=xl/comments3.xml><?xml version="1.0" encoding="utf-8"?>
<comments xmlns="http://schemas.openxmlformats.org/spreadsheetml/2006/main">
  <authors>
    <author>Lena Kittel</author>
  </authors>
  <commentList>
    <comment ref="A4" authorId="0" shapeId="0">
      <text>
        <r>
          <rPr>
            <b/>
            <sz val="9"/>
            <color indexed="81"/>
            <rFont val="Segoe UI"/>
            <family val="2"/>
          </rPr>
          <t>Lena Kittel:</t>
        </r>
        <r>
          <rPr>
            <sz val="9"/>
            <color indexed="81"/>
            <rFont val="Segoe UI"/>
            <family val="2"/>
          </rPr>
          <t xml:space="preserve">
wir brauchen relative änderung zu 2011
</t>
        </r>
      </text>
    </comment>
    <comment ref="L4" authorId="0" shapeId="0">
      <text>
        <r>
          <rPr>
            <b/>
            <sz val="9"/>
            <color indexed="81"/>
            <rFont val="Segoe UI"/>
            <family val="2"/>
          </rPr>
          <t>Lena Kittel:</t>
        </r>
        <r>
          <rPr>
            <sz val="9"/>
            <color indexed="81"/>
            <rFont val="Segoe UI"/>
            <family val="2"/>
          </rPr>
          <t xml:space="preserve">
wir brauchen relative änderung zu 2011
</t>
        </r>
      </text>
    </comment>
  </commentList>
</comments>
</file>

<file path=xl/comments4.xml><?xml version="1.0" encoding="utf-8"?>
<comments xmlns="http://schemas.openxmlformats.org/spreadsheetml/2006/main">
  <authors>
    <author>Lena Kittel</author>
  </authors>
  <commentList>
    <comment ref="A4" authorId="0" shapeId="0">
      <text>
        <r>
          <rPr>
            <b/>
            <sz val="9"/>
            <color indexed="81"/>
            <rFont val="Segoe UI"/>
            <family val="2"/>
          </rPr>
          <t>Lena Kittel:</t>
        </r>
        <r>
          <rPr>
            <sz val="9"/>
            <color indexed="81"/>
            <rFont val="Segoe UI"/>
            <family val="2"/>
          </rPr>
          <t xml:space="preserve">
wir brauchen relative änderung zu 2011
</t>
        </r>
      </text>
    </comment>
    <comment ref="L4" authorId="0" shapeId="0">
      <text>
        <r>
          <rPr>
            <b/>
            <sz val="9"/>
            <color indexed="81"/>
            <rFont val="Segoe UI"/>
            <family val="2"/>
          </rPr>
          <t>Lena Kittel:</t>
        </r>
        <r>
          <rPr>
            <sz val="9"/>
            <color indexed="81"/>
            <rFont val="Segoe UI"/>
            <family val="2"/>
          </rPr>
          <t xml:space="preserve">
wir brauchen relative änderung zu 2011
</t>
        </r>
      </text>
    </comment>
  </commentList>
</comments>
</file>

<file path=xl/comments5.xml><?xml version="1.0" encoding="utf-8"?>
<comments xmlns="http://schemas.openxmlformats.org/spreadsheetml/2006/main">
  <authors>
    <author>Lena Kittel</author>
  </authors>
  <commentList>
    <comment ref="A4" authorId="0" shapeId="0">
      <text>
        <r>
          <rPr>
            <b/>
            <sz val="9"/>
            <color indexed="81"/>
            <rFont val="Segoe UI"/>
            <family val="2"/>
          </rPr>
          <t>Lena Kittel:</t>
        </r>
        <r>
          <rPr>
            <sz val="9"/>
            <color indexed="81"/>
            <rFont val="Segoe UI"/>
            <family val="2"/>
          </rPr>
          <t xml:space="preserve">
wir brauchen relative änderung zu 2011
</t>
        </r>
      </text>
    </comment>
    <comment ref="L4" authorId="0" shapeId="0">
      <text>
        <r>
          <rPr>
            <b/>
            <sz val="9"/>
            <color indexed="81"/>
            <rFont val="Segoe UI"/>
            <family val="2"/>
          </rPr>
          <t>Lena Kittel:</t>
        </r>
        <r>
          <rPr>
            <sz val="9"/>
            <color indexed="81"/>
            <rFont val="Segoe UI"/>
            <family val="2"/>
          </rPr>
          <t xml:space="preserve">
wir brauchen relative änderung zu 2011
</t>
        </r>
      </text>
    </comment>
  </commentList>
</comments>
</file>

<file path=xl/comments6.xml><?xml version="1.0" encoding="utf-8"?>
<comments xmlns="http://schemas.openxmlformats.org/spreadsheetml/2006/main">
  <authors>
    <author>Lena Kittel</author>
  </authors>
  <commentList>
    <comment ref="A4" authorId="0" shapeId="0">
      <text>
        <r>
          <rPr>
            <b/>
            <sz val="9"/>
            <color indexed="81"/>
            <rFont val="Segoe UI"/>
            <family val="2"/>
          </rPr>
          <t>Lena Kittel:</t>
        </r>
        <r>
          <rPr>
            <sz val="9"/>
            <color indexed="81"/>
            <rFont val="Segoe UI"/>
            <family val="2"/>
          </rPr>
          <t xml:space="preserve">
wir brauchen relative änderung zu 2011
</t>
        </r>
      </text>
    </comment>
    <comment ref="L4" authorId="0" shapeId="0">
      <text>
        <r>
          <rPr>
            <b/>
            <sz val="9"/>
            <color indexed="81"/>
            <rFont val="Segoe UI"/>
            <family val="2"/>
          </rPr>
          <t>Lena Kittel:</t>
        </r>
        <r>
          <rPr>
            <sz val="9"/>
            <color indexed="81"/>
            <rFont val="Segoe UI"/>
            <family val="2"/>
          </rPr>
          <t xml:space="preserve">
wir brauchen relative änderung zu 2011
</t>
        </r>
      </text>
    </comment>
  </commentList>
</comments>
</file>

<file path=xl/comments7.xml><?xml version="1.0" encoding="utf-8"?>
<comments xmlns="http://schemas.openxmlformats.org/spreadsheetml/2006/main">
  <authors>
    <author>Lena Kittel</author>
  </authors>
  <commentList>
    <comment ref="A4" authorId="0" shapeId="0">
      <text>
        <r>
          <rPr>
            <b/>
            <sz val="9"/>
            <color indexed="81"/>
            <rFont val="Segoe UI"/>
            <family val="2"/>
          </rPr>
          <t>Lena Kittel:</t>
        </r>
        <r>
          <rPr>
            <sz val="9"/>
            <color indexed="81"/>
            <rFont val="Segoe UI"/>
            <family val="2"/>
          </rPr>
          <t xml:space="preserve">
wir brauchen relative änderung zu 2011
</t>
        </r>
      </text>
    </comment>
    <comment ref="L4" authorId="0" shapeId="0">
      <text>
        <r>
          <rPr>
            <b/>
            <sz val="9"/>
            <color indexed="81"/>
            <rFont val="Segoe UI"/>
            <family val="2"/>
          </rPr>
          <t>Lena Kittel:</t>
        </r>
        <r>
          <rPr>
            <sz val="9"/>
            <color indexed="81"/>
            <rFont val="Segoe UI"/>
            <family val="2"/>
          </rPr>
          <t xml:space="preserve">
wir brauchen relative änderung zu 2011
</t>
        </r>
      </text>
    </comment>
  </commentList>
</comments>
</file>

<file path=xl/comments8.xml><?xml version="1.0" encoding="utf-8"?>
<comments xmlns="http://schemas.openxmlformats.org/spreadsheetml/2006/main">
  <authors>
    <author>Lena Kittel</author>
  </authors>
  <commentList>
    <comment ref="A4" authorId="0" shapeId="0">
      <text>
        <r>
          <rPr>
            <b/>
            <sz val="9"/>
            <color indexed="81"/>
            <rFont val="Segoe UI"/>
            <family val="2"/>
          </rPr>
          <t>Lena Kittel:</t>
        </r>
        <r>
          <rPr>
            <sz val="9"/>
            <color indexed="81"/>
            <rFont val="Segoe UI"/>
            <family val="2"/>
          </rPr>
          <t xml:space="preserve">
wir brauchen relative änderung zu 2011
</t>
        </r>
      </text>
    </comment>
    <comment ref="L4" authorId="0" shapeId="0">
      <text>
        <r>
          <rPr>
            <b/>
            <sz val="9"/>
            <color indexed="81"/>
            <rFont val="Segoe UI"/>
            <family val="2"/>
          </rPr>
          <t>Lena Kittel:</t>
        </r>
        <r>
          <rPr>
            <sz val="9"/>
            <color indexed="81"/>
            <rFont val="Segoe UI"/>
            <family val="2"/>
          </rPr>
          <t xml:space="preserve">
wir brauchen relative änderung zu 2011
</t>
        </r>
      </text>
    </comment>
  </commentList>
</comments>
</file>

<file path=xl/sharedStrings.xml><?xml version="1.0" encoding="utf-8"?>
<sst xmlns="http://schemas.openxmlformats.org/spreadsheetml/2006/main" count="881" uniqueCount="124">
  <si>
    <t>Targets for 2020 (compared to 2005)</t>
  </si>
  <si>
    <t>Targets for 2030 (compared to 2005) - Proposal</t>
  </si>
  <si>
    <t>Target for 2050 (compared to 2005) – REEEM clusters</t>
  </si>
  <si>
    <t>EU-28 Target</t>
  </si>
  <si>
    <t>Targets for 2020 (compared to 1990)</t>
  </si>
  <si>
    <t>Targets for 2030 (compared to 1990) - Proposal</t>
  </si>
  <si>
    <t>Target for 2050 (compared to 1990) – REEEM clusters</t>
  </si>
  <si>
    <t>France</t>
  </si>
  <si>
    <t>Portugal</t>
  </si>
  <si>
    <t>Spain</t>
  </si>
  <si>
    <t>Italy</t>
  </si>
  <si>
    <t>United Kingdom</t>
  </si>
  <si>
    <t>Germany</t>
  </si>
  <si>
    <t>Netherlands</t>
  </si>
  <si>
    <t>Belgium</t>
  </si>
  <si>
    <t>Luxembourg</t>
  </si>
  <si>
    <t>Austria</t>
  </si>
  <si>
    <t>Denmark</t>
  </si>
  <si>
    <t>Sweden</t>
  </si>
  <si>
    <t>Finland</t>
  </si>
  <si>
    <t>Ireland</t>
  </si>
  <si>
    <t>Poland</t>
  </si>
  <si>
    <t>Czech Republic</t>
  </si>
  <si>
    <t>Bulgaria</t>
  </si>
  <si>
    <t>Romania</t>
  </si>
  <si>
    <t>Estonia</t>
  </si>
  <si>
    <t>Latvia</t>
  </si>
  <si>
    <t>Lithuania</t>
  </si>
  <si>
    <t>Croatia</t>
  </si>
  <si>
    <t>Hungary</t>
  </si>
  <si>
    <t>Greece</t>
  </si>
  <si>
    <t>Slovakia</t>
  </si>
  <si>
    <t>Slovenia</t>
  </si>
  <si>
    <t>Cyprus</t>
  </si>
  <si>
    <t>Malta</t>
  </si>
  <si>
    <t>EU-28 Non-ETS</t>
  </si>
  <si>
    <t>without target</t>
  </si>
  <si>
    <t>0th step A: Overall optimum</t>
  </si>
  <si>
    <t>0th step B: Overall optimum</t>
  </si>
  <si>
    <t>1st step A: Higher overall targets</t>
  </si>
  <si>
    <t>2nd step A: Higher overall targets + higher ETS targets + higher Non-ETS overall targets</t>
  </si>
  <si>
    <t>3rd step A: Higher overall targets + higher ETS targets + higher Non-ETS overall targets + higher national Non-ETS targets</t>
  </si>
  <si>
    <t>4th step A: Higher overall targets + ETS takes the burden</t>
  </si>
  <si>
    <t>EU-28 ETS w/o domestic aviation</t>
  </si>
  <si>
    <t>PIK-Scenario A: "nur ETS"</t>
  </si>
  <si>
    <t>PIK-Scenario A: "Anteile konstant"</t>
  </si>
  <si>
    <t>Targets for 2040 (compared to 1990) – REEEM clusters</t>
  </si>
  <si>
    <t>Targets for 2040 (compared to 2005) – REEEM clusters</t>
  </si>
  <si>
    <t>Targets for 2050 (compared to 1990) – REEEM clusters</t>
  </si>
  <si>
    <t>Targets for 2050 (compared to 2005) – REEEM clusters</t>
  </si>
  <si>
    <t>GHG emissions (w/o LULUCF, w/o waste) - Statistics</t>
  </si>
  <si>
    <t>Target for 2050 (compared to 1990)</t>
  </si>
  <si>
    <t>Targets for 2040 (compared to 1990) - Proposal</t>
  </si>
  <si>
    <t>Targets for 2040 (compared to 2005) - Proposal</t>
  </si>
  <si>
    <t>Germany: Target</t>
  </si>
  <si>
    <t>1st step B: Higher overall targets - EU Green Deal ("Optimal" w/o German target)</t>
  </si>
  <si>
    <t>1st step D: Higher overall targets - EU Green Deal ("Optimal" w. German target)</t>
  </si>
  <si>
    <t>PIK-Scenario B: "Anteile konstant" - EU Green Deal ("Current mechanisms" w/o German target)</t>
  </si>
  <si>
    <t>PIK-Scenario B: "Anteile konstant" - EU Green Deal ("Current mechanisms" w. German target)</t>
  </si>
  <si>
    <t>Current GHG Targets  - 85% Pfad (w. German target)</t>
  </si>
  <si>
    <t>Current GHG Targets (REEEM) - 85% Pfad (w/o German target)</t>
  </si>
  <si>
    <t>Effort sharing decision (compared to 2005) (ESD)</t>
  </si>
  <si>
    <t>PIK-Scenario B: "nur ETS" - EU Green Deal ("ETS only" w. German target)</t>
  </si>
  <si>
    <t>85% Pfad (w. German target) (10)</t>
  </si>
  <si>
    <t>Green Deal ("optimal" w. German target) (4)</t>
  </si>
  <si>
    <t>PIK-Scenario B: "nur ETS" - EU Green Deal ("ETS only" w/o German target)</t>
  </si>
  <si>
    <t>Target for 2020 (compared to 1990)</t>
  </si>
  <si>
    <t>Target for 2030 (compared to 1990)</t>
  </si>
  <si>
    <t>Target for 2040 (compared to 1990)</t>
  </si>
  <si>
    <t>85% Pfad (w/o German target) (9)</t>
  </si>
  <si>
    <t>EU Green Deal ("Optimal" w/o German target) (3)</t>
  </si>
  <si>
    <t>EU Green Deal ("Optimal" w. German target) (4)</t>
  </si>
  <si>
    <t>EU Green Deal ("ETS only" w/o German target) (5)</t>
  </si>
  <si>
    <t>EU Green Deal ("ETS only" w. German target) (6)</t>
  </si>
  <si>
    <t>EU Green Deal ("Current mechanisms" w/o German target) (7)</t>
  </si>
  <si>
    <t>EU Green Deal ("Current mechanisms" w. German target) (8)</t>
  </si>
  <si>
    <t>Jahr</t>
  </si>
  <si>
    <t>Euro/t (nominal)</t>
  </si>
  <si>
    <t>Euro/t (real, Basisjahr 2019)</t>
  </si>
  <si>
    <t>2030 und 2040 aus WEO 2020, Sustainable Development Scenario</t>
  </si>
  <si>
    <t>2050 aus Schadenskosten, Methodenkonvention UBA</t>
  </si>
  <si>
    <t>Inflationsrate</t>
  </si>
  <si>
    <t>Statistik 2016 -&gt; 2019</t>
  </si>
  <si>
    <t>FRA</t>
  </si>
  <si>
    <t>ESP</t>
  </si>
  <si>
    <t>ITA</t>
  </si>
  <si>
    <t>UKI</t>
  </si>
  <si>
    <t>DEU</t>
  </si>
  <si>
    <t>BNL</t>
  </si>
  <si>
    <t>EUS</t>
  </si>
  <si>
    <t>EUN</t>
  </si>
  <si>
    <t>POL</t>
  </si>
  <si>
    <t>Country</t>
  </si>
  <si>
    <t>NEWAGE</t>
  </si>
  <si>
    <t>2011 non-ETS</t>
  </si>
  <si>
    <t>EU-28</t>
  </si>
  <si>
    <t>ETS</t>
  </si>
  <si>
    <t>Scenario 3: EU Green Deal ("Optimal" w/o German target) (3)</t>
  </si>
  <si>
    <t>ETS - Targets</t>
  </si>
  <si>
    <t>ESD - Targets</t>
  </si>
  <si>
    <t>Germany - Targets</t>
  </si>
  <si>
    <t>Physical units</t>
  </si>
  <si>
    <t>-</t>
  </si>
  <si>
    <t>VON 3-10</t>
  </si>
  <si>
    <t>ESD is Non-ETS</t>
  </si>
  <si>
    <t>Relative changes</t>
  </si>
  <si>
    <t>Scenario 4: EU Green Deal ("Optimal" w. German target) (4)</t>
  </si>
  <si>
    <t>Scenario 5: EU Green Deal ("ETS only" w/o German target) (5)</t>
  </si>
  <si>
    <t>Scenario 6: EU Green Deal ("ETS only" w. German target) (6)</t>
  </si>
  <si>
    <t>Scenario 7: EU Green Deal ("Current mechanisms" w/o German target) (7)</t>
  </si>
  <si>
    <t>Scenario 8: EU Green Deal ("Current mechanisms" w. German target) (8)</t>
  </si>
  <si>
    <t>Scenario 9: 85% Pfad (w/o German target) (9)</t>
  </si>
  <si>
    <t>ESD</t>
  </si>
  <si>
    <t>NAT</t>
  </si>
  <si>
    <t>EU28</t>
  </si>
  <si>
    <t>EGD - Optimal</t>
  </si>
  <si>
    <t>EGD - ETS Only</t>
  </si>
  <si>
    <t>EGD - Current Mechanisms</t>
  </si>
  <si>
    <t>ETS reduction (2050/2005)</t>
  </si>
  <si>
    <t>ESD reduction (2050/2005)</t>
  </si>
  <si>
    <t>Germany only</t>
  </si>
  <si>
    <t>Total reduction (2050/2005)</t>
  </si>
  <si>
    <t>Overall - Targets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</si>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</sst>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%"/>
    <numFmt numFmtId="165" formatCode="#,##0.000"/>
    <numFmt numFmtId="166" formatCode="0.000"/>
    <numFmt numFmtId="167" formatCode="0.0000"/>
    <numFmt numFmtId="168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6">
    <xf numFmtId="0" fontId="0" fillId="0" borderId="0" xfId="0"/>
    <xf numFmtId="0" fontId="0" fillId="0" borderId="0" xfId="0" applyAlignment="1">
      <alignment vertical="center"/>
    </xf>
    <xf numFmtId="9" fontId="0" fillId="2" borderId="2" xfId="1" applyFont="1" applyFill="1" applyBorder="1" applyAlignment="1">
      <alignment horizontal="center" vertical="center" wrapText="1"/>
    </xf>
    <xf numFmtId="9" fontId="0" fillId="0" borderId="5" xfId="1" applyFont="1" applyBorder="1" applyAlignment="1">
      <alignment horizontal="center" vertical="center" wrapText="1"/>
    </xf>
    <xf numFmtId="164" fontId="0" fillId="2" borderId="2" xfId="1" applyNumberFormat="1" applyFont="1" applyFill="1" applyBorder="1" applyAlignment="1">
      <alignment horizontal="center" vertical="center" wrapText="1"/>
    </xf>
    <xf numFmtId="164" fontId="0" fillId="2" borderId="3" xfId="1" applyNumberFormat="1" applyFont="1" applyFill="1" applyBorder="1" applyAlignment="1">
      <alignment horizontal="center" vertical="center" wrapText="1"/>
    </xf>
    <xf numFmtId="164" fontId="0" fillId="2" borderId="0" xfId="1" applyNumberFormat="1" applyFont="1" applyFill="1" applyBorder="1" applyAlignment="1">
      <alignment horizontal="center" vertical="center" wrapText="1"/>
    </xf>
    <xf numFmtId="9" fontId="0" fillId="0" borderId="0" xfId="0" applyNumberFormat="1" applyAlignment="1">
      <alignment vertical="center"/>
    </xf>
    <xf numFmtId="9" fontId="0" fillId="0" borderId="7" xfId="1" applyFont="1" applyBorder="1" applyAlignment="1">
      <alignment horizontal="center" vertical="center" wrapText="1"/>
    </xf>
    <xf numFmtId="9" fontId="0" fillId="0" borderId="4" xfId="1" applyFont="1" applyBorder="1" applyAlignment="1">
      <alignment horizontal="center" vertical="center" wrapText="1"/>
    </xf>
    <xf numFmtId="164" fontId="0" fillId="2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9" fontId="3" fillId="2" borderId="2" xfId="1" applyFont="1" applyFill="1" applyBorder="1" applyAlignment="1">
      <alignment horizontal="center" vertical="center" wrapText="1"/>
    </xf>
    <xf numFmtId="4" fontId="0" fillId="0" borderId="2" xfId="1" applyNumberFormat="1" applyFont="1" applyBorder="1" applyAlignment="1">
      <alignment horizontal="center" vertical="center" wrapText="1"/>
    </xf>
    <xf numFmtId="9" fontId="0" fillId="0" borderId="6" xfId="1" applyFont="1" applyBorder="1" applyAlignment="1">
      <alignment horizontal="center" vertical="center" wrapText="1"/>
    </xf>
    <xf numFmtId="9" fontId="0" fillId="0" borderId="2" xfId="1" applyFont="1" applyBorder="1" applyAlignment="1">
      <alignment horizontal="center" vertical="center" wrapText="1"/>
    </xf>
    <xf numFmtId="2" fontId="0" fillId="0" borderId="2" xfId="1" applyNumberFormat="1" applyFont="1" applyBorder="1" applyAlignment="1">
      <alignment horizontal="center" vertical="center" wrapText="1"/>
    </xf>
    <xf numFmtId="4" fontId="0" fillId="0" borderId="0" xfId="1" applyNumberFormat="1" applyFont="1" applyBorder="1" applyAlignment="1">
      <alignment horizontal="center" vertical="center" wrapText="1"/>
    </xf>
    <xf numFmtId="9" fontId="0" fillId="0" borderId="0" xfId="1" applyFont="1" applyBorder="1" applyAlignment="1">
      <alignment horizontal="center" vertical="center" wrapText="1"/>
    </xf>
    <xf numFmtId="9" fontId="0" fillId="0" borderId="3" xfId="1" applyFont="1" applyBorder="1" applyAlignment="1">
      <alignment horizontal="center" vertical="center" wrapText="1"/>
    </xf>
    <xf numFmtId="4" fontId="0" fillId="0" borderId="9" xfId="1" applyNumberFormat="1" applyFont="1" applyBorder="1" applyAlignment="1">
      <alignment horizontal="center" vertical="center" wrapText="1"/>
    </xf>
    <xf numFmtId="2" fontId="0" fillId="0" borderId="9" xfId="1" applyNumberFormat="1" applyFont="1" applyBorder="1" applyAlignment="1">
      <alignment horizontal="center" vertical="center" wrapText="1"/>
    </xf>
    <xf numFmtId="4" fontId="0" fillId="0" borderId="15" xfId="1" applyNumberFormat="1" applyFont="1" applyBorder="1" applyAlignment="1">
      <alignment horizontal="center" vertical="center" wrapText="1"/>
    </xf>
    <xf numFmtId="9" fontId="0" fillId="0" borderId="14" xfId="1" applyFont="1" applyBorder="1" applyAlignment="1">
      <alignment horizontal="center" vertical="center" wrapText="1"/>
    </xf>
    <xf numFmtId="2" fontId="0" fillId="0" borderId="15" xfId="1" applyNumberFormat="1" applyFont="1" applyBorder="1" applyAlignment="1">
      <alignment horizontal="center" vertical="center" wrapText="1"/>
    </xf>
    <xf numFmtId="4" fontId="0" fillId="2" borderId="15" xfId="1" applyNumberFormat="1" applyFont="1" applyFill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 wrapText="1"/>
    </xf>
    <xf numFmtId="4" fontId="0" fillId="2" borderId="9" xfId="1" applyNumberFormat="1" applyFont="1" applyFill="1" applyBorder="1" applyAlignment="1">
      <alignment horizontal="center" vertical="center" wrapText="1"/>
    </xf>
    <xf numFmtId="9" fontId="0" fillId="2" borderId="14" xfId="1" applyFont="1" applyFill="1" applyBorder="1" applyAlignment="1">
      <alignment horizontal="center" vertical="center" wrapText="1"/>
    </xf>
    <xf numFmtId="9" fontId="0" fillId="0" borderId="18" xfId="1" applyFont="1" applyBorder="1" applyAlignment="1">
      <alignment horizontal="center" vertical="center" wrapText="1"/>
    </xf>
    <xf numFmtId="9" fontId="0" fillId="0" borderId="16" xfId="1" applyFont="1" applyBorder="1" applyAlignment="1">
      <alignment horizontal="center" vertical="center" wrapText="1"/>
    </xf>
    <xf numFmtId="9" fontId="0" fillId="0" borderId="12" xfId="1" applyFont="1" applyBorder="1" applyAlignment="1">
      <alignment horizontal="center" vertical="center" wrapText="1"/>
    </xf>
    <xf numFmtId="4" fontId="0" fillId="2" borderId="8" xfId="1" applyNumberFormat="1" applyFont="1" applyFill="1" applyBorder="1" applyAlignment="1">
      <alignment horizontal="center" vertical="center" wrapText="1"/>
    </xf>
    <xf numFmtId="4" fontId="0" fillId="0" borderId="8" xfId="1" applyNumberFormat="1" applyFont="1" applyBorder="1" applyAlignment="1">
      <alignment horizontal="center" vertical="center" wrapText="1"/>
    </xf>
    <xf numFmtId="4" fontId="0" fillId="0" borderId="11" xfId="1" applyNumberFormat="1" applyFont="1" applyBorder="1" applyAlignment="1">
      <alignment horizontal="center" vertical="center" wrapText="1"/>
    </xf>
    <xf numFmtId="4" fontId="0" fillId="0" borderId="17" xfId="1" applyNumberFormat="1" applyFont="1" applyBorder="1" applyAlignment="1">
      <alignment horizontal="center" vertical="center" wrapText="1"/>
    </xf>
    <xf numFmtId="4" fontId="0" fillId="0" borderId="19" xfId="1" applyNumberFormat="1" applyFont="1" applyBorder="1" applyAlignment="1">
      <alignment horizontal="center" vertical="center" wrapText="1"/>
    </xf>
    <xf numFmtId="4" fontId="0" fillId="0" borderId="13" xfId="1" applyNumberFormat="1" applyFont="1" applyBorder="1" applyAlignment="1">
      <alignment horizontal="center" vertical="center" wrapText="1"/>
    </xf>
    <xf numFmtId="2" fontId="0" fillId="2" borderId="15" xfId="1" applyNumberFormat="1" applyFont="1" applyFill="1" applyBorder="1" applyAlignment="1">
      <alignment horizontal="center" vertical="center" wrapText="1"/>
    </xf>
    <xf numFmtId="2" fontId="0" fillId="2" borderId="9" xfId="1" applyNumberFormat="1" applyFont="1" applyFill="1" applyBorder="1" applyAlignment="1">
      <alignment horizontal="center" vertical="center" wrapText="1"/>
    </xf>
    <xf numFmtId="164" fontId="0" fillId="2" borderId="14" xfId="1" applyNumberFormat="1" applyFont="1" applyFill="1" applyBorder="1" applyAlignment="1">
      <alignment horizontal="center" vertical="center" wrapText="1"/>
    </xf>
    <xf numFmtId="164" fontId="3" fillId="2" borderId="2" xfId="1" applyNumberFormat="1" applyFont="1" applyFill="1" applyBorder="1" applyAlignment="1">
      <alignment horizontal="center" vertical="center" wrapText="1"/>
    </xf>
    <xf numFmtId="164" fontId="0" fillId="2" borderId="18" xfId="1" applyNumberFormat="1" applyFont="1" applyFill="1" applyBorder="1" applyAlignment="1">
      <alignment horizontal="center" vertical="center" wrapText="1"/>
    </xf>
    <xf numFmtId="4" fontId="0" fillId="2" borderId="19" xfId="1" applyNumberFormat="1" applyFont="1" applyFill="1" applyBorder="1" applyAlignment="1">
      <alignment horizontal="center" vertical="center" wrapText="1"/>
    </xf>
    <xf numFmtId="164" fontId="0" fillId="2" borderId="16" xfId="1" applyNumberFormat="1" applyFont="1" applyFill="1" applyBorder="1" applyAlignment="1">
      <alignment horizontal="center" vertical="center" wrapText="1"/>
    </xf>
    <xf numFmtId="4" fontId="0" fillId="2" borderId="17" xfId="1" applyNumberFormat="1" applyFont="1" applyFill="1" applyBorder="1" applyAlignment="1">
      <alignment horizontal="center" vertical="center" wrapText="1"/>
    </xf>
    <xf numFmtId="164" fontId="0" fillId="2" borderId="12" xfId="1" applyNumberFormat="1" applyFont="1" applyFill="1" applyBorder="1" applyAlignment="1">
      <alignment horizontal="center" vertical="center" wrapText="1"/>
    </xf>
    <xf numFmtId="4" fontId="0" fillId="2" borderId="13" xfId="1" applyNumberFormat="1" applyFont="1" applyFill="1" applyBorder="1" applyAlignment="1">
      <alignment horizontal="center" vertical="center" wrapText="1"/>
    </xf>
    <xf numFmtId="9" fontId="3" fillId="2" borderId="14" xfId="1" applyFont="1" applyFill="1" applyBorder="1" applyAlignment="1">
      <alignment horizontal="center" vertical="center" wrapText="1"/>
    </xf>
    <xf numFmtId="165" fontId="0" fillId="0" borderId="0" xfId="0" applyNumberFormat="1" applyAlignment="1">
      <alignment vertical="center"/>
    </xf>
    <xf numFmtId="9" fontId="0" fillId="0" borderId="6" xfId="1" applyFont="1" applyBorder="1" applyAlignment="1">
      <alignment horizontal="center" vertical="center" wrapText="1"/>
    </xf>
    <xf numFmtId="9" fontId="0" fillId="0" borderId="2" xfId="1" applyFont="1" applyBorder="1" applyAlignment="1">
      <alignment horizontal="center" vertical="center" wrapText="1"/>
    </xf>
    <xf numFmtId="9" fontId="0" fillId="0" borderId="14" xfId="1" applyFont="1" applyBorder="1" applyAlignment="1">
      <alignment horizontal="center" vertical="center" wrapText="1"/>
    </xf>
    <xf numFmtId="9" fontId="0" fillId="0" borderId="0" xfId="1" applyFont="1" applyBorder="1" applyAlignment="1">
      <alignment horizontal="center" vertical="center" wrapText="1"/>
    </xf>
    <xf numFmtId="9" fontId="0" fillId="0" borderId="3" xfId="1" applyFont="1" applyBorder="1" applyAlignment="1">
      <alignment horizontal="center" vertical="center" wrapText="1"/>
    </xf>
    <xf numFmtId="9" fontId="0" fillId="0" borderId="16" xfId="1" applyFont="1" applyBorder="1" applyAlignment="1">
      <alignment horizontal="center" vertical="center" wrapText="1"/>
    </xf>
    <xf numFmtId="9" fontId="0" fillId="0" borderId="12" xfId="1" applyFont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 wrapText="1"/>
    </xf>
    <xf numFmtId="9" fontId="0" fillId="0" borderId="18" xfId="1" applyFont="1" applyBorder="1" applyAlignment="1">
      <alignment horizontal="center" vertical="center" wrapText="1"/>
    </xf>
    <xf numFmtId="166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4" fontId="0" fillId="0" borderId="10" xfId="1" applyNumberFormat="1" applyFont="1" applyBorder="1" applyAlignment="1">
      <alignment horizontal="center" vertical="center" wrapText="1"/>
    </xf>
    <xf numFmtId="4" fontId="0" fillId="2" borderId="10" xfId="1" applyNumberFormat="1" applyFont="1" applyFill="1" applyBorder="1" applyAlignment="1">
      <alignment horizontal="center" vertical="center" wrapText="1"/>
    </xf>
    <xf numFmtId="4" fontId="0" fillId="2" borderId="11" xfId="1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 wrapText="1"/>
    </xf>
    <xf numFmtId="9" fontId="0" fillId="0" borderId="6" xfId="0" applyNumberFormat="1" applyBorder="1" applyAlignment="1">
      <alignment vertical="center"/>
    </xf>
    <xf numFmtId="9" fontId="0" fillId="0" borderId="5" xfId="0" applyNumberFormat="1" applyBorder="1" applyAlignment="1">
      <alignment vertical="center"/>
    </xf>
    <xf numFmtId="9" fontId="0" fillId="0" borderId="7" xfId="0" applyNumberFormat="1" applyBorder="1" applyAlignment="1">
      <alignment vertical="center"/>
    </xf>
    <xf numFmtId="9" fontId="0" fillId="0" borderId="4" xfId="0" applyNumberFormat="1" applyBorder="1" applyAlignment="1">
      <alignment vertical="center"/>
    </xf>
    <xf numFmtId="164" fontId="0" fillId="0" borderId="14" xfId="1" applyNumberFormat="1" applyFont="1" applyBorder="1" applyAlignment="1">
      <alignment horizontal="center" vertical="center" wrapText="1"/>
    </xf>
    <xf numFmtId="164" fontId="0" fillId="0" borderId="16" xfId="1" applyNumberFormat="1" applyFont="1" applyBorder="1" applyAlignment="1">
      <alignment horizontal="center" vertical="center" wrapText="1"/>
    </xf>
    <xf numFmtId="164" fontId="0" fillId="0" borderId="18" xfId="1" applyNumberFormat="1" applyFont="1" applyBorder="1" applyAlignment="1">
      <alignment horizontal="center" vertical="center" wrapText="1"/>
    </xf>
    <xf numFmtId="164" fontId="0" fillId="0" borderId="12" xfId="1" applyNumberFormat="1" applyFont="1" applyBorder="1" applyAlignment="1">
      <alignment horizontal="center" vertical="center" wrapText="1"/>
    </xf>
    <xf numFmtId="4" fontId="0" fillId="0" borderId="3" xfId="1" applyNumberFormat="1" applyFont="1" applyBorder="1" applyAlignment="1">
      <alignment horizontal="center" vertical="center" wrapText="1"/>
    </xf>
    <xf numFmtId="4" fontId="0" fillId="0" borderId="1" xfId="1" applyNumberFormat="1" applyFont="1" applyBorder="1" applyAlignment="1">
      <alignment horizontal="center" vertical="center" wrapText="1"/>
    </xf>
    <xf numFmtId="9" fontId="0" fillId="2" borderId="6" xfId="1" applyFont="1" applyFill="1" applyBorder="1" applyAlignment="1">
      <alignment horizontal="center" vertical="center" wrapText="1"/>
    </xf>
    <xf numFmtId="4" fontId="0" fillId="2" borderId="2" xfId="1" applyNumberFormat="1" applyFont="1" applyFill="1" applyBorder="1" applyAlignment="1">
      <alignment horizontal="center" vertical="center" wrapText="1"/>
    </xf>
    <xf numFmtId="4" fontId="0" fillId="0" borderId="24" xfId="1" applyNumberFormat="1" applyFont="1" applyBorder="1" applyAlignment="1">
      <alignment horizontal="center" vertical="center" wrapText="1"/>
    </xf>
    <xf numFmtId="0" fontId="0" fillId="0" borderId="22" xfId="0" applyBorder="1" applyAlignment="1">
      <alignment vertical="center"/>
    </xf>
    <xf numFmtId="0" fontId="0" fillId="0" borderId="24" xfId="0" applyBorder="1" applyAlignment="1">
      <alignment vertical="center" wrapText="1"/>
    </xf>
    <xf numFmtId="9" fontId="0" fillId="0" borderId="24" xfId="0" applyNumberFormat="1" applyBorder="1" applyAlignment="1">
      <alignment vertical="center"/>
    </xf>
    <xf numFmtId="9" fontId="0" fillId="0" borderId="22" xfId="0" applyNumberFormat="1" applyBorder="1" applyAlignment="1">
      <alignment vertical="center"/>
    </xf>
    <xf numFmtId="9" fontId="0" fillId="0" borderId="20" xfId="0" applyNumberFormat="1" applyBorder="1" applyAlignment="1">
      <alignment vertical="center"/>
    </xf>
    <xf numFmtId="9" fontId="0" fillId="0" borderId="26" xfId="0" applyNumberFormat="1" applyBorder="1" applyAlignment="1">
      <alignment vertical="center"/>
    </xf>
    <xf numFmtId="4" fontId="0" fillId="0" borderId="25" xfId="0" applyNumberFormat="1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Font="1" applyBorder="1" applyAlignment="1">
      <alignment horizontal="center" vertical="center" wrapText="1"/>
    </xf>
    <xf numFmtId="2" fontId="0" fillId="0" borderId="25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4" fontId="0" fillId="0" borderId="24" xfId="0" applyNumberFormat="1" applyBorder="1" applyAlignment="1">
      <alignment horizontal="center" vertical="center"/>
    </xf>
    <xf numFmtId="1" fontId="0" fillId="0" borderId="22" xfId="0" applyNumberFormat="1" applyFont="1" applyBorder="1" applyAlignment="1">
      <alignment horizontal="center" vertical="center"/>
    </xf>
    <xf numFmtId="1" fontId="0" fillId="0" borderId="23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9" fontId="0" fillId="0" borderId="3" xfId="1" applyFont="1" applyBorder="1" applyAlignment="1">
      <alignment horizontal="center" vertical="center" wrapText="1"/>
    </xf>
    <xf numFmtId="9" fontId="0" fillId="0" borderId="6" xfId="1" applyFont="1" applyBorder="1" applyAlignment="1">
      <alignment horizontal="center" vertical="center" wrapText="1"/>
    </xf>
    <xf numFmtId="9" fontId="0" fillId="0" borderId="2" xfId="1" applyFont="1" applyBorder="1" applyAlignment="1">
      <alignment horizontal="center" vertical="center" wrapText="1"/>
    </xf>
    <xf numFmtId="9" fontId="0" fillId="0" borderId="14" xfId="1" applyFont="1" applyBorder="1" applyAlignment="1">
      <alignment horizontal="center" vertical="center" wrapText="1"/>
    </xf>
    <xf numFmtId="9" fontId="0" fillId="0" borderId="18" xfId="1" applyFont="1" applyBorder="1" applyAlignment="1">
      <alignment horizontal="center" vertical="center" wrapText="1"/>
    </xf>
    <xf numFmtId="9" fontId="0" fillId="0" borderId="16" xfId="1" applyFont="1" applyBorder="1" applyAlignment="1">
      <alignment horizontal="center" vertical="center" wrapText="1"/>
    </xf>
    <xf numFmtId="9" fontId="0" fillId="0" borderId="0" xfId="1" applyFont="1" applyBorder="1" applyAlignment="1">
      <alignment horizontal="center" vertical="center" wrapText="1"/>
    </xf>
    <xf numFmtId="9" fontId="0" fillId="0" borderId="12" xfId="1" applyFont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 wrapText="1"/>
    </xf>
    <xf numFmtId="0" fontId="0" fillId="0" borderId="26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4" fontId="0" fillId="0" borderId="29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4" fontId="0" fillId="0" borderId="29" xfId="0" applyNumberFormat="1" applyBorder="1" applyAlignment="1">
      <alignment horizontal="center" vertical="center" wrapText="1"/>
    </xf>
    <xf numFmtId="2" fontId="0" fillId="0" borderId="29" xfId="0" applyNumberForma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1" fontId="0" fillId="0" borderId="30" xfId="0" applyNumberFormat="1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/>
    </xf>
    <xf numFmtId="4" fontId="0" fillId="0" borderId="9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" fontId="0" fillId="0" borderId="9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1" fontId="0" fillId="0" borderId="8" xfId="0" applyNumberFormat="1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4" fontId="0" fillId="2" borderId="0" xfId="1" applyNumberFormat="1" applyFont="1" applyFill="1" applyBorder="1" applyAlignment="1">
      <alignment horizontal="center" vertical="center" wrapText="1"/>
    </xf>
    <xf numFmtId="164" fontId="0" fillId="0" borderId="3" xfId="1" applyNumberFormat="1" applyFont="1" applyBorder="1" applyAlignment="1">
      <alignment horizontal="center" vertical="center" wrapText="1"/>
    </xf>
    <xf numFmtId="164" fontId="0" fillId="0" borderId="0" xfId="1" applyNumberFormat="1" applyFont="1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center" vertical="center" wrapText="1"/>
    </xf>
    <xf numFmtId="4" fontId="0" fillId="2" borderId="3" xfId="1" applyNumberFormat="1" applyFont="1" applyFill="1" applyBorder="1" applyAlignment="1">
      <alignment horizontal="center" vertical="center" wrapText="1"/>
    </xf>
    <xf numFmtId="4" fontId="0" fillId="2" borderId="1" xfId="1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34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7" fontId="0" fillId="0" borderId="0" xfId="0" applyNumberFormat="1"/>
    <xf numFmtId="168" fontId="0" fillId="0" borderId="0" xfId="0" applyNumberFormat="1"/>
    <xf numFmtId="0" fontId="0" fillId="0" borderId="3" xfId="0" applyBorder="1" applyAlignment="1">
      <alignment horizontal="center"/>
    </xf>
    <xf numFmtId="168" fontId="0" fillId="0" borderId="3" xfId="0" applyNumberFormat="1" applyBorder="1"/>
    <xf numFmtId="167" fontId="0" fillId="0" borderId="3" xfId="0" applyNumberFormat="1" applyBorder="1"/>
    <xf numFmtId="0" fontId="3" fillId="2" borderId="0" xfId="0" applyFont="1" applyFill="1"/>
    <xf numFmtId="0" fontId="0" fillId="0" borderId="35" xfId="0" applyBorder="1" applyAlignment="1">
      <alignment horizontal="center" wrapText="1"/>
    </xf>
    <xf numFmtId="0" fontId="0" fillId="0" borderId="36" xfId="0" applyBorder="1" applyAlignment="1">
      <alignment horizontal="center"/>
    </xf>
    <xf numFmtId="168" fontId="0" fillId="0" borderId="36" xfId="0" applyNumberFormat="1" applyBorder="1" applyAlignment="1">
      <alignment horizontal="center"/>
    </xf>
    <xf numFmtId="168" fontId="0" fillId="0" borderId="37" xfId="0" applyNumberFormat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0" fontId="3" fillId="2" borderId="38" xfId="0" applyFont="1" applyFill="1" applyBorder="1" applyAlignment="1">
      <alignment horizontal="center"/>
    </xf>
    <xf numFmtId="166" fontId="0" fillId="0" borderId="0" xfId="0" applyNumberFormat="1"/>
    <xf numFmtId="9" fontId="0" fillId="0" borderId="5" xfId="0" applyNumberFormat="1" applyFill="1" applyBorder="1" applyAlignment="1">
      <alignment vertical="center"/>
    </xf>
    <xf numFmtId="9" fontId="0" fillId="0" borderId="0" xfId="0" applyNumberFormat="1" applyFill="1" applyBorder="1" applyAlignment="1">
      <alignment vertical="center"/>
    </xf>
    <xf numFmtId="4" fontId="0" fillId="0" borderId="0" xfId="0" applyNumberFormat="1"/>
    <xf numFmtId="0" fontId="0" fillId="0" borderId="45" xfId="0" applyBorder="1"/>
    <xf numFmtId="0" fontId="0" fillId="0" borderId="0" xfId="0" applyBorder="1"/>
    <xf numFmtId="0" fontId="0" fillId="0" borderId="46" xfId="0" applyBorder="1"/>
    <xf numFmtId="0" fontId="3" fillId="0" borderId="0" xfId="0" applyFont="1" applyBorder="1"/>
    <xf numFmtId="0" fontId="3" fillId="0" borderId="46" xfId="0" applyFont="1" applyBorder="1"/>
    <xf numFmtId="0" fontId="3" fillId="0" borderId="48" xfId="0" applyFont="1" applyBorder="1"/>
    <xf numFmtId="0" fontId="0" fillId="5" borderId="49" xfId="0" applyFill="1" applyBorder="1"/>
    <xf numFmtId="0" fontId="0" fillId="0" borderId="50" xfId="0" applyBorder="1"/>
    <xf numFmtId="0" fontId="3" fillId="0" borderId="52" xfId="0" applyFont="1" applyBorder="1"/>
    <xf numFmtId="0" fontId="0" fillId="5" borderId="51" xfId="0" applyFill="1" applyBorder="1"/>
    <xf numFmtId="0" fontId="3" fillId="5" borderId="50" xfId="0" applyFont="1" applyFill="1" applyBorder="1"/>
    <xf numFmtId="0" fontId="3" fillId="6" borderId="50" xfId="0" applyFont="1" applyFill="1" applyBorder="1"/>
    <xf numFmtId="0" fontId="3" fillId="5" borderId="47" xfId="0" applyFont="1" applyFill="1" applyBorder="1"/>
    <xf numFmtId="2" fontId="0" fillId="5" borderId="48" xfId="0" applyNumberFormat="1" applyFill="1" applyBorder="1"/>
    <xf numFmtId="2" fontId="0" fillId="5" borderId="52" xfId="0" applyNumberFormat="1" applyFill="1" applyBorder="1"/>
    <xf numFmtId="2" fontId="0" fillId="5" borderId="46" xfId="0" applyNumberFormat="1" applyFill="1" applyBorder="1"/>
    <xf numFmtId="2" fontId="0" fillId="6" borderId="48" xfId="0" applyNumberFormat="1" applyFill="1" applyBorder="1"/>
    <xf numFmtId="2" fontId="0" fillId="6" borderId="52" xfId="0" applyNumberFormat="1" applyFill="1" applyBorder="1"/>
    <xf numFmtId="2" fontId="0" fillId="6" borderId="46" xfId="0" applyNumberFormat="1" applyFill="1" applyBorder="1"/>
    <xf numFmtId="0" fontId="0" fillId="5" borderId="53" xfId="0" applyFill="1" applyBorder="1"/>
    <xf numFmtId="0" fontId="0" fillId="5" borderId="54" xfId="0" applyFill="1" applyBorder="1"/>
    <xf numFmtId="2" fontId="0" fillId="5" borderId="54" xfId="0" applyNumberFormat="1" applyFill="1" applyBorder="1"/>
    <xf numFmtId="2" fontId="0" fillId="5" borderId="53" xfId="0" applyNumberFormat="1" applyFill="1" applyBorder="1"/>
    <xf numFmtId="0" fontId="3" fillId="5" borderId="57" xfId="0" applyFont="1" applyFill="1" applyBorder="1"/>
    <xf numFmtId="2" fontId="0" fillId="5" borderId="58" xfId="0" applyNumberFormat="1" applyFill="1" applyBorder="1"/>
    <xf numFmtId="0" fontId="0" fillId="5" borderId="58" xfId="0" applyFill="1" applyBorder="1"/>
    <xf numFmtId="4" fontId="0" fillId="5" borderId="51" xfId="0" applyNumberFormat="1" applyFill="1" applyBorder="1"/>
    <xf numFmtId="0" fontId="0" fillId="0" borderId="0" xfId="0" applyBorder="1" applyAlignment="1">
      <alignment horizontal="center"/>
    </xf>
    <xf numFmtId="0" fontId="0" fillId="5" borderId="0" xfId="0" applyFill="1" applyBorder="1"/>
    <xf numFmtId="4" fontId="0" fillId="5" borderId="0" xfId="0" applyNumberFormat="1" applyFill="1" applyBorder="1"/>
    <xf numFmtId="0" fontId="3" fillId="0" borderId="0" xfId="0" applyFont="1" applyFill="1" applyBorder="1"/>
    <xf numFmtId="2" fontId="0" fillId="0" borderId="0" xfId="0" applyNumberFormat="1" applyFill="1" applyBorder="1"/>
    <xf numFmtId="0" fontId="5" fillId="0" borderId="0" xfId="0" applyFont="1" applyFill="1" applyBorder="1" applyAlignment="1">
      <alignment horizontal="center"/>
    </xf>
    <xf numFmtId="2" fontId="0" fillId="5" borderId="49" xfId="0" applyNumberFormat="1" applyFill="1" applyBorder="1"/>
    <xf numFmtId="2" fontId="0" fillId="5" borderId="44" xfId="0" applyNumberFormat="1" applyFill="1" applyBorder="1"/>
    <xf numFmtId="4" fontId="0" fillId="5" borderId="61" xfId="0" applyNumberFormat="1" applyFill="1" applyBorder="1"/>
    <xf numFmtId="0" fontId="3" fillId="0" borderId="62" xfId="0" applyFont="1" applyBorder="1"/>
    <xf numFmtId="0" fontId="3" fillId="0" borderId="60" xfId="0" applyFont="1" applyBorder="1"/>
    <xf numFmtId="0" fontId="3" fillId="0" borderId="63" xfId="0" applyFont="1" applyBorder="1"/>
    <xf numFmtId="0" fontId="0" fillId="0" borderId="64" xfId="0" applyBorder="1"/>
    <xf numFmtId="0" fontId="3" fillId="5" borderId="65" xfId="0" applyFont="1" applyFill="1" applyBorder="1"/>
    <xf numFmtId="0" fontId="3" fillId="6" borderId="65" xfId="0" applyFont="1" applyFill="1" applyBorder="1"/>
    <xf numFmtId="0" fontId="3" fillId="5" borderId="66" xfId="0" applyFont="1" applyFill="1" applyBorder="1"/>
    <xf numFmtId="2" fontId="0" fillId="5" borderId="51" xfId="0" applyNumberFormat="1" applyFill="1" applyBorder="1"/>
    <xf numFmtId="2" fontId="0" fillId="5" borderId="67" xfId="0" applyNumberFormat="1" applyFill="1" applyBorder="1"/>
    <xf numFmtId="2" fontId="0" fillId="6" borderId="67" xfId="0" applyNumberFormat="1" applyFill="1" applyBorder="1"/>
    <xf numFmtId="4" fontId="0" fillId="5" borderId="53" xfId="0" applyNumberFormat="1" applyFill="1" applyBorder="1"/>
    <xf numFmtId="4" fontId="0" fillId="5" borderId="68" xfId="0" applyNumberFormat="1" applyFill="1" applyBorder="1"/>
    <xf numFmtId="2" fontId="0" fillId="5" borderId="68" xfId="0" applyNumberFormat="1" applyFill="1" applyBorder="1"/>
    <xf numFmtId="0" fontId="0" fillId="0" borderId="2" xfId="0" applyBorder="1"/>
    <xf numFmtId="0" fontId="3" fillId="5" borderId="0" xfId="0" applyFont="1" applyFill="1" applyBorder="1"/>
    <xf numFmtId="0" fontId="3" fillId="6" borderId="0" xfId="0" applyFont="1" applyFill="1" applyBorder="1"/>
    <xf numFmtId="0" fontId="3" fillId="5" borderId="43" xfId="0" applyFont="1" applyFill="1" applyBorder="1"/>
    <xf numFmtId="0" fontId="3" fillId="5" borderId="49" xfId="0" applyFont="1" applyFill="1" applyBorder="1"/>
    <xf numFmtId="164" fontId="0" fillId="0" borderId="0" xfId="1" applyNumberFormat="1" applyFont="1"/>
    <xf numFmtId="0" fontId="0" fillId="0" borderId="0" xfId="0" applyAlignment="1">
      <alignment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9" fontId="0" fillId="0" borderId="6" xfId="1" applyFont="1" applyBorder="1" applyAlignment="1">
      <alignment horizontal="center" vertical="center" wrapText="1"/>
    </xf>
    <xf numFmtId="9" fontId="0" fillId="0" borderId="2" xfId="1" applyFont="1" applyBorder="1" applyAlignment="1">
      <alignment horizontal="center" vertical="center" wrapText="1"/>
    </xf>
    <xf numFmtId="9" fontId="0" fillId="0" borderId="14" xfId="1" applyFont="1" applyBorder="1" applyAlignment="1">
      <alignment horizontal="center" vertical="center" wrapText="1"/>
    </xf>
    <xf numFmtId="9" fontId="0" fillId="0" borderId="15" xfId="1" applyFont="1" applyBorder="1" applyAlignment="1">
      <alignment horizontal="center" vertical="center" wrapText="1"/>
    </xf>
    <xf numFmtId="9" fontId="0" fillId="0" borderId="18" xfId="1" applyFont="1" applyBorder="1" applyAlignment="1">
      <alignment horizontal="center" vertical="center" wrapText="1"/>
    </xf>
    <xf numFmtId="9" fontId="0" fillId="0" borderId="19" xfId="1" applyFont="1" applyBorder="1" applyAlignment="1">
      <alignment horizontal="center" vertical="center" wrapText="1"/>
    </xf>
    <xf numFmtId="9" fontId="0" fillId="0" borderId="3" xfId="1" applyFont="1" applyBorder="1" applyAlignment="1">
      <alignment horizontal="center" vertical="center" wrapText="1"/>
    </xf>
    <xf numFmtId="9" fontId="0" fillId="0" borderId="10" xfId="1" applyFont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9" fontId="0" fillId="0" borderId="9" xfId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9" fontId="0" fillId="0" borderId="0" xfId="1" applyFont="1" applyBorder="1" applyAlignment="1">
      <alignment horizontal="center" vertical="center" wrapText="1"/>
    </xf>
    <xf numFmtId="9" fontId="0" fillId="0" borderId="8" xfId="1" applyFont="1" applyBorder="1" applyAlignment="1">
      <alignment horizontal="center" vertical="center" wrapText="1"/>
    </xf>
    <xf numFmtId="9" fontId="0" fillId="0" borderId="16" xfId="1" applyFont="1" applyBorder="1" applyAlignment="1">
      <alignment horizontal="center" vertical="center" wrapText="1"/>
    </xf>
    <xf numFmtId="9" fontId="0" fillId="0" borderId="17" xfId="1" applyFont="1" applyBorder="1" applyAlignment="1">
      <alignment horizontal="center" vertical="center" wrapText="1"/>
    </xf>
    <xf numFmtId="9" fontId="0" fillId="0" borderId="12" xfId="1" applyFont="1" applyBorder="1" applyAlignment="1">
      <alignment horizontal="center" vertical="center" wrapText="1"/>
    </xf>
    <xf numFmtId="9" fontId="0" fillId="0" borderId="13" xfId="1" applyFont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 wrapText="1"/>
    </xf>
    <xf numFmtId="9" fontId="0" fillId="0" borderId="11" xfId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5" fillId="7" borderId="39" xfId="0" applyFont="1" applyFill="1" applyBorder="1" applyAlignment="1">
      <alignment horizontal="center"/>
    </xf>
    <xf numFmtId="0" fontId="5" fillId="7" borderId="40" xfId="0" applyFont="1" applyFill="1" applyBorder="1" applyAlignment="1">
      <alignment horizontal="center"/>
    </xf>
    <xf numFmtId="0" fontId="5" fillId="7" borderId="4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8" borderId="39" xfId="0" applyFont="1" applyFill="1" applyBorder="1" applyAlignment="1">
      <alignment horizontal="center"/>
    </xf>
    <xf numFmtId="0" fontId="5" fillId="8" borderId="40" xfId="0" applyFont="1" applyFill="1" applyBorder="1" applyAlignment="1">
      <alignment horizontal="center"/>
    </xf>
    <xf numFmtId="0" fontId="5" fillId="8" borderId="41" xfId="0" applyFont="1" applyFill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51"/>
  <sheetViews>
    <sheetView topLeftCell="A2" workbookViewId="0">
      <selection activeCell="E5" sqref="E5"/>
    </sheetView>
  </sheetViews>
  <sheetFormatPr baseColWidth="10" defaultColWidth="11.42578125" defaultRowHeight="15" x14ac:dyDescent="0.25"/>
  <cols>
    <col min="1" max="2" width="16.42578125" style="1" customWidth="1"/>
    <col min="3" max="5" width="10.28515625" style="1" customWidth="1"/>
    <col min="6" max="6" width="4.7109375" style="1" customWidth="1"/>
    <col min="7" max="14" width="10.28515625" style="11" customWidth="1"/>
    <col min="15" max="15" width="4.7109375" style="1" customWidth="1"/>
    <col min="16" max="23" width="10.28515625" style="11" customWidth="1"/>
    <col min="24" max="16384" width="11.42578125" style="1"/>
  </cols>
  <sheetData>
    <row r="1" spans="1:23" ht="39.950000000000003" customHeight="1" x14ac:dyDescent="0.25">
      <c r="A1" s="66"/>
      <c r="B1" s="66"/>
      <c r="C1" s="218" t="str">
        <f>+All_Targets!B1</f>
        <v>GHG emissions (w/o LULUCF, w/o waste) - Statistics</v>
      </c>
      <c r="D1" s="219"/>
      <c r="E1" s="220"/>
      <c r="G1" s="221" t="s">
        <v>63</v>
      </c>
      <c r="H1" s="222"/>
      <c r="I1" s="222"/>
      <c r="J1" s="222"/>
      <c r="K1" s="222"/>
      <c r="L1" s="222"/>
      <c r="M1" s="222"/>
      <c r="N1" s="222"/>
      <c r="P1" s="221" t="s">
        <v>64</v>
      </c>
      <c r="Q1" s="222"/>
      <c r="R1" s="222"/>
      <c r="S1" s="222"/>
      <c r="T1" s="222"/>
      <c r="U1" s="222"/>
      <c r="V1" s="222"/>
      <c r="W1" s="222"/>
    </row>
    <row r="2" spans="1:23" ht="60" customHeight="1" x14ac:dyDescent="0.25">
      <c r="A2" s="67"/>
      <c r="B2" s="67"/>
      <c r="C2" s="94">
        <f>+All_Targets!B2</f>
        <v>1990</v>
      </c>
      <c r="D2" s="133">
        <f>+All_Targets!C2</f>
        <v>2005</v>
      </c>
      <c r="E2" s="124">
        <f>+All_Targets!D2</f>
        <v>2011</v>
      </c>
      <c r="G2" s="223" t="str">
        <f>+All_Targets!O2</f>
        <v>Targets for 2020 (compared to 1990)</v>
      </c>
      <c r="H2" s="224"/>
      <c r="I2" s="225" t="str">
        <f>+All_Targets!Q2</f>
        <v>Targets for 2030 (compared to 1990) - Proposal</v>
      </c>
      <c r="J2" s="226"/>
      <c r="K2" s="227" t="str">
        <f>+All_Targets!S2</f>
        <v>Targets for 2040 (compared to 1990) – REEEM clusters</v>
      </c>
      <c r="L2" s="228"/>
      <c r="M2" s="229" t="str">
        <f>+All_Targets!U2</f>
        <v>Targets for 2050 (compared to 1990) – REEEM clusters</v>
      </c>
      <c r="N2" s="230"/>
      <c r="P2" s="223" t="str">
        <f>+All_Targets!BB2</f>
        <v>Targets for 2020 (compared to 1990)</v>
      </c>
      <c r="Q2" s="224"/>
      <c r="R2" s="225" t="str">
        <f>+All_Targets!BD2</f>
        <v>Targets for 2030 (compared to 1990) - Proposal</v>
      </c>
      <c r="S2" s="226"/>
      <c r="T2" s="227" t="str">
        <f>+All_Targets!BF2</f>
        <v>Targets for 2040 (compared to 1990) – REEEM clusters</v>
      </c>
      <c r="U2" s="228"/>
      <c r="V2" s="229" t="str">
        <f>+All_Targets!BH2</f>
        <v>Targets for 2050 (compared to 1990) – REEEM clusters</v>
      </c>
      <c r="W2" s="230"/>
    </row>
    <row r="3" spans="1:23" ht="20.100000000000001" customHeight="1" x14ac:dyDescent="0.25">
      <c r="A3" s="68" t="str">
        <f>+All_Targets!A3</f>
        <v>EU-28 Target</v>
      </c>
      <c r="B3" s="68"/>
      <c r="C3" s="83">
        <f>+All_Targets!B3</f>
        <v>5407.223</v>
      </c>
      <c r="D3" s="115">
        <f>+All_Targets!C3</f>
        <v>5037.0798099999993</v>
      </c>
      <c r="E3" s="125">
        <f>+All_Targets!D3</f>
        <v>4473.6959458180554</v>
      </c>
      <c r="G3" s="51">
        <f>+All_Targets!O3</f>
        <v>-0.2</v>
      </c>
      <c r="H3" s="14">
        <f>+All_Targets!P3</f>
        <v>4325.7784000000001</v>
      </c>
      <c r="I3" s="53">
        <f>+All_Targets!Q3</f>
        <v>-0.4</v>
      </c>
      <c r="J3" s="23">
        <f>+All_Targets!R3</f>
        <v>3244.3337999999999</v>
      </c>
      <c r="K3" s="53">
        <f>+All_Targets!S3</f>
        <v>-0.60000000000000009</v>
      </c>
      <c r="L3" s="23">
        <f>+All_Targets!T3</f>
        <v>2162.8892000000001</v>
      </c>
      <c r="M3" s="52">
        <f>+All_Targets!U3</f>
        <v>-0.8</v>
      </c>
      <c r="N3" s="21">
        <f>+All_Targets!V3</f>
        <v>1081.4446</v>
      </c>
      <c r="P3" s="51">
        <f>+All_Targets!BB3</f>
        <v>-0.2</v>
      </c>
      <c r="Q3" s="14">
        <f>+All_Targets!BC3</f>
        <v>4325.7784000000001</v>
      </c>
      <c r="R3" s="53">
        <f>+All_Targets!BD3</f>
        <v>-0.55000000000000004</v>
      </c>
      <c r="S3" s="23">
        <f>+All_Targets!BE3</f>
        <v>2433.2503500000003</v>
      </c>
      <c r="T3" s="53">
        <f>+All_Targets!BF3</f>
        <v>-0.75</v>
      </c>
      <c r="U3" s="23">
        <f>+All_Targets!BG3</f>
        <v>1351.80575</v>
      </c>
      <c r="V3" s="52">
        <f>+All_Targets!BH3</f>
        <v>-0.95</v>
      </c>
      <c r="W3" s="21">
        <f>+All_Targets!BI3</f>
        <v>270.36115000000001</v>
      </c>
    </row>
    <row r="4" spans="1:23" ht="60" customHeight="1" x14ac:dyDescent="0.25">
      <c r="A4" s="69"/>
      <c r="B4" s="69"/>
      <c r="C4" s="92">
        <f>+All_Targets!B4</f>
        <v>1990</v>
      </c>
      <c r="D4" s="116">
        <f>+All_Targets!C4</f>
        <v>2005</v>
      </c>
      <c r="E4" s="126">
        <f>+All_Targets!D4</f>
        <v>2011</v>
      </c>
      <c r="G4" s="231" t="str">
        <f>+All_Targets!O4</f>
        <v>Targets for 2020 (compared to 2005)</v>
      </c>
      <c r="H4" s="232"/>
      <c r="I4" s="233" t="str">
        <f>+All_Targets!Q4</f>
        <v>Targets for 2030 (compared to 2005) - Proposal</v>
      </c>
      <c r="J4" s="234"/>
      <c r="K4" s="235" t="str">
        <f>+All_Targets!S4</f>
        <v>Targets for 2040 (compared to 2005) – REEEM clusters</v>
      </c>
      <c r="L4" s="236"/>
      <c r="M4" s="237" t="str">
        <f>+All_Targets!U4</f>
        <v>Targets for 2050 (compared to 2005) – REEEM clusters</v>
      </c>
      <c r="N4" s="238"/>
      <c r="P4" s="223" t="str">
        <f>+All_Targets!BB4</f>
        <v>Targets for 2020 (compared to 2005)</v>
      </c>
      <c r="Q4" s="224"/>
      <c r="R4" s="225" t="str">
        <f>+All_Targets!BD4</f>
        <v>Targets for 2030 (compared to 2005) - Proposal</v>
      </c>
      <c r="S4" s="226"/>
      <c r="T4" s="227" t="str">
        <f>+All_Targets!BF4</f>
        <v>Targets for 2040 (compared to 2005) – REEEM clusters</v>
      </c>
      <c r="U4" s="228"/>
      <c r="V4" s="229" t="str">
        <f>+All_Targets!BH4</f>
        <v>Targets for 2050 (compared to 2005) – REEEM clusters</v>
      </c>
      <c r="W4" s="230"/>
    </row>
    <row r="5" spans="1:23" ht="28.5" customHeight="1" x14ac:dyDescent="0.25">
      <c r="A5" s="70" t="str">
        <f>+All_Targets!A5</f>
        <v>EU-28 ETS w/o domestic aviation</v>
      </c>
      <c r="B5" s="70"/>
      <c r="C5" s="85"/>
      <c r="D5" s="117">
        <f>+All_Targets!C5</f>
        <v>2340.279</v>
      </c>
      <c r="E5" s="127">
        <f>+All_Targets!D5</f>
        <v>1984.4704999999999</v>
      </c>
      <c r="G5" s="51">
        <f>+All_Targets!O5</f>
        <v>-0.21</v>
      </c>
      <c r="H5" s="14">
        <f>+All_Targets!P5</f>
        <v>1848.82041</v>
      </c>
      <c r="I5" s="53">
        <f>+All_Targets!Q5</f>
        <v>-0.43</v>
      </c>
      <c r="J5" s="23">
        <f>+All_Targets!R5</f>
        <v>1333.95903</v>
      </c>
      <c r="K5" s="53">
        <f>+All_Targets!S5</f>
        <v>-0.63</v>
      </c>
      <c r="L5" s="23">
        <f>+All_Targets!T5</f>
        <v>865.90323000000001</v>
      </c>
      <c r="M5" s="52">
        <f>+All_Targets!U5</f>
        <v>-0.83</v>
      </c>
      <c r="N5" s="21">
        <f>+All_Targets!V5</f>
        <v>397.84743000000003</v>
      </c>
      <c r="P5" s="51">
        <f>+All_Targets!BB5</f>
        <v>-0.21</v>
      </c>
      <c r="Q5" s="14">
        <f>+All_Targets!BC5</f>
        <v>1848.82041</v>
      </c>
      <c r="R5" s="53">
        <f>+All_Targets!BD5</f>
        <v>-0.43</v>
      </c>
      <c r="S5" s="23">
        <f>+All_Targets!BE5</f>
        <v>1333.95903</v>
      </c>
      <c r="T5" s="53">
        <f>+All_Targets!BF5</f>
        <v>-0.63</v>
      </c>
      <c r="U5" s="23">
        <f>+All_Targets!BG5</f>
        <v>865.90323000000001</v>
      </c>
      <c r="V5" s="52">
        <f>+All_Targets!BH5</f>
        <v>-0.83</v>
      </c>
      <c r="W5" s="21">
        <f>+All_Targets!BI5</f>
        <v>397.84743000000003</v>
      </c>
    </row>
    <row r="6" spans="1:23" ht="39.950000000000003" customHeight="1" x14ac:dyDescent="0.25">
      <c r="A6" s="69"/>
      <c r="B6" s="69"/>
      <c r="C6" s="92">
        <f>+All_Targets!B6</f>
        <v>1990</v>
      </c>
      <c r="D6" s="116">
        <f>+All_Targets!C6</f>
        <v>2005</v>
      </c>
      <c r="E6" s="126">
        <f>+All_Targets!D6</f>
        <v>2011</v>
      </c>
      <c r="G6" s="231" t="str">
        <f>+All_Targets!O6</f>
        <v>Effort sharing decision (compared to 2005) (ESD)</v>
      </c>
      <c r="H6" s="232"/>
      <c r="I6" s="233" t="str">
        <f>+All_Targets!Q6</f>
        <v>Effort sharing decision (compared to 2005) (ESD)</v>
      </c>
      <c r="J6" s="234"/>
      <c r="K6" s="235" t="str">
        <f>+All_Targets!S6</f>
        <v>Effort sharing decision (compared to 2005) (ESD)</v>
      </c>
      <c r="L6" s="236"/>
      <c r="M6" s="237" t="str">
        <f>+All_Targets!U6</f>
        <v>Effort sharing decision (compared to 2005) (ESD)</v>
      </c>
      <c r="N6" s="238"/>
      <c r="P6" s="223" t="str">
        <f>+All_Targets!BB6</f>
        <v>Effort sharing decision (compared to 2005) (ESD)</v>
      </c>
      <c r="Q6" s="224"/>
      <c r="R6" s="225" t="str">
        <f>+All_Targets!BD6</f>
        <v>Effort sharing decision (compared to 2005) (ESD)</v>
      </c>
      <c r="S6" s="226"/>
      <c r="T6" s="227" t="str">
        <f>+All_Targets!BF6</f>
        <v>Effort sharing decision (compared to 2005) (ESD)</v>
      </c>
      <c r="U6" s="228"/>
      <c r="V6" s="229" t="str">
        <f>+All_Targets!BH6</f>
        <v>Effort sharing decision (compared to 2005) (ESD)</v>
      </c>
      <c r="W6" s="230"/>
    </row>
    <row r="7" spans="1:23" ht="20.100000000000001" customHeight="1" x14ac:dyDescent="0.25">
      <c r="A7" s="70" t="str">
        <f>+All_Targets!A7</f>
        <v>EU-28 Non-ETS</v>
      </c>
      <c r="B7" s="70"/>
      <c r="C7" s="86"/>
      <c r="D7" s="118">
        <f>+All_Targets!C7</f>
        <v>2696.8008099999993</v>
      </c>
      <c r="E7" s="128">
        <f>+All_Targets!D7</f>
        <v>2489.2254458180555</v>
      </c>
      <c r="G7" s="51">
        <f>+All_Targets!O7</f>
        <v>-0.09</v>
      </c>
      <c r="H7" s="14">
        <f>+All_Targets!P7</f>
        <v>2454.0889099999999</v>
      </c>
      <c r="I7" s="53">
        <f>+All_Targets!Q7</f>
        <v>-0.3</v>
      </c>
      <c r="J7" s="23">
        <f>+All_Targets!R7</f>
        <v>1887.7606999999998</v>
      </c>
      <c r="K7" s="75">
        <f>+All_Targets!S7</f>
        <v>-0.52500000000000002</v>
      </c>
      <c r="L7" s="23">
        <f>+All_Targets!T7</f>
        <v>1280.9804749999998</v>
      </c>
      <c r="M7" s="52">
        <f>+All_Targets!U7</f>
        <v>-0.75</v>
      </c>
      <c r="N7" s="21">
        <f>+All_Targets!V7</f>
        <v>674.20024999999998</v>
      </c>
      <c r="P7" s="51">
        <f>+All_Targets!BB7</f>
        <v>-0.09</v>
      </c>
      <c r="Q7" s="14">
        <f>+All_Targets!BC7</f>
        <v>2454.0889099999999</v>
      </c>
      <c r="R7" s="53">
        <f>+All_Targets!BD7</f>
        <v>-0.3</v>
      </c>
      <c r="S7" s="23">
        <f>+All_Targets!BE7</f>
        <v>1887.7606999999998</v>
      </c>
      <c r="T7" s="53">
        <f>+All_Targets!BF7</f>
        <v>-0.52500000000000002</v>
      </c>
      <c r="U7" s="23">
        <f>+All_Targets!BG7</f>
        <v>1280.9804749999998</v>
      </c>
      <c r="V7" s="52">
        <f>+All_Targets!BH7</f>
        <v>-0.75</v>
      </c>
      <c r="W7" s="21">
        <f>+All_Targets!BI7</f>
        <v>674.20024999999998</v>
      </c>
    </row>
    <row r="8" spans="1:23" ht="20.100000000000001" customHeight="1" x14ac:dyDescent="0.25">
      <c r="A8" s="140" t="str">
        <f>+All_Targets!A8</f>
        <v>France</v>
      </c>
      <c r="B8" s="84" t="str">
        <f>VLOOKUP($A8,NEWAGE_reg!$A$2:$B$29,2,FALSE)</f>
        <v>FRA</v>
      </c>
      <c r="C8" s="84"/>
      <c r="D8" s="120">
        <f>+All_Targets!C8</f>
        <v>383.22032174418473</v>
      </c>
      <c r="E8" s="129">
        <f>+All_Targets!D8</f>
        <v>350.97888858284506</v>
      </c>
      <c r="F8" s="102"/>
      <c r="G8" s="8">
        <f>+All_Targets!O8</f>
        <v>-0.14000000000000001</v>
      </c>
      <c r="H8" s="79">
        <f>+All_Targets!P8</f>
        <v>329.56947669999886</v>
      </c>
      <c r="I8" s="59">
        <f>+All_Targets!Q8</f>
        <v>-0.37</v>
      </c>
      <c r="J8" s="37">
        <f>+All_Targets!R8</f>
        <v>241.42880269883639</v>
      </c>
      <c r="K8" s="77">
        <f>+All_Targets!S8</f>
        <v>-0.58499999999999996</v>
      </c>
      <c r="L8" s="37">
        <f>+All_Targets!T8</f>
        <v>159.03643352383668</v>
      </c>
      <c r="M8" s="55">
        <f>+All_Targets!U8</f>
        <v>-0.8</v>
      </c>
      <c r="N8" s="63">
        <f>+All_Targets!V8</f>
        <v>76.644064348836935</v>
      </c>
      <c r="O8" s="102"/>
      <c r="P8" s="8">
        <f>+All_Targets!BB8</f>
        <v>-0.14000000000000001</v>
      </c>
      <c r="Q8" s="79">
        <f>+All_Targets!BC8</f>
        <v>329.56947669999886</v>
      </c>
      <c r="R8" s="59">
        <f>+All_Targets!BD8</f>
        <v>-0.37</v>
      </c>
      <c r="S8" s="37">
        <f>+All_Targets!BE8</f>
        <v>241.42880269883639</v>
      </c>
      <c r="T8" s="59">
        <f>+All_Targets!BF8</f>
        <v>-0.58499999999999996</v>
      </c>
      <c r="U8" s="37">
        <f>+All_Targets!BG8</f>
        <v>159.03643352383668</v>
      </c>
      <c r="V8" s="55">
        <f>+All_Targets!BH8</f>
        <v>-0.8</v>
      </c>
      <c r="W8" s="63">
        <f>+All_Targets!BI8</f>
        <v>76.644064348836935</v>
      </c>
    </row>
    <row r="9" spans="1:23" ht="20.100000000000001" customHeight="1" x14ac:dyDescent="0.25">
      <c r="A9" s="141" t="str">
        <f>+All_Targets!A9</f>
        <v>Portugal</v>
      </c>
      <c r="B9" s="84" t="str">
        <f>VLOOKUP($A9,NEWAGE_reg!$A$2:$B$29,2,FALSE)</f>
        <v>ESP</v>
      </c>
      <c r="C9" s="84"/>
      <c r="D9" s="119">
        <f>+All_Targets!C9</f>
        <v>40.659314179887438</v>
      </c>
      <c r="E9" s="130">
        <f>+All_Targets!D9</f>
        <v>35.957529814029442</v>
      </c>
      <c r="F9" s="102"/>
      <c r="G9" s="3">
        <f>+All_Targets!O9</f>
        <v>0.01</v>
      </c>
      <c r="H9" s="18">
        <f>+All_Targets!P9</f>
        <v>41.065907321686311</v>
      </c>
      <c r="I9" s="56">
        <f>+All_Targets!Q9</f>
        <v>-0.17</v>
      </c>
      <c r="J9" s="36">
        <f>+All_Targets!R9</f>
        <v>33.747230769306576</v>
      </c>
      <c r="K9" s="76">
        <f>+All_Targets!S9</f>
        <v>-0.48500000000000004</v>
      </c>
      <c r="L9" s="36">
        <f>+All_Targets!T9</f>
        <v>20.939546802642028</v>
      </c>
      <c r="M9" s="54">
        <f>+All_Targets!U9</f>
        <v>-0.8</v>
      </c>
      <c r="N9" s="34">
        <f>+All_Targets!V9</f>
        <v>8.1318628359774863</v>
      </c>
      <c r="O9" s="102"/>
      <c r="P9" s="3">
        <f>+All_Targets!BB9</f>
        <v>0.01</v>
      </c>
      <c r="Q9" s="18">
        <f>+All_Targets!BC9</f>
        <v>41.065907321686311</v>
      </c>
      <c r="R9" s="56">
        <f>+All_Targets!BD9</f>
        <v>-0.17</v>
      </c>
      <c r="S9" s="36">
        <f>+All_Targets!BE9</f>
        <v>33.747230769306576</v>
      </c>
      <c r="T9" s="56">
        <f>+All_Targets!BF9</f>
        <v>-0.48500000000000004</v>
      </c>
      <c r="U9" s="36">
        <f>+All_Targets!BG9</f>
        <v>20.939546802642028</v>
      </c>
      <c r="V9" s="54">
        <f>+All_Targets!BH9</f>
        <v>-0.8</v>
      </c>
      <c r="W9" s="34">
        <f>+All_Targets!BI9</f>
        <v>8.1318628359774863</v>
      </c>
    </row>
    <row r="10" spans="1:23" ht="20.100000000000001" customHeight="1" x14ac:dyDescent="0.25">
      <c r="A10" s="141" t="str">
        <f>+All_Targets!A10</f>
        <v>Spain</v>
      </c>
      <c r="B10" s="87" t="str">
        <f>VLOOKUP($A10,NEWAGE_reg!$A$2:$B$29,2,FALSE)</f>
        <v>ESP</v>
      </c>
      <c r="C10" s="87"/>
      <c r="D10" s="119">
        <f>+All_Targets!C10</f>
        <v>229.91925856501078</v>
      </c>
      <c r="E10" s="130">
        <f>+All_Targets!D10</f>
        <v>202.21095516099473</v>
      </c>
      <c r="F10" s="102"/>
      <c r="G10" s="3">
        <f>+All_Targets!O10</f>
        <v>-0.1</v>
      </c>
      <c r="H10" s="18">
        <f>+All_Targets!P10</f>
        <v>206.92733270850971</v>
      </c>
      <c r="I10" s="56">
        <f>+All_Targets!Q10</f>
        <v>-0.26</v>
      </c>
      <c r="J10" s="36">
        <f>+All_Targets!R10</f>
        <v>170.14025133810799</v>
      </c>
      <c r="K10" s="76">
        <f>+All_Targets!S10</f>
        <v>-0.53</v>
      </c>
      <c r="L10" s="36">
        <f>+All_Targets!T10</f>
        <v>108.06205152555506</v>
      </c>
      <c r="M10" s="54">
        <f>+All_Targets!U10</f>
        <v>-0.8</v>
      </c>
      <c r="N10" s="34">
        <f>+All_Targets!V10</f>
        <v>45.983851713002146</v>
      </c>
      <c r="O10" s="102"/>
      <c r="P10" s="3">
        <f>+All_Targets!BB10</f>
        <v>-0.1</v>
      </c>
      <c r="Q10" s="18">
        <f>+All_Targets!BC10</f>
        <v>206.92733270850971</v>
      </c>
      <c r="R10" s="56">
        <f>+All_Targets!BD10</f>
        <v>-0.26</v>
      </c>
      <c r="S10" s="36">
        <f>+All_Targets!BE10</f>
        <v>170.14025133810799</v>
      </c>
      <c r="T10" s="56">
        <f>+All_Targets!BF10</f>
        <v>-0.53</v>
      </c>
      <c r="U10" s="36">
        <f>+All_Targets!BG10</f>
        <v>108.06205152555506</v>
      </c>
      <c r="V10" s="54">
        <f>+All_Targets!BH10</f>
        <v>-0.8</v>
      </c>
      <c r="W10" s="34">
        <f>+All_Targets!BI10</f>
        <v>45.983851713002146</v>
      </c>
    </row>
    <row r="11" spans="1:23" ht="20.100000000000001" customHeight="1" x14ac:dyDescent="0.25">
      <c r="A11" s="141" t="str">
        <f>+All_Targets!A11</f>
        <v>Italy</v>
      </c>
      <c r="B11" s="87" t="str">
        <f>VLOOKUP($A11,NEWAGE_reg!$A$2:$B$29,2,FALSE)</f>
        <v>ITA</v>
      </c>
      <c r="C11" s="87"/>
      <c r="D11" s="119">
        <f>+All_Targets!C11</f>
        <v>317.11584594051396</v>
      </c>
      <c r="E11" s="130">
        <f>+All_Targets!D11</f>
        <v>284.2309775038301</v>
      </c>
      <c r="F11" s="102"/>
      <c r="G11" s="3">
        <f>+All_Targets!O11</f>
        <v>-0.13</v>
      </c>
      <c r="H11" s="18">
        <f>+All_Targets!P11</f>
        <v>275.89078596824714</v>
      </c>
      <c r="I11" s="56">
        <f>+All_Targets!Q11</f>
        <v>-0.33</v>
      </c>
      <c r="J11" s="36">
        <f>+All_Targets!R11</f>
        <v>212.46761678014434</v>
      </c>
      <c r="K11" s="76">
        <f>+All_Targets!S11</f>
        <v>-0.56500000000000006</v>
      </c>
      <c r="L11" s="36">
        <f>+All_Targets!T11</f>
        <v>137.94539298412354</v>
      </c>
      <c r="M11" s="54">
        <f>+All_Targets!U11</f>
        <v>-0.8</v>
      </c>
      <c r="N11" s="34">
        <f>+All_Targets!V11</f>
        <v>63.423169188102776</v>
      </c>
      <c r="O11" s="102"/>
      <c r="P11" s="3">
        <f>+All_Targets!BB11</f>
        <v>-0.13</v>
      </c>
      <c r="Q11" s="18">
        <f>+All_Targets!BC11</f>
        <v>275.89078596824714</v>
      </c>
      <c r="R11" s="56">
        <f>+All_Targets!BD11</f>
        <v>-0.33</v>
      </c>
      <c r="S11" s="36">
        <f>+All_Targets!BE11</f>
        <v>212.46761678014434</v>
      </c>
      <c r="T11" s="56">
        <f>+All_Targets!BF11</f>
        <v>-0.56500000000000006</v>
      </c>
      <c r="U11" s="36">
        <f>+All_Targets!BG11</f>
        <v>137.94539298412354</v>
      </c>
      <c r="V11" s="54">
        <f>+All_Targets!BH11</f>
        <v>-0.8</v>
      </c>
      <c r="W11" s="34">
        <f>+All_Targets!BI11</f>
        <v>63.423169188102776</v>
      </c>
    </row>
    <row r="12" spans="1:23" ht="20.100000000000001" customHeight="1" x14ac:dyDescent="0.25">
      <c r="A12" s="142" t="str">
        <f>+All_Targets!A12</f>
        <v>United Kingdom</v>
      </c>
      <c r="B12" s="84" t="str">
        <f>VLOOKUP($A12,NEWAGE_reg!$A$2:$B$29,2,FALSE)</f>
        <v>UKI</v>
      </c>
      <c r="C12" s="84"/>
      <c r="D12" s="121">
        <f>+All_Targets!C12</f>
        <v>371.25626846062266</v>
      </c>
      <c r="E12" s="131">
        <f>+All_Targets!D12</f>
        <v>318.03906884435668</v>
      </c>
      <c r="F12" s="102"/>
      <c r="G12" s="9">
        <f>+All_Targets!O12</f>
        <v>-0.16</v>
      </c>
      <c r="H12" s="80">
        <f>+All_Targets!P12</f>
        <v>311.85526550692305</v>
      </c>
      <c r="I12" s="57">
        <f>+All_Targets!Q12</f>
        <v>-0.37</v>
      </c>
      <c r="J12" s="38">
        <f>+All_Targets!R12</f>
        <v>233.89144913019229</v>
      </c>
      <c r="K12" s="78">
        <f>+All_Targets!S12</f>
        <v>-0.58499999999999996</v>
      </c>
      <c r="L12" s="38">
        <f>+All_Targets!T12</f>
        <v>154.07135141115842</v>
      </c>
      <c r="M12" s="58">
        <f>+All_Targets!U12</f>
        <v>-0.8</v>
      </c>
      <c r="N12" s="35">
        <f>+All_Targets!V12</f>
        <v>74.251253692124521</v>
      </c>
      <c r="O12" s="102"/>
      <c r="P12" s="9">
        <f>+All_Targets!BB12</f>
        <v>-0.16</v>
      </c>
      <c r="Q12" s="80">
        <f>+All_Targets!BC12</f>
        <v>311.85526550692305</v>
      </c>
      <c r="R12" s="57">
        <f>+All_Targets!BD12</f>
        <v>-0.37</v>
      </c>
      <c r="S12" s="38">
        <f>+All_Targets!BE12</f>
        <v>233.89144913019229</v>
      </c>
      <c r="T12" s="57">
        <f>+All_Targets!BF12</f>
        <v>-0.58499999999999996</v>
      </c>
      <c r="U12" s="38">
        <f>+All_Targets!BG12</f>
        <v>154.07135141115842</v>
      </c>
      <c r="V12" s="58">
        <f>+All_Targets!BH12</f>
        <v>-0.8</v>
      </c>
      <c r="W12" s="35">
        <f>+All_Targets!BI12</f>
        <v>74.251253692124521</v>
      </c>
    </row>
    <row r="13" spans="1:23" ht="20.100000000000001" customHeight="1" x14ac:dyDescent="0.25">
      <c r="A13" s="140" t="str">
        <f>+All_Targets!A13</f>
        <v>Germany</v>
      </c>
      <c r="B13" s="88" t="str">
        <f>VLOOKUP($A13,NEWAGE_reg!$A$2:$B$29,2,FALSE)</f>
        <v>DEU</v>
      </c>
      <c r="C13" s="88"/>
      <c r="D13" s="120">
        <f>+All_Targets!C13</f>
        <v>456.99798580231436</v>
      </c>
      <c r="E13" s="129">
        <f>+All_Targets!D13</f>
        <v>431.12531818257122</v>
      </c>
      <c r="F13" s="102"/>
      <c r="G13" s="8">
        <f>+All_Targets!O13</f>
        <v>-0.14000000000000001</v>
      </c>
      <c r="H13" s="79">
        <f>+All_Targets!P13</f>
        <v>393.01826778999032</v>
      </c>
      <c r="I13" s="59">
        <f>+All_Targets!Q13</f>
        <v>-0.38</v>
      </c>
      <c r="J13" s="37">
        <f>+All_Targets!R13</f>
        <v>283.33875119743487</v>
      </c>
      <c r="K13" s="77">
        <f>+All_Targets!S13</f>
        <v>-0.59000000000000008</v>
      </c>
      <c r="L13" s="37">
        <f>+All_Targets!T13</f>
        <v>187.36917417894884</v>
      </c>
      <c r="M13" s="55">
        <f>+All_Targets!U13</f>
        <v>-0.8</v>
      </c>
      <c r="N13" s="63">
        <f>+All_Targets!V13</f>
        <v>91.399597160462847</v>
      </c>
      <c r="O13" s="102"/>
      <c r="P13" s="8">
        <f>+All_Targets!BB13</f>
        <v>-0.14000000000000001</v>
      </c>
      <c r="Q13" s="79">
        <f>+All_Targets!BC13</f>
        <v>393.01826778999032</v>
      </c>
      <c r="R13" s="59">
        <f>+All_Targets!BD13</f>
        <v>-0.38</v>
      </c>
      <c r="S13" s="37">
        <f>+All_Targets!BE13</f>
        <v>283.33875119743487</v>
      </c>
      <c r="T13" s="59">
        <f>+All_Targets!BF13</f>
        <v>-0.59000000000000008</v>
      </c>
      <c r="U13" s="37">
        <f>+All_Targets!BG13</f>
        <v>187.36917417894884</v>
      </c>
      <c r="V13" s="55">
        <f>+All_Targets!BH13</f>
        <v>-0.8</v>
      </c>
      <c r="W13" s="63">
        <f>+All_Targets!BI13</f>
        <v>91.399597160462847</v>
      </c>
    </row>
    <row r="14" spans="1:23" ht="20.100000000000001" customHeight="1" x14ac:dyDescent="0.25">
      <c r="A14" s="141" t="str">
        <f>+All_Targets!A14</f>
        <v>Netherlands</v>
      </c>
      <c r="B14" s="87" t="str">
        <f>VLOOKUP($A14,NEWAGE_reg!$A$2:$B$29,2,FALSE)</f>
        <v>BNL</v>
      </c>
      <c r="C14" s="87"/>
      <c r="D14" s="119">
        <f>+All_Targets!C14</f>
        <v>116.30256458529367</v>
      </c>
      <c r="E14" s="130">
        <f>+All_Targets!D14</f>
        <v>113.25331740070762</v>
      </c>
      <c r="F14" s="102"/>
      <c r="G14" s="3">
        <f>+All_Targets!O14</f>
        <v>-0.16</v>
      </c>
      <c r="H14" s="18">
        <f>+All_Targets!P14</f>
        <v>97.69415425164668</v>
      </c>
      <c r="I14" s="56">
        <f>+All_Targets!Q14</f>
        <v>-0.36</v>
      </c>
      <c r="J14" s="36">
        <f>+All_Targets!R14</f>
        <v>74.433641334587946</v>
      </c>
      <c r="K14" s="76">
        <f>+All_Targets!S14</f>
        <v>-0.58000000000000007</v>
      </c>
      <c r="L14" s="36">
        <f>+All_Targets!T14</f>
        <v>48.847077125823333</v>
      </c>
      <c r="M14" s="54">
        <f>+All_Targets!U14</f>
        <v>-0.8</v>
      </c>
      <c r="N14" s="34">
        <f>+All_Targets!V14</f>
        <v>23.26051291705873</v>
      </c>
      <c r="O14" s="102"/>
      <c r="P14" s="3">
        <f>+All_Targets!BB14</f>
        <v>-0.16</v>
      </c>
      <c r="Q14" s="18">
        <f>+All_Targets!BC14</f>
        <v>97.69415425164668</v>
      </c>
      <c r="R14" s="56">
        <f>+All_Targets!BD14</f>
        <v>-0.36</v>
      </c>
      <c r="S14" s="36">
        <f>+All_Targets!BE14</f>
        <v>74.433641334587946</v>
      </c>
      <c r="T14" s="56">
        <f>+All_Targets!BF14</f>
        <v>-0.58000000000000007</v>
      </c>
      <c r="U14" s="36">
        <f>+All_Targets!BG14</f>
        <v>48.847077125823333</v>
      </c>
      <c r="V14" s="54">
        <f>+All_Targets!BH14</f>
        <v>-0.8</v>
      </c>
      <c r="W14" s="34">
        <f>+All_Targets!BI14</f>
        <v>23.26051291705873</v>
      </c>
    </row>
    <row r="15" spans="1:23" ht="20.100000000000001" customHeight="1" x14ac:dyDescent="0.25">
      <c r="A15" s="141" t="str">
        <f>+All_Targets!A15</f>
        <v>Belgium</v>
      </c>
      <c r="B15" s="84" t="str">
        <f>VLOOKUP($A15,NEWAGE_reg!$A$2:$B$29,2,FALSE)</f>
        <v>BNL</v>
      </c>
      <c r="C15" s="84"/>
      <c r="D15" s="119">
        <f>+All_Targets!C15</f>
        <v>76.607053547742652</v>
      </c>
      <c r="E15" s="130">
        <f>+All_Targets!D15</f>
        <v>71.89596836154935</v>
      </c>
      <c r="F15" s="102"/>
      <c r="G15" s="3">
        <f>+All_Targets!O15</f>
        <v>-0.15</v>
      </c>
      <c r="H15" s="18">
        <f>+All_Targets!P15</f>
        <v>65.115995515581247</v>
      </c>
      <c r="I15" s="56">
        <f>+All_Targets!Q15</f>
        <v>-0.35</v>
      </c>
      <c r="J15" s="36">
        <f>+All_Targets!R15</f>
        <v>49.794584806032724</v>
      </c>
      <c r="K15" s="76">
        <f>+All_Targets!S15</f>
        <v>-0.57499999999999996</v>
      </c>
      <c r="L15" s="36">
        <f>+All_Targets!T15</f>
        <v>32.557997757790631</v>
      </c>
      <c r="M15" s="54">
        <f>+All_Targets!U15</f>
        <v>-0.8</v>
      </c>
      <c r="N15" s="34">
        <f>+All_Targets!V15</f>
        <v>15.321410709548527</v>
      </c>
      <c r="O15" s="102"/>
      <c r="P15" s="3">
        <f>+All_Targets!BB15</f>
        <v>-0.15</v>
      </c>
      <c r="Q15" s="18">
        <f>+All_Targets!BC15</f>
        <v>65.115995515581247</v>
      </c>
      <c r="R15" s="56">
        <f>+All_Targets!BD15</f>
        <v>-0.35</v>
      </c>
      <c r="S15" s="36">
        <f>+All_Targets!BE15</f>
        <v>49.794584806032724</v>
      </c>
      <c r="T15" s="56">
        <f>+All_Targets!BF15</f>
        <v>-0.57499999999999996</v>
      </c>
      <c r="U15" s="36">
        <f>+All_Targets!BG15</f>
        <v>32.557997757790631</v>
      </c>
      <c r="V15" s="54">
        <f>+All_Targets!BH15</f>
        <v>-0.8</v>
      </c>
      <c r="W15" s="34">
        <f>+All_Targets!BI15</f>
        <v>15.321410709548527</v>
      </c>
    </row>
    <row r="16" spans="1:23" ht="20.100000000000001" customHeight="1" x14ac:dyDescent="0.25">
      <c r="A16" s="141" t="str">
        <f>+All_Targets!A16</f>
        <v>Luxembourg</v>
      </c>
      <c r="B16" s="87" t="str">
        <f>VLOOKUP($A16,NEWAGE_reg!$A$2:$B$29,2,FALSE)</f>
        <v>BNL</v>
      </c>
      <c r="C16" s="87"/>
      <c r="D16" s="119">
        <f>+All_Targets!C16</f>
        <v>9.985399279015807</v>
      </c>
      <c r="E16" s="130">
        <f>+All_Targets!D16</f>
        <v>9.6177830150124066</v>
      </c>
      <c r="F16" s="102"/>
      <c r="G16" s="3">
        <f>+All_Targets!O16</f>
        <v>-0.2</v>
      </c>
      <c r="H16" s="18">
        <f>+All_Targets!P16</f>
        <v>7.988319423212646</v>
      </c>
      <c r="I16" s="56">
        <f>+All_Targets!Q16</f>
        <v>-0.4</v>
      </c>
      <c r="J16" s="36">
        <f>+All_Targets!R16</f>
        <v>5.991239567409484</v>
      </c>
      <c r="K16" s="76">
        <f>+All_Targets!S16</f>
        <v>-0.60000000000000009</v>
      </c>
      <c r="L16" s="36">
        <f>+All_Targets!T16</f>
        <v>3.9941597116063221</v>
      </c>
      <c r="M16" s="54">
        <f>+All_Targets!U16</f>
        <v>-0.8</v>
      </c>
      <c r="N16" s="34">
        <f>+All_Targets!V16</f>
        <v>1.9970798558031611</v>
      </c>
      <c r="O16" s="102"/>
      <c r="P16" s="3">
        <f>+All_Targets!BB16</f>
        <v>-0.2</v>
      </c>
      <c r="Q16" s="18">
        <f>+All_Targets!BC16</f>
        <v>7.988319423212646</v>
      </c>
      <c r="R16" s="56">
        <f>+All_Targets!BD16</f>
        <v>-0.4</v>
      </c>
      <c r="S16" s="36">
        <f>+All_Targets!BE16</f>
        <v>5.991239567409484</v>
      </c>
      <c r="T16" s="56">
        <f>+All_Targets!BF16</f>
        <v>-0.60000000000000009</v>
      </c>
      <c r="U16" s="36">
        <f>+All_Targets!BG16</f>
        <v>3.9941597116063221</v>
      </c>
      <c r="V16" s="54">
        <f>+All_Targets!BH16</f>
        <v>-0.8</v>
      </c>
      <c r="W16" s="34">
        <f>+All_Targets!BI16</f>
        <v>1.9970798558031611</v>
      </c>
    </row>
    <row r="17" spans="1:27" ht="20.100000000000001" customHeight="1" x14ac:dyDescent="0.25">
      <c r="A17" s="142" t="str">
        <f>+All_Targets!A17</f>
        <v>Austria</v>
      </c>
      <c r="B17" s="89" t="str">
        <f>VLOOKUP($A17,NEWAGE_reg!$A$2:$B$29,2,FALSE)</f>
        <v>EUS</v>
      </c>
      <c r="C17" s="89"/>
      <c r="D17" s="121">
        <f>+All_Targets!C17</f>
        <v>53.582328793524319</v>
      </c>
      <c r="E17" s="131">
        <f>+All_Targets!D17</f>
        <v>47.777780236196705</v>
      </c>
      <c r="F17" s="102"/>
      <c r="G17" s="9">
        <f>+All_Targets!O17</f>
        <v>-0.16</v>
      </c>
      <c r="H17" s="80">
        <f>+All_Targets!P17</f>
        <v>45.009156186560425</v>
      </c>
      <c r="I17" s="57">
        <f>+All_Targets!Q17</f>
        <v>-0.36</v>
      </c>
      <c r="J17" s="38">
        <f>+All_Targets!R17</f>
        <v>34.292690427855568</v>
      </c>
      <c r="K17" s="78">
        <f>+All_Targets!S17</f>
        <v>-0.58000000000000007</v>
      </c>
      <c r="L17" s="38">
        <f>+All_Targets!T17</f>
        <v>22.504578093280209</v>
      </c>
      <c r="M17" s="58">
        <f>+All_Targets!U17</f>
        <v>-0.8</v>
      </c>
      <c r="N17" s="35">
        <f>+All_Targets!V17</f>
        <v>10.716465758704862</v>
      </c>
      <c r="O17" s="102"/>
      <c r="P17" s="9">
        <f>+All_Targets!BB17</f>
        <v>-0.16</v>
      </c>
      <c r="Q17" s="80">
        <f>+All_Targets!BC17</f>
        <v>45.009156186560425</v>
      </c>
      <c r="R17" s="57">
        <f>+All_Targets!BD17</f>
        <v>-0.36</v>
      </c>
      <c r="S17" s="38">
        <f>+All_Targets!BE17</f>
        <v>34.292690427855568</v>
      </c>
      <c r="T17" s="57">
        <f>+All_Targets!BF17</f>
        <v>-0.58000000000000007</v>
      </c>
      <c r="U17" s="38">
        <f>+All_Targets!BG17</f>
        <v>22.504578093280209</v>
      </c>
      <c r="V17" s="58">
        <f>+All_Targets!BH17</f>
        <v>-0.8</v>
      </c>
      <c r="W17" s="35">
        <f>+All_Targets!BI17</f>
        <v>10.716465758704862</v>
      </c>
    </row>
    <row r="18" spans="1:27" ht="20.100000000000001" customHeight="1" x14ac:dyDescent="0.25">
      <c r="A18" s="140" t="str">
        <f>+All_Targets!A18</f>
        <v>Denmark</v>
      </c>
      <c r="B18" s="84" t="str">
        <f>VLOOKUP($A18,NEWAGE_reg!$A$2:$B$29,2,FALSE)</f>
        <v>EUN</v>
      </c>
      <c r="C18" s="84"/>
      <c r="D18" s="120">
        <f>+All_Targets!C18</f>
        <v>39.801665551912635</v>
      </c>
      <c r="E18" s="129">
        <f>+All_Targets!D18</f>
        <v>36.801632903157156</v>
      </c>
      <c r="F18" s="102"/>
      <c r="G18" s="8">
        <f>+All_Targets!O18</f>
        <v>-0.2</v>
      </c>
      <c r="H18" s="79">
        <f>+All_Targets!P18</f>
        <v>31.84133244153011</v>
      </c>
      <c r="I18" s="59">
        <f>+All_Targets!Q18</f>
        <v>-0.39</v>
      </c>
      <c r="J18" s="37">
        <f>+All_Targets!R18</f>
        <v>24.279015986666707</v>
      </c>
      <c r="K18" s="77">
        <f>+All_Targets!S18</f>
        <v>-0.59499999999999997</v>
      </c>
      <c r="L18" s="37">
        <f>+All_Targets!T18</f>
        <v>16.119674548524618</v>
      </c>
      <c r="M18" s="55">
        <f>+All_Targets!U18</f>
        <v>-0.8</v>
      </c>
      <c r="N18" s="63">
        <f>+All_Targets!V18</f>
        <v>7.9603331103825248</v>
      </c>
      <c r="O18" s="102"/>
      <c r="P18" s="8">
        <f>+All_Targets!BB18</f>
        <v>-0.2</v>
      </c>
      <c r="Q18" s="79">
        <f>+All_Targets!BC18</f>
        <v>31.84133244153011</v>
      </c>
      <c r="R18" s="59">
        <f>+All_Targets!BD18</f>
        <v>-0.39</v>
      </c>
      <c r="S18" s="37">
        <f>+All_Targets!BE18</f>
        <v>24.279015986666707</v>
      </c>
      <c r="T18" s="59">
        <f>+All_Targets!BF18</f>
        <v>-0.59499999999999997</v>
      </c>
      <c r="U18" s="37">
        <f>+All_Targets!BG18</f>
        <v>16.119674548524618</v>
      </c>
      <c r="V18" s="55">
        <f>+All_Targets!BH18</f>
        <v>-0.8</v>
      </c>
      <c r="W18" s="63">
        <f>+All_Targets!BI18</f>
        <v>7.9603331103825248</v>
      </c>
    </row>
    <row r="19" spans="1:27" ht="20.100000000000001" customHeight="1" x14ac:dyDescent="0.25">
      <c r="A19" s="141" t="str">
        <f>+All_Targets!A19</f>
        <v>Sweden</v>
      </c>
      <c r="B19" s="87" t="str">
        <f>VLOOKUP($A19,NEWAGE_reg!$A$2:$B$29,2,FALSE)</f>
        <v>EUN</v>
      </c>
      <c r="C19" s="87"/>
      <c r="D19" s="119">
        <f>+All_Targets!C19</f>
        <v>40.467587669330513</v>
      </c>
      <c r="E19" s="130">
        <f>+All_Targets!D19</f>
        <v>36.733008911579802</v>
      </c>
      <c r="F19" s="102"/>
      <c r="G19" s="3">
        <f>+All_Targets!O19</f>
        <v>-0.17</v>
      </c>
      <c r="H19" s="18">
        <f>+All_Targets!P19</f>
        <v>33.588097765544326</v>
      </c>
      <c r="I19" s="56">
        <f>+All_Targets!Q19</f>
        <v>-0.4</v>
      </c>
      <c r="J19" s="36">
        <f>+All_Targets!R19</f>
        <v>24.280552601598306</v>
      </c>
      <c r="K19" s="76">
        <f>+All_Targets!S19</f>
        <v>-0.60000000000000009</v>
      </c>
      <c r="L19" s="36">
        <f>+All_Targets!T19</f>
        <v>16.1870350677322</v>
      </c>
      <c r="M19" s="54">
        <f>+All_Targets!U19</f>
        <v>-0.8</v>
      </c>
      <c r="N19" s="34">
        <f>+All_Targets!V19</f>
        <v>8.0935175338661001</v>
      </c>
      <c r="O19" s="102"/>
      <c r="P19" s="3">
        <f>+All_Targets!BB19</f>
        <v>-0.17</v>
      </c>
      <c r="Q19" s="18">
        <f>+All_Targets!BC19</f>
        <v>33.588097765544326</v>
      </c>
      <c r="R19" s="56">
        <f>+All_Targets!BD19</f>
        <v>-0.4</v>
      </c>
      <c r="S19" s="36">
        <f>+All_Targets!BE19</f>
        <v>24.280552601598306</v>
      </c>
      <c r="T19" s="56">
        <f>+All_Targets!BF19</f>
        <v>-0.60000000000000009</v>
      </c>
      <c r="U19" s="36">
        <f>+All_Targets!BG19</f>
        <v>16.1870350677322</v>
      </c>
      <c r="V19" s="54">
        <f>+All_Targets!BH19</f>
        <v>-0.8</v>
      </c>
      <c r="W19" s="34">
        <f>+All_Targets!BI19</f>
        <v>8.0935175338661001</v>
      </c>
    </row>
    <row r="20" spans="1:27" ht="20.100000000000001" customHeight="1" x14ac:dyDescent="0.25">
      <c r="A20" s="141" t="str">
        <f>+All_Targets!A20</f>
        <v>Finland</v>
      </c>
      <c r="B20" s="87" t="str">
        <f>VLOOKUP($A20,NEWAGE_reg!$A$2:$B$29,2,FALSE)</f>
        <v>EUN</v>
      </c>
      <c r="C20" s="87"/>
      <c r="D20" s="119">
        <f>+All_Targets!C20</f>
        <v>31.398727361953377</v>
      </c>
      <c r="E20" s="130">
        <f>+All_Targets!D20</f>
        <v>29.701056281896527</v>
      </c>
      <c r="F20" s="102"/>
      <c r="G20" s="3">
        <f>+All_Targets!O20</f>
        <v>-0.16</v>
      </c>
      <c r="H20" s="18">
        <f>+All_Targets!P20</f>
        <v>26.374930984040834</v>
      </c>
      <c r="I20" s="56">
        <f>+All_Targets!Q20</f>
        <v>-0.39</v>
      </c>
      <c r="J20" s="36">
        <f>+All_Targets!R20</f>
        <v>19.15322369079156</v>
      </c>
      <c r="K20" s="76">
        <f>+All_Targets!S20</f>
        <v>-0.59499999999999997</v>
      </c>
      <c r="L20" s="36">
        <f>+All_Targets!T20</f>
        <v>12.716484581591118</v>
      </c>
      <c r="M20" s="54">
        <f>+All_Targets!U20</f>
        <v>-0.8</v>
      </c>
      <c r="N20" s="34">
        <f>+All_Targets!V20</f>
        <v>6.2797454723906743</v>
      </c>
      <c r="O20" s="102"/>
      <c r="P20" s="3">
        <f>+All_Targets!BB20</f>
        <v>-0.16</v>
      </c>
      <c r="Q20" s="18">
        <f>+All_Targets!BC20</f>
        <v>26.374930984040834</v>
      </c>
      <c r="R20" s="56">
        <f>+All_Targets!BD20</f>
        <v>-0.39</v>
      </c>
      <c r="S20" s="36">
        <f>+All_Targets!BE20</f>
        <v>19.15322369079156</v>
      </c>
      <c r="T20" s="56">
        <f>+All_Targets!BF20</f>
        <v>-0.59499999999999997</v>
      </c>
      <c r="U20" s="36">
        <f>+All_Targets!BG20</f>
        <v>12.716484581591118</v>
      </c>
      <c r="V20" s="54">
        <f>+All_Targets!BH20</f>
        <v>-0.8</v>
      </c>
      <c r="W20" s="34">
        <f>+All_Targets!BI20</f>
        <v>6.2797454723906743</v>
      </c>
    </row>
    <row r="21" spans="1:27" ht="20.100000000000001" customHeight="1" x14ac:dyDescent="0.25">
      <c r="A21" s="142" t="str">
        <f>+All_Targets!A21</f>
        <v>Ireland</v>
      </c>
      <c r="B21" s="84" t="str">
        <f>VLOOKUP($A21,NEWAGE_reg!$A$2:$B$29,2,FALSE)</f>
        <v>EUN</v>
      </c>
      <c r="C21" s="84"/>
      <c r="D21" s="121">
        <f>+All_Targets!C21</f>
        <v>45.62653870030416</v>
      </c>
      <c r="E21" s="131">
        <f>+All_Targets!D21</f>
        <v>40.447127860377904</v>
      </c>
      <c r="F21" s="102"/>
      <c r="G21" s="9">
        <f>+All_Targets!O21</f>
        <v>-0.2</v>
      </c>
      <c r="H21" s="80">
        <f>+All_Targets!P21</f>
        <v>36.501230960243326</v>
      </c>
      <c r="I21" s="57">
        <f>+All_Targets!Q21</f>
        <v>-0.3</v>
      </c>
      <c r="J21" s="38">
        <f>+All_Targets!R21</f>
        <v>31.93857709021291</v>
      </c>
      <c r="K21" s="78">
        <f>+All_Targets!S21</f>
        <v>-0.55000000000000004</v>
      </c>
      <c r="L21" s="38">
        <f>+All_Targets!T21</f>
        <v>20.531942415136871</v>
      </c>
      <c r="M21" s="58">
        <f>+All_Targets!U21</f>
        <v>-0.8</v>
      </c>
      <c r="N21" s="35">
        <f>+All_Targets!V21</f>
        <v>9.1253077400608298</v>
      </c>
      <c r="O21" s="102"/>
      <c r="P21" s="9">
        <f>+All_Targets!BB21</f>
        <v>-0.2</v>
      </c>
      <c r="Q21" s="80">
        <f>+All_Targets!BC21</f>
        <v>36.501230960243326</v>
      </c>
      <c r="R21" s="57">
        <f>+All_Targets!BD21</f>
        <v>-0.3</v>
      </c>
      <c r="S21" s="38">
        <f>+All_Targets!BE21</f>
        <v>31.93857709021291</v>
      </c>
      <c r="T21" s="57">
        <f>+All_Targets!BF21</f>
        <v>-0.55000000000000004</v>
      </c>
      <c r="U21" s="38">
        <f>+All_Targets!BG21</f>
        <v>20.531942415136871</v>
      </c>
      <c r="V21" s="58">
        <f>+All_Targets!BH21</f>
        <v>-0.8</v>
      </c>
      <c r="W21" s="35">
        <f>+All_Targets!BI21</f>
        <v>9.1253077400608298</v>
      </c>
    </row>
    <row r="22" spans="1:27" ht="20.100000000000001" customHeight="1" x14ac:dyDescent="0.25">
      <c r="A22" s="140" t="str">
        <f>+All_Targets!A22</f>
        <v>Poland</v>
      </c>
      <c r="B22" s="88" t="str">
        <f>VLOOKUP($A22,NEWAGE_reg!$A$2:$B$29,2,FALSE)</f>
        <v>POL</v>
      </c>
      <c r="C22" s="88"/>
      <c r="D22" s="120">
        <f>+All_Targets!C22</f>
        <v>166.07615926386504</v>
      </c>
      <c r="E22" s="129">
        <f>+All_Targets!D22</f>
        <v>184.75146052804283</v>
      </c>
      <c r="F22" s="102"/>
      <c r="G22" s="8">
        <f>+All_Targets!O22</f>
        <v>0.14000000000000001</v>
      </c>
      <c r="H22" s="79">
        <f>+All_Targets!P22</f>
        <v>189.32682156080617</v>
      </c>
      <c r="I22" s="59">
        <f>+All_Targets!Q22</f>
        <v>-7.0000000000000007E-2</v>
      </c>
      <c r="J22" s="37">
        <f>+All_Targets!R22</f>
        <v>154.45082811539447</v>
      </c>
      <c r="K22" s="77">
        <f>+All_Targets!S22</f>
        <v>-0.28500000000000003</v>
      </c>
      <c r="L22" s="37">
        <f>+All_Targets!T22</f>
        <v>118.7444538736635</v>
      </c>
      <c r="M22" s="55">
        <f>+All_Targets!U22</f>
        <v>-0.5</v>
      </c>
      <c r="N22" s="63">
        <f>+All_Targets!V22</f>
        <v>83.038079631932519</v>
      </c>
      <c r="O22" s="102"/>
      <c r="P22" s="8">
        <f>+All_Targets!BB22</f>
        <v>0.14000000000000001</v>
      </c>
      <c r="Q22" s="79">
        <f>+All_Targets!BC22</f>
        <v>189.32682156080617</v>
      </c>
      <c r="R22" s="59">
        <f>+All_Targets!BD22</f>
        <v>-7.0000000000000007E-2</v>
      </c>
      <c r="S22" s="37">
        <f>+All_Targets!BE22</f>
        <v>154.45082811539447</v>
      </c>
      <c r="T22" s="59">
        <f>+All_Targets!BF22</f>
        <v>-0.28500000000000003</v>
      </c>
      <c r="U22" s="37">
        <f>+All_Targets!BG22</f>
        <v>118.7444538736635</v>
      </c>
      <c r="V22" s="55">
        <f>+All_Targets!BH22</f>
        <v>-0.5</v>
      </c>
      <c r="W22" s="63">
        <f>+All_Targets!BI22</f>
        <v>83.038079631932519</v>
      </c>
      <c r="X22" s="102"/>
      <c r="Y22" s="102"/>
      <c r="Z22" s="102"/>
      <c r="AA22" s="102"/>
    </row>
    <row r="23" spans="1:27" ht="20.100000000000001" customHeight="1" x14ac:dyDescent="0.25">
      <c r="A23" s="142" t="str">
        <f>+All_Targets!A23</f>
        <v>Czech Republic</v>
      </c>
      <c r="B23" s="89" t="str">
        <f>VLOOKUP($A23,NEWAGE_reg!$A$2:$B$29,2,FALSE)</f>
        <v>EUS</v>
      </c>
      <c r="C23" s="89"/>
      <c r="D23" s="121">
        <f>+All_Targets!C23</f>
        <v>57.484230052062543</v>
      </c>
      <c r="E23" s="131">
        <f>+All_Targets!D23</f>
        <v>56.367440459263037</v>
      </c>
      <c r="F23" s="102"/>
      <c r="G23" s="9">
        <f>+All_Targets!O23</f>
        <v>0.09</v>
      </c>
      <c r="H23" s="80">
        <f>+All_Targets!P23</f>
        <v>62.657810756748177</v>
      </c>
      <c r="I23" s="57">
        <f>+All_Targets!Q23</f>
        <v>-0.14000000000000001</v>
      </c>
      <c r="J23" s="38">
        <f>+All_Targets!R23</f>
        <v>49.436437844773785</v>
      </c>
      <c r="K23" s="78">
        <f>+All_Targets!S23</f>
        <v>-0.32</v>
      </c>
      <c r="L23" s="38">
        <f>+All_Targets!T23</f>
        <v>39.089276435402525</v>
      </c>
      <c r="M23" s="58">
        <f>+All_Targets!U23</f>
        <v>-0.5</v>
      </c>
      <c r="N23" s="35">
        <f>+All_Targets!V23</f>
        <v>28.742115026031271</v>
      </c>
      <c r="O23" s="102"/>
      <c r="P23" s="9">
        <f>+All_Targets!BB23</f>
        <v>0.09</v>
      </c>
      <c r="Q23" s="80">
        <f>+All_Targets!BC23</f>
        <v>62.657810756748177</v>
      </c>
      <c r="R23" s="57">
        <f>+All_Targets!BD23</f>
        <v>-0.14000000000000001</v>
      </c>
      <c r="S23" s="38">
        <f>+All_Targets!BE23</f>
        <v>49.436437844773785</v>
      </c>
      <c r="T23" s="57">
        <f>+All_Targets!BF23</f>
        <v>-0.32</v>
      </c>
      <c r="U23" s="38">
        <f>+All_Targets!BG23</f>
        <v>39.089276435402525</v>
      </c>
      <c r="V23" s="58">
        <f>+All_Targets!BH23</f>
        <v>-0.5</v>
      </c>
      <c r="W23" s="35">
        <f>+All_Targets!BI23</f>
        <v>28.742115026031271</v>
      </c>
      <c r="X23" s="102"/>
      <c r="Y23" s="102"/>
      <c r="Z23" s="102"/>
      <c r="AA23" s="102"/>
    </row>
    <row r="24" spans="1:27" ht="20.100000000000001" customHeight="1" x14ac:dyDescent="0.25">
      <c r="A24" s="140" t="str">
        <f>+All_Targets!A24</f>
        <v>Bulgaria</v>
      </c>
      <c r="B24" s="84" t="str">
        <f>VLOOKUP($A24,NEWAGE_reg!$A$2:$B$29,2,FALSE)</f>
        <v>EUS</v>
      </c>
      <c r="C24" s="84"/>
      <c r="D24" s="120">
        <f>+All_Targets!C24</f>
        <v>20.830823571011379</v>
      </c>
      <c r="E24" s="129">
        <f>+All_Targets!D24</f>
        <v>19.953049173648814</v>
      </c>
      <c r="F24" s="102"/>
      <c r="G24" s="8">
        <f>+All_Targets!O24</f>
        <v>0.2</v>
      </c>
      <c r="H24" s="79">
        <f>+All_Targets!P24</f>
        <v>24.996988285213654</v>
      </c>
      <c r="I24" s="59">
        <f>+All_Targets!Q24</f>
        <v>0</v>
      </c>
      <c r="J24" s="37">
        <f>+All_Targets!R24</f>
        <v>20.830823571011379</v>
      </c>
      <c r="K24" s="77">
        <f>+All_Targets!S24</f>
        <v>-0.3</v>
      </c>
      <c r="L24" s="37">
        <f>+All_Targets!T24</f>
        <v>14.581576499707964</v>
      </c>
      <c r="M24" s="55">
        <f>+All_Targets!U24</f>
        <v>-0.6</v>
      </c>
      <c r="N24" s="63">
        <f>+All_Targets!V24</f>
        <v>8.3323294284045524</v>
      </c>
      <c r="O24" s="102"/>
      <c r="P24" s="8">
        <f>+All_Targets!BB24</f>
        <v>0.2</v>
      </c>
      <c r="Q24" s="79">
        <f>+All_Targets!BC24</f>
        <v>24.996988285213654</v>
      </c>
      <c r="R24" s="59">
        <f>+All_Targets!BD24</f>
        <v>0</v>
      </c>
      <c r="S24" s="37">
        <f>+All_Targets!BE24</f>
        <v>20.830823571011379</v>
      </c>
      <c r="T24" s="59">
        <f>+All_Targets!BF24</f>
        <v>-0.3</v>
      </c>
      <c r="U24" s="37">
        <f>+All_Targets!BG24</f>
        <v>14.581576499707964</v>
      </c>
      <c r="V24" s="55">
        <f>+All_Targets!BH24</f>
        <v>-0.6</v>
      </c>
      <c r="W24" s="63">
        <f>+All_Targets!BI24</f>
        <v>8.3323294284045524</v>
      </c>
      <c r="X24" s="102"/>
      <c r="Y24" s="102"/>
    </row>
    <row r="25" spans="1:27" ht="20.100000000000001" customHeight="1" x14ac:dyDescent="0.25">
      <c r="A25" s="141" t="str">
        <f>+All_Targets!A25</f>
        <v>Romania</v>
      </c>
      <c r="B25" s="87" t="str">
        <f>VLOOKUP($A25,NEWAGE_reg!$A$2:$B$29,2,FALSE)</f>
        <v>EUS</v>
      </c>
      <c r="C25" s="87"/>
      <c r="D25" s="119">
        <f>+All_Targets!C25</f>
        <v>73.89858291234539</v>
      </c>
      <c r="E25" s="130">
        <f>+All_Targets!D25</f>
        <v>65.68525005557116</v>
      </c>
      <c r="F25" s="102"/>
      <c r="G25" s="3">
        <f>+All_Targets!O25</f>
        <v>0.19</v>
      </c>
      <c r="H25" s="18">
        <f>+All_Targets!P25</f>
        <v>87.939313665691003</v>
      </c>
      <c r="I25" s="56">
        <f>+All_Targets!Q25</f>
        <v>-0.02</v>
      </c>
      <c r="J25" s="36">
        <f>+All_Targets!R25</f>
        <v>72.420611254098475</v>
      </c>
      <c r="K25" s="76">
        <f>+All_Targets!S25</f>
        <v>-0.31</v>
      </c>
      <c r="L25" s="36">
        <f>+All_Targets!T25</f>
        <v>50.990022209518315</v>
      </c>
      <c r="M25" s="54">
        <f>+All_Targets!U25</f>
        <v>-0.6</v>
      </c>
      <c r="N25" s="34">
        <f>+All_Targets!V25</f>
        <v>29.559433164938156</v>
      </c>
      <c r="O25" s="102"/>
      <c r="P25" s="3">
        <f>+All_Targets!BB25</f>
        <v>0.19</v>
      </c>
      <c r="Q25" s="18">
        <f>+All_Targets!BC25</f>
        <v>87.939313665691003</v>
      </c>
      <c r="R25" s="56">
        <f>+All_Targets!BD25</f>
        <v>-0.02</v>
      </c>
      <c r="S25" s="36">
        <f>+All_Targets!BE25</f>
        <v>72.420611254098475</v>
      </c>
      <c r="T25" s="56">
        <f>+All_Targets!BF25</f>
        <v>-0.31</v>
      </c>
      <c r="U25" s="36">
        <f>+All_Targets!BG25</f>
        <v>50.990022209518315</v>
      </c>
      <c r="V25" s="54">
        <f>+All_Targets!BH25</f>
        <v>-0.6</v>
      </c>
      <c r="W25" s="34">
        <f>+All_Targets!BI25</f>
        <v>29.559433164938156</v>
      </c>
      <c r="X25" s="102"/>
      <c r="Y25" s="102"/>
    </row>
    <row r="26" spans="1:27" ht="20.100000000000001" customHeight="1" x14ac:dyDescent="0.25">
      <c r="A26" s="141" t="str">
        <f>+All_Targets!A26</f>
        <v>Estonia</v>
      </c>
      <c r="B26" s="87" t="str">
        <f>VLOOKUP($A26,NEWAGE_reg!$A$2:$B$29,2,FALSE)</f>
        <v>EUN</v>
      </c>
      <c r="C26" s="87"/>
      <c r="D26" s="119">
        <f>+All_Targets!C26</f>
        <v>5.6278485342273434</v>
      </c>
      <c r="E26" s="130">
        <f>+All_Targets!D26</f>
        <v>5.7922263292033165</v>
      </c>
      <c r="F26" s="102"/>
      <c r="G26" s="3">
        <f>+All_Targets!O26</f>
        <v>0.11</v>
      </c>
      <c r="H26" s="18">
        <f>+All_Targets!P26</f>
        <v>6.2469118729923521</v>
      </c>
      <c r="I26" s="56">
        <f>+All_Targets!Q26</f>
        <v>-0.13</v>
      </c>
      <c r="J26" s="36">
        <f>+All_Targets!R26</f>
        <v>4.8962282247777891</v>
      </c>
      <c r="K26" s="76">
        <f>+All_Targets!S26</f>
        <v>-0.36499999999999999</v>
      </c>
      <c r="L26" s="36">
        <f>+All_Targets!T26</f>
        <v>3.573683819234363</v>
      </c>
      <c r="M26" s="54">
        <f>+All_Targets!U26</f>
        <v>-0.6</v>
      </c>
      <c r="N26" s="34">
        <f>+All_Targets!V26</f>
        <v>2.2511394136909373</v>
      </c>
      <c r="O26" s="102"/>
      <c r="P26" s="3">
        <f>+All_Targets!BB26</f>
        <v>0.11</v>
      </c>
      <c r="Q26" s="18">
        <f>+All_Targets!BC26</f>
        <v>6.2469118729923521</v>
      </c>
      <c r="R26" s="56">
        <f>+All_Targets!BD26</f>
        <v>-0.13</v>
      </c>
      <c r="S26" s="36">
        <f>+All_Targets!BE26</f>
        <v>4.8962282247777891</v>
      </c>
      <c r="T26" s="56">
        <f>+All_Targets!BF26</f>
        <v>-0.36499999999999999</v>
      </c>
      <c r="U26" s="36">
        <f>+All_Targets!BG26</f>
        <v>3.573683819234363</v>
      </c>
      <c r="V26" s="54">
        <f>+All_Targets!BH26</f>
        <v>-0.6</v>
      </c>
      <c r="W26" s="34">
        <f>+All_Targets!BI26</f>
        <v>2.2511394136909373</v>
      </c>
      <c r="X26" s="102"/>
      <c r="Y26" s="102"/>
    </row>
    <row r="27" spans="1:27" ht="20.100000000000001" customHeight="1" x14ac:dyDescent="0.25">
      <c r="A27" s="141" t="str">
        <f>+All_Targets!A27</f>
        <v>Latvia</v>
      </c>
      <c r="B27" s="84" t="str">
        <f>VLOOKUP($A27,NEWAGE_reg!$A$2:$B$29,2,FALSE)</f>
        <v>EUN</v>
      </c>
      <c r="C27" s="84"/>
      <c r="D27" s="119">
        <f>+All_Targets!C27</f>
        <v>7.9014963740883175</v>
      </c>
      <c r="E27" s="130">
        <f>+All_Targets!D27</f>
        <v>7.9086956528118382</v>
      </c>
      <c r="F27" s="102"/>
      <c r="G27" s="3">
        <f>+All_Targets!O27</f>
        <v>0.17</v>
      </c>
      <c r="H27" s="18">
        <f>+All_Targets!P27</f>
        <v>9.244750757683331</v>
      </c>
      <c r="I27" s="56">
        <f>+All_Targets!Q27</f>
        <v>-0.06</v>
      </c>
      <c r="J27" s="36">
        <f>+All_Targets!R27</f>
        <v>7.4274065916430176</v>
      </c>
      <c r="K27" s="76">
        <f>+All_Targets!S27</f>
        <v>-0.32999999999999996</v>
      </c>
      <c r="L27" s="36">
        <f>+All_Targets!T27</f>
        <v>5.2940025706391731</v>
      </c>
      <c r="M27" s="54">
        <f>+All_Targets!U27</f>
        <v>-0.6</v>
      </c>
      <c r="N27" s="34">
        <f>+All_Targets!V27</f>
        <v>3.1605985496353273</v>
      </c>
      <c r="O27" s="102"/>
      <c r="P27" s="3">
        <f>+All_Targets!BB27</f>
        <v>0.17</v>
      </c>
      <c r="Q27" s="18">
        <f>+All_Targets!BC27</f>
        <v>9.244750757683331</v>
      </c>
      <c r="R27" s="56">
        <f>+All_Targets!BD27</f>
        <v>-0.06</v>
      </c>
      <c r="S27" s="36">
        <f>+All_Targets!BE27</f>
        <v>7.4274065916430176</v>
      </c>
      <c r="T27" s="56">
        <f>+All_Targets!BF27</f>
        <v>-0.32999999999999996</v>
      </c>
      <c r="U27" s="36">
        <f>+All_Targets!BG27</f>
        <v>5.2940025706391731</v>
      </c>
      <c r="V27" s="54">
        <f>+All_Targets!BH27</f>
        <v>-0.6</v>
      </c>
      <c r="W27" s="34">
        <f>+All_Targets!BI27</f>
        <v>3.1605985496353273</v>
      </c>
      <c r="X27" s="102"/>
      <c r="Y27" s="102"/>
    </row>
    <row r="28" spans="1:27" ht="20.100000000000001" customHeight="1" x14ac:dyDescent="0.25">
      <c r="A28" s="141" t="str">
        <f>+All_Targets!A28</f>
        <v>Lithuania</v>
      </c>
      <c r="B28" s="87" t="str">
        <f>VLOOKUP($A28,NEWAGE_reg!$A$2:$B$29,2,FALSE)</f>
        <v>EUN</v>
      </c>
      <c r="C28" s="87"/>
      <c r="D28" s="119">
        <f>+All_Targets!C28</f>
        <v>9.784675006818631</v>
      </c>
      <c r="E28" s="130">
        <f>+All_Targets!D28</f>
        <v>11.44006889823387</v>
      </c>
      <c r="F28" s="102"/>
      <c r="G28" s="3">
        <f>+All_Targets!O28</f>
        <v>0.15</v>
      </c>
      <c r="H28" s="18">
        <f>+All_Targets!P28</f>
        <v>11.252376257841425</v>
      </c>
      <c r="I28" s="56">
        <f>+All_Targets!Q28</f>
        <v>-0.09</v>
      </c>
      <c r="J28" s="36">
        <f>+All_Targets!R28</f>
        <v>8.9040542562049545</v>
      </c>
      <c r="K28" s="76">
        <f>+All_Targets!S28</f>
        <v>-0.34499999999999997</v>
      </c>
      <c r="L28" s="36">
        <f>+All_Targets!T28</f>
        <v>6.4089621294662038</v>
      </c>
      <c r="M28" s="54">
        <f>+All_Targets!U28</f>
        <v>-0.6</v>
      </c>
      <c r="N28" s="34">
        <f>+All_Targets!V28</f>
        <v>3.9138700027274527</v>
      </c>
      <c r="O28" s="102"/>
      <c r="P28" s="3">
        <f>+All_Targets!BB28</f>
        <v>0.15</v>
      </c>
      <c r="Q28" s="18">
        <f>+All_Targets!BC28</f>
        <v>11.252376257841425</v>
      </c>
      <c r="R28" s="56">
        <f>+All_Targets!BD28</f>
        <v>-0.09</v>
      </c>
      <c r="S28" s="36">
        <f>+All_Targets!BE28</f>
        <v>8.9040542562049545</v>
      </c>
      <c r="T28" s="56">
        <f>+All_Targets!BF28</f>
        <v>-0.34499999999999997</v>
      </c>
      <c r="U28" s="36">
        <f>+All_Targets!BG28</f>
        <v>6.4089621294662038</v>
      </c>
      <c r="V28" s="54">
        <f>+All_Targets!BH28</f>
        <v>-0.6</v>
      </c>
      <c r="W28" s="34">
        <f>+All_Targets!BI28</f>
        <v>3.9138700027274527</v>
      </c>
      <c r="X28" s="102"/>
      <c r="Y28" s="102"/>
    </row>
    <row r="29" spans="1:27" ht="20.100000000000001" customHeight="1" x14ac:dyDescent="0.25">
      <c r="A29" s="141" t="str">
        <f>+All_Targets!A29</f>
        <v>Croatia</v>
      </c>
      <c r="B29" s="87" t="str">
        <f>VLOOKUP($A29,NEWAGE_reg!$A$2:$B$29,2,FALSE)</f>
        <v>EUS</v>
      </c>
      <c r="C29" s="87"/>
      <c r="D29" s="119">
        <f>+All_Targets!C29</f>
        <v>15.975884936738568</v>
      </c>
      <c r="E29" s="130">
        <f>+All_Targets!D29</f>
        <v>15.346253614104931</v>
      </c>
      <c r="F29" s="102"/>
      <c r="G29" s="3">
        <f>+All_Targets!O29</f>
        <v>0.11</v>
      </c>
      <c r="H29" s="18">
        <f>+All_Targets!P29</f>
        <v>17.733232279779813</v>
      </c>
      <c r="I29" s="56">
        <f>+All_Targets!Q29</f>
        <v>-7.0000000000000007E-2</v>
      </c>
      <c r="J29" s="36">
        <f>+All_Targets!R29</f>
        <v>14.857572991166867</v>
      </c>
      <c r="K29" s="76">
        <f>+All_Targets!S29</f>
        <v>-0.33499999999999996</v>
      </c>
      <c r="L29" s="36">
        <f>+All_Targets!T29</f>
        <v>10.623963482931149</v>
      </c>
      <c r="M29" s="54">
        <f>+All_Targets!U29</f>
        <v>-0.6</v>
      </c>
      <c r="N29" s="34">
        <f>+All_Targets!V29</f>
        <v>6.3903539746954277</v>
      </c>
      <c r="O29" s="102"/>
      <c r="P29" s="3">
        <f>+All_Targets!BB29</f>
        <v>0.11</v>
      </c>
      <c r="Q29" s="18">
        <f>+All_Targets!BC29</f>
        <v>17.733232279779813</v>
      </c>
      <c r="R29" s="56">
        <f>+All_Targets!BD29</f>
        <v>-7.0000000000000007E-2</v>
      </c>
      <c r="S29" s="36">
        <f>+All_Targets!BE29</f>
        <v>14.857572991166867</v>
      </c>
      <c r="T29" s="56">
        <f>+All_Targets!BF29</f>
        <v>-0.33499999999999996</v>
      </c>
      <c r="U29" s="36">
        <f>+All_Targets!BG29</f>
        <v>10.623963482931149</v>
      </c>
      <c r="V29" s="54">
        <f>+All_Targets!BH29</f>
        <v>-0.6</v>
      </c>
      <c r="W29" s="34">
        <f>+All_Targets!BI29</f>
        <v>6.3903539746954277</v>
      </c>
      <c r="X29" s="102"/>
      <c r="Y29" s="102"/>
    </row>
    <row r="30" spans="1:27" ht="20.100000000000001" customHeight="1" x14ac:dyDescent="0.25">
      <c r="A30" s="141" t="str">
        <f>+All_Targets!A30</f>
        <v>Hungary</v>
      </c>
      <c r="B30" s="84" t="str">
        <f>VLOOKUP($A30,NEWAGE_reg!$A$2:$B$29,2,FALSE)</f>
        <v>EUS</v>
      </c>
      <c r="C30" s="84"/>
      <c r="D30" s="119">
        <f>+All_Targets!C30</f>
        <v>41.645268560591987</v>
      </c>
      <c r="E30" s="130">
        <f>+All_Targets!D30</f>
        <v>36.736692918657198</v>
      </c>
      <c r="F30" s="102"/>
      <c r="G30" s="3">
        <f>+All_Targets!O30</f>
        <v>0.1</v>
      </c>
      <c r="H30" s="18">
        <f>+All_Targets!P30</f>
        <v>45.809795416651191</v>
      </c>
      <c r="I30" s="56">
        <f>+All_Targets!Q30</f>
        <v>-7.0000000000000007E-2</v>
      </c>
      <c r="J30" s="36">
        <f>+All_Targets!R30</f>
        <v>38.730099761350544</v>
      </c>
      <c r="K30" s="76">
        <f>+All_Targets!S30</f>
        <v>-0.33499999999999996</v>
      </c>
      <c r="L30" s="36">
        <f>+All_Targets!T30</f>
        <v>27.694103592793674</v>
      </c>
      <c r="M30" s="54">
        <f>+All_Targets!U30</f>
        <v>-0.6</v>
      </c>
      <c r="N30" s="34">
        <f>+All_Targets!V30</f>
        <v>16.658107424236796</v>
      </c>
      <c r="O30" s="102"/>
      <c r="P30" s="3">
        <f>+All_Targets!BB30</f>
        <v>0.1</v>
      </c>
      <c r="Q30" s="18">
        <f>+All_Targets!BC30</f>
        <v>45.809795416651191</v>
      </c>
      <c r="R30" s="56">
        <f>+All_Targets!BD30</f>
        <v>-7.0000000000000007E-2</v>
      </c>
      <c r="S30" s="36">
        <f>+All_Targets!BE30</f>
        <v>38.730099761350544</v>
      </c>
      <c r="T30" s="56">
        <f>+All_Targets!BF30</f>
        <v>-0.33499999999999996</v>
      </c>
      <c r="U30" s="36">
        <f>+All_Targets!BG30</f>
        <v>27.694103592793674</v>
      </c>
      <c r="V30" s="54">
        <f>+All_Targets!BH30</f>
        <v>-0.6</v>
      </c>
      <c r="W30" s="34">
        <f>+All_Targets!BI30</f>
        <v>16.658107424236796</v>
      </c>
      <c r="X30" s="102"/>
      <c r="Y30" s="102"/>
    </row>
    <row r="31" spans="1:27" ht="20.100000000000001" customHeight="1" x14ac:dyDescent="0.25">
      <c r="A31" s="141" t="str">
        <f>+All_Targets!A31</f>
        <v>Greece</v>
      </c>
      <c r="B31" s="87" t="str">
        <f>VLOOKUP($A31,NEWAGE_reg!$A$2:$B$29,2,FALSE)</f>
        <v>EUS</v>
      </c>
      <c r="C31" s="87"/>
      <c r="D31" s="119">
        <f>+All_Targets!C31</f>
        <v>57.979763699629586</v>
      </c>
      <c r="E31" s="130">
        <f>+All_Targets!D31</f>
        <v>50.030956488916274</v>
      </c>
      <c r="F31" s="102"/>
      <c r="G31" s="3">
        <f>+All_Targets!O31</f>
        <v>-0.04</v>
      </c>
      <c r="H31" s="18">
        <f>+All_Targets!P31</f>
        <v>55.6605731516444</v>
      </c>
      <c r="I31" s="56">
        <f>+All_Targets!Q31</f>
        <v>-0.16</v>
      </c>
      <c r="J31" s="36">
        <f>+All_Targets!R31</f>
        <v>48.703001507688853</v>
      </c>
      <c r="K31" s="76">
        <f>+All_Targets!S31</f>
        <v>-0.38</v>
      </c>
      <c r="L31" s="36">
        <f>+All_Targets!T31</f>
        <v>35.947453493770347</v>
      </c>
      <c r="M31" s="54">
        <f>+All_Targets!U31</f>
        <v>-0.6</v>
      </c>
      <c r="N31" s="34">
        <f>+All_Targets!V31</f>
        <v>23.191905479851837</v>
      </c>
      <c r="O31" s="102"/>
      <c r="P31" s="3">
        <f>+All_Targets!BB31</f>
        <v>-0.04</v>
      </c>
      <c r="Q31" s="18">
        <f>+All_Targets!BC31</f>
        <v>55.6605731516444</v>
      </c>
      <c r="R31" s="56">
        <f>+All_Targets!BD31</f>
        <v>-0.16</v>
      </c>
      <c r="S31" s="36">
        <f>+All_Targets!BE31</f>
        <v>48.703001507688853</v>
      </c>
      <c r="T31" s="56">
        <f>+All_Targets!BF31</f>
        <v>-0.38</v>
      </c>
      <c r="U31" s="36">
        <f>+All_Targets!BG31</f>
        <v>35.947453493770347</v>
      </c>
      <c r="V31" s="54">
        <f>+All_Targets!BH31</f>
        <v>-0.6</v>
      </c>
      <c r="W31" s="34">
        <f>+All_Targets!BI31</f>
        <v>23.191905479851837</v>
      </c>
      <c r="X31" s="102"/>
      <c r="Y31" s="102"/>
    </row>
    <row r="32" spans="1:27" ht="20.100000000000001" customHeight="1" x14ac:dyDescent="0.25">
      <c r="A32" s="141" t="str">
        <f>+All_Targets!A32</f>
        <v>Slovakia</v>
      </c>
      <c r="B32" s="87" t="str">
        <f>VLOOKUP($A32,NEWAGE_reg!$A$2:$B$29,2,FALSE)</f>
        <v>EUS</v>
      </c>
      <c r="C32" s="87"/>
      <c r="D32" s="119">
        <f>+All_Targets!C32</f>
        <v>20.782580891152513</v>
      </c>
      <c r="E32" s="130">
        <f>+All_Targets!D32</f>
        <v>20.77694649044259</v>
      </c>
      <c r="F32" s="102"/>
      <c r="G32" s="3">
        <f>+All_Targets!O32</f>
        <v>0.13</v>
      </c>
      <c r="H32" s="18">
        <f>+All_Targets!P32</f>
        <v>23.484316407002339</v>
      </c>
      <c r="I32" s="56">
        <f>+All_Targets!Q32</f>
        <v>-0.12</v>
      </c>
      <c r="J32" s="36">
        <f>+All_Targets!R32</f>
        <v>18.288671184214213</v>
      </c>
      <c r="K32" s="76">
        <f>+All_Targets!S32</f>
        <v>-0.36</v>
      </c>
      <c r="L32" s="36">
        <f>+All_Targets!T32</f>
        <v>13.300851770337609</v>
      </c>
      <c r="M32" s="54">
        <f>+All_Targets!U32</f>
        <v>-0.6</v>
      </c>
      <c r="N32" s="34">
        <f>+All_Targets!V32</f>
        <v>8.3130323564610062</v>
      </c>
      <c r="O32" s="102"/>
      <c r="P32" s="3">
        <f>+All_Targets!BB32</f>
        <v>0.13</v>
      </c>
      <c r="Q32" s="18">
        <f>+All_Targets!BC32</f>
        <v>23.484316407002339</v>
      </c>
      <c r="R32" s="56">
        <f>+All_Targets!BD32</f>
        <v>-0.12</v>
      </c>
      <c r="S32" s="36">
        <f>+All_Targets!BE32</f>
        <v>18.288671184214213</v>
      </c>
      <c r="T32" s="56">
        <f>+All_Targets!BF32</f>
        <v>-0.36</v>
      </c>
      <c r="U32" s="36">
        <f>+All_Targets!BG32</f>
        <v>13.300851770337609</v>
      </c>
      <c r="V32" s="54">
        <f>+All_Targets!BH32</f>
        <v>-0.6</v>
      </c>
      <c r="W32" s="34">
        <f>+All_Targets!BI32</f>
        <v>8.3130323564610062</v>
      </c>
      <c r="X32" s="102"/>
      <c r="Y32" s="102"/>
    </row>
    <row r="33" spans="1:25" ht="20.100000000000001" customHeight="1" x14ac:dyDescent="0.25">
      <c r="A33" s="141" t="str">
        <f>+All_Targets!A33</f>
        <v>Slovenia</v>
      </c>
      <c r="B33" s="84" t="str">
        <f>VLOOKUP($A33,NEWAGE_reg!$A$2:$B$29,2,FALSE)</f>
        <v>EUS</v>
      </c>
      <c r="C33" s="84"/>
      <c r="D33" s="119">
        <f>+All_Targets!C33</f>
        <v>10.96403176989808</v>
      </c>
      <c r="E33" s="130">
        <f>+All_Targets!D33</f>
        <v>11.085624785753687</v>
      </c>
      <c r="F33" s="102"/>
      <c r="G33" s="3">
        <f>+All_Targets!O33</f>
        <v>0.04</v>
      </c>
      <c r="H33" s="18">
        <f>+All_Targets!P33</f>
        <v>11.402593040694004</v>
      </c>
      <c r="I33" s="56">
        <f>+All_Targets!Q33</f>
        <v>-0.15</v>
      </c>
      <c r="J33" s="36">
        <f>+All_Targets!R33</f>
        <v>9.3194270044133685</v>
      </c>
      <c r="K33" s="76">
        <f>+All_Targets!S33</f>
        <v>-0.375</v>
      </c>
      <c r="L33" s="36">
        <f>+All_Targets!T33</f>
        <v>6.8525198561862997</v>
      </c>
      <c r="M33" s="54">
        <f>+All_Targets!U33</f>
        <v>-0.6</v>
      </c>
      <c r="N33" s="34">
        <f>+All_Targets!V33</f>
        <v>4.3856127079592317</v>
      </c>
      <c r="O33" s="102"/>
      <c r="P33" s="3">
        <f>+All_Targets!BB33</f>
        <v>0.04</v>
      </c>
      <c r="Q33" s="18">
        <f>+All_Targets!BC33</f>
        <v>11.402593040694004</v>
      </c>
      <c r="R33" s="56">
        <f>+All_Targets!BD33</f>
        <v>-0.15</v>
      </c>
      <c r="S33" s="36">
        <f>+All_Targets!BE33</f>
        <v>9.3194270044133685</v>
      </c>
      <c r="T33" s="56">
        <f>+All_Targets!BF33</f>
        <v>-0.375</v>
      </c>
      <c r="U33" s="36">
        <f>+All_Targets!BG33</f>
        <v>6.8525198561862997</v>
      </c>
      <c r="V33" s="54">
        <f>+All_Targets!BH33</f>
        <v>-0.6</v>
      </c>
      <c r="W33" s="34">
        <f>+All_Targets!BI33</f>
        <v>4.3856127079592317</v>
      </c>
      <c r="X33" s="102"/>
      <c r="Y33" s="102"/>
    </row>
    <row r="34" spans="1:25" ht="20.100000000000001" customHeight="1" x14ac:dyDescent="0.25">
      <c r="A34" s="141" t="str">
        <f>+All_Targets!A34</f>
        <v>Cyprus</v>
      </c>
      <c r="B34" s="87" t="str">
        <f>VLOOKUP($A34,NEWAGE_reg!$A$2:$B$29,2,FALSE)</f>
        <v>EUS</v>
      </c>
      <c r="C34" s="87"/>
      <c r="D34" s="119">
        <f>+All_Targets!C34</f>
        <v>3.8115391285948368</v>
      </c>
      <c r="E34" s="130">
        <f>+All_Targets!D34</f>
        <v>4.0485859102332569</v>
      </c>
      <c r="F34" s="102"/>
      <c r="G34" s="3">
        <f>+All_Targets!O34</f>
        <v>-0.05</v>
      </c>
      <c r="H34" s="18">
        <f>+All_Targets!P34</f>
        <v>3.6209621721650946</v>
      </c>
      <c r="I34" s="56">
        <f>+All_Targets!Q34</f>
        <v>-0.24</v>
      </c>
      <c r="J34" s="36">
        <f>+All_Targets!R34</f>
        <v>2.8967697377320758</v>
      </c>
      <c r="K34" s="76">
        <f>+All_Targets!S34</f>
        <v>-0.42</v>
      </c>
      <c r="L34" s="36">
        <f>+All_Targets!T34</f>
        <v>2.2106926945850054</v>
      </c>
      <c r="M34" s="54">
        <f>+All_Targets!U34</f>
        <v>-0.6</v>
      </c>
      <c r="N34" s="34">
        <f>+All_Targets!V34</f>
        <v>1.5246156514379348</v>
      </c>
      <c r="O34" s="102"/>
      <c r="P34" s="3">
        <f>+All_Targets!BB34</f>
        <v>-0.05</v>
      </c>
      <c r="Q34" s="18">
        <f>+All_Targets!BC34</f>
        <v>3.6209621721650946</v>
      </c>
      <c r="R34" s="56">
        <f>+All_Targets!BD34</f>
        <v>-0.24</v>
      </c>
      <c r="S34" s="36">
        <f>+All_Targets!BE34</f>
        <v>2.8967697377320758</v>
      </c>
      <c r="T34" s="56">
        <f>+All_Targets!BF34</f>
        <v>-0.42</v>
      </c>
      <c r="U34" s="36">
        <f>+All_Targets!BG34</f>
        <v>2.2106926945850054</v>
      </c>
      <c r="V34" s="54">
        <f>+All_Targets!BH34</f>
        <v>-0.6</v>
      </c>
      <c r="W34" s="34">
        <f>+All_Targets!BI34</f>
        <v>1.5246156514379348</v>
      </c>
      <c r="X34" s="102"/>
      <c r="Y34" s="102"/>
    </row>
    <row r="35" spans="1:25" ht="20.100000000000001" customHeight="1" x14ac:dyDescent="0.25">
      <c r="A35" s="142" t="str">
        <f>+All_Targets!A35</f>
        <v>Malta</v>
      </c>
      <c r="B35" s="89" t="str">
        <f>VLOOKUP($A35,NEWAGE_reg!$A$2:$B$29,2,FALSE)</f>
        <v>EUS</v>
      </c>
      <c r="C35" s="89"/>
      <c r="D35" s="121">
        <f>+All_Targets!C35</f>
        <v>0.82179633315626988</v>
      </c>
      <c r="E35" s="131">
        <f>+All_Targets!D35</f>
        <v>0.92670502777647945</v>
      </c>
      <c r="F35" s="102"/>
      <c r="G35" s="9">
        <f>+All_Targets!O35</f>
        <v>0.05</v>
      </c>
      <c r="H35" s="80">
        <f>+All_Targets!P35</f>
        <v>0.8628861498140834</v>
      </c>
      <c r="I35" s="57">
        <f>+All_Targets!Q35</f>
        <v>-0.19</v>
      </c>
      <c r="J35" s="38">
        <f>+All_Targets!R35</f>
        <v>0.66565502985657865</v>
      </c>
      <c r="K35" s="78">
        <f>+All_Targets!S35</f>
        <v>-0.39500000000000002</v>
      </c>
      <c r="L35" s="38">
        <f>+All_Targets!T35</f>
        <v>0.49718678155954327</v>
      </c>
      <c r="M35" s="58">
        <f>+All_Targets!U35</f>
        <v>-0.6</v>
      </c>
      <c r="N35" s="35">
        <f>+All_Targets!V35</f>
        <v>0.32871853326250799</v>
      </c>
      <c r="O35" s="102"/>
      <c r="P35" s="9">
        <f>+All_Targets!BB35</f>
        <v>0.05</v>
      </c>
      <c r="Q35" s="80">
        <f>+All_Targets!BC35</f>
        <v>0.8628861498140834</v>
      </c>
      <c r="R35" s="57">
        <f>+All_Targets!BD35</f>
        <v>-0.19</v>
      </c>
      <c r="S35" s="38">
        <f>+All_Targets!BE35</f>
        <v>0.66565502985657865</v>
      </c>
      <c r="T35" s="57">
        <f>+All_Targets!BF35</f>
        <v>-0.39500000000000002</v>
      </c>
      <c r="U35" s="38">
        <f>+All_Targets!BG35</f>
        <v>0.49718678155954327</v>
      </c>
      <c r="V35" s="58">
        <f>+All_Targets!BH35</f>
        <v>-0.6</v>
      </c>
      <c r="W35" s="35">
        <f>+All_Targets!BI35</f>
        <v>0.32871853326250799</v>
      </c>
      <c r="X35" s="102"/>
      <c r="Y35" s="102"/>
    </row>
    <row r="36" spans="1:25" ht="60" customHeight="1" x14ac:dyDescent="0.25">
      <c r="A36" s="67"/>
      <c r="B36" s="67"/>
      <c r="C36" s="100">
        <f>+All_Targets!B36</f>
        <v>1990</v>
      </c>
      <c r="D36" s="122">
        <f>+All_Targets!C36</f>
        <v>2005</v>
      </c>
      <c r="E36" s="132">
        <f>+All_Targets!D36</f>
        <v>2011</v>
      </c>
      <c r="G36" s="223" t="str">
        <f>+All_Targets!O36</f>
        <v>Target for 2020 (compared to 1990)</v>
      </c>
      <c r="H36" s="224"/>
      <c r="I36" s="225" t="str">
        <f>+All_Targets!Q36</f>
        <v>Target for 2030 (compared to 1990)</v>
      </c>
      <c r="J36" s="226"/>
      <c r="K36" s="227" t="str">
        <f>+All_Targets!S36</f>
        <v>Target for 2040 (compared to 1990)</v>
      </c>
      <c r="L36" s="228"/>
      <c r="M36" s="229" t="str">
        <f>+All_Targets!U36</f>
        <v>Target for 2050 (compared to 1990)</v>
      </c>
      <c r="N36" s="230"/>
      <c r="P36" s="223" t="str">
        <f>+All_Targets!BB36</f>
        <v>Target for 2020 (compared to 1990)</v>
      </c>
      <c r="Q36" s="224"/>
      <c r="R36" s="225" t="str">
        <f>+All_Targets!BD36</f>
        <v>Target for 2030 (compared to 1990)</v>
      </c>
      <c r="S36" s="226"/>
      <c r="T36" s="227" t="str">
        <f>+All_Targets!BF36</f>
        <v>Target for 2040 (compared to 1990)</v>
      </c>
      <c r="U36" s="228"/>
      <c r="V36" s="229" t="str">
        <f>+All_Targets!BH36</f>
        <v>Target for 2050 (compared to 1990)</v>
      </c>
      <c r="W36" s="230"/>
    </row>
    <row r="37" spans="1:25" ht="20.100000000000001" customHeight="1" x14ac:dyDescent="0.25">
      <c r="A37" s="70" t="str">
        <f>+All_Targets!A37</f>
        <v>Germany: Target</v>
      </c>
      <c r="B37" s="70"/>
      <c r="C37" s="99">
        <f>+All_Targets!B37</f>
        <v>1211.1566313063843</v>
      </c>
      <c r="D37" s="118">
        <f>+All_Targets!C37</f>
        <v>971.89948580231442</v>
      </c>
      <c r="E37" s="128">
        <f>+All_Targets!D37</f>
        <v>905.61661818257119</v>
      </c>
      <c r="G37" s="51">
        <f>+All_Targets!O37</f>
        <v>-0.4</v>
      </c>
      <c r="H37" s="14">
        <f>+All_Targets!P37</f>
        <v>726.69397878383052</v>
      </c>
      <c r="I37" s="53">
        <f>+All_Targets!Q37</f>
        <v>-0.55000000000000004</v>
      </c>
      <c r="J37" s="23">
        <f>+All_Targets!R37</f>
        <v>545.02048408787289</v>
      </c>
      <c r="K37" s="53">
        <f>+All_Targets!S37</f>
        <v>-0.7</v>
      </c>
      <c r="L37" s="23">
        <f>+All_Targets!T37</f>
        <v>363.34698939191526</v>
      </c>
      <c r="M37" s="52">
        <f>+All_Targets!U37</f>
        <v>-0.85</v>
      </c>
      <c r="N37" s="21">
        <f>+All_Targets!V37</f>
        <v>181.67349469595763</v>
      </c>
      <c r="P37" s="51">
        <f>+All_Targets!BB37</f>
        <v>-0.4</v>
      </c>
      <c r="Q37" s="14">
        <f>+All_Targets!BC37</f>
        <v>726.69397878383052</v>
      </c>
      <c r="R37" s="53">
        <f>+All_Targets!BD37</f>
        <v>-0.65</v>
      </c>
      <c r="S37" s="23">
        <f>+All_Targets!BE37</f>
        <v>423.90482095723445</v>
      </c>
      <c r="T37" s="53">
        <f>+All_Targets!BF37</f>
        <v>-0.8</v>
      </c>
      <c r="U37" s="23">
        <f>+All_Targets!BG37</f>
        <v>242.23132626127688</v>
      </c>
      <c r="V37" s="52">
        <f>+All_Targets!BH37</f>
        <v>-0.95</v>
      </c>
      <c r="W37" s="21">
        <f>+All_Targets!BI37</f>
        <v>60.557831565319219</v>
      </c>
    </row>
    <row r="38" spans="1:25" x14ac:dyDescent="0.25">
      <c r="A38" s="7"/>
      <c r="B38" s="7"/>
      <c r="C38" s="7"/>
      <c r="D38" s="7"/>
      <c r="E38" s="7"/>
      <c r="G38" s="12"/>
      <c r="H38" s="12"/>
      <c r="I38" s="12"/>
      <c r="J38" s="12"/>
      <c r="K38" s="12"/>
      <c r="L38" s="12"/>
      <c r="M38" s="12"/>
      <c r="N38" s="12"/>
      <c r="P38" s="12"/>
      <c r="Q38" s="12"/>
      <c r="R38" s="12"/>
      <c r="S38" s="12"/>
      <c r="T38" s="12"/>
      <c r="U38" s="12"/>
      <c r="V38" s="12"/>
      <c r="W38" s="12"/>
    </row>
    <row r="39" spans="1:25" x14ac:dyDescent="0.25">
      <c r="G39" s="12"/>
      <c r="H39" s="12"/>
      <c r="I39" s="12"/>
      <c r="J39" s="12"/>
      <c r="K39" s="12"/>
      <c r="L39" s="12"/>
      <c r="M39" s="12"/>
      <c r="N39" s="12"/>
      <c r="P39" s="12"/>
      <c r="Q39" s="12"/>
      <c r="R39" s="12"/>
      <c r="S39" s="12"/>
      <c r="T39" s="12"/>
      <c r="U39" s="12"/>
      <c r="V39" s="12"/>
      <c r="W39" s="12"/>
    </row>
    <row r="40" spans="1:25" x14ac:dyDescent="0.25">
      <c r="A40" s="7"/>
      <c r="B40" s="7"/>
      <c r="C40" s="7"/>
      <c r="D40" s="7"/>
      <c r="E40" s="7"/>
      <c r="G40" s="12"/>
      <c r="H40" s="12"/>
      <c r="I40" s="12"/>
      <c r="J40" s="12"/>
      <c r="K40" s="12"/>
      <c r="L40" s="12"/>
      <c r="M40" s="12"/>
      <c r="N40" s="12"/>
      <c r="P40" s="12"/>
      <c r="Q40" s="12"/>
      <c r="R40" s="12"/>
      <c r="S40" s="12"/>
      <c r="T40" s="12"/>
      <c r="U40" s="12"/>
      <c r="V40" s="12"/>
      <c r="W40" s="12"/>
    </row>
    <row r="41" spans="1:25" x14ac:dyDescent="0.25">
      <c r="A41" s="7"/>
      <c r="B41" s="7"/>
      <c r="C41" s="7"/>
      <c r="D41" s="7"/>
      <c r="E41" s="7"/>
      <c r="G41" s="12"/>
      <c r="H41" s="12"/>
      <c r="I41" s="12"/>
      <c r="J41" s="12"/>
      <c r="K41" s="12"/>
      <c r="L41" s="12"/>
      <c r="M41" s="12"/>
      <c r="N41" s="12"/>
      <c r="P41" s="12"/>
      <c r="Q41" s="12"/>
      <c r="R41" s="12"/>
      <c r="S41" s="12"/>
      <c r="T41" s="12"/>
      <c r="U41" s="12"/>
      <c r="V41" s="12"/>
      <c r="W41" s="12"/>
    </row>
    <row r="42" spans="1:25" x14ac:dyDescent="0.25">
      <c r="G42" s="12"/>
      <c r="H42" s="12"/>
      <c r="I42" s="12"/>
      <c r="J42" s="12"/>
      <c r="K42" s="12"/>
      <c r="L42" s="12"/>
      <c r="M42" s="12"/>
      <c r="N42" s="12"/>
      <c r="P42" s="12"/>
      <c r="Q42" s="12"/>
      <c r="R42" s="12"/>
      <c r="S42" s="12"/>
      <c r="T42" s="12"/>
      <c r="U42" s="12"/>
      <c r="V42" s="12"/>
      <c r="W42" s="12"/>
    </row>
    <row r="43" spans="1:25" x14ac:dyDescent="0.25">
      <c r="A43" s="7"/>
      <c r="B43" s="7"/>
      <c r="C43" s="7"/>
      <c r="D43" s="7"/>
      <c r="E43" s="7"/>
      <c r="G43" s="12"/>
      <c r="H43" s="12"/>
      <c r="I43" s="12"/>
      <c r="J43" s="12"/>
      <c r="K43" s="12"/>
      <c r="L43" s="12"/>
      <c r="M43" s="12"/>
      <c r="N43" s="12"/>
      <c r="P43" s="12"/>
      <c r="Q43" s="12"/>
      <c r="R43" s="12"/>
      <c r="S43" s="12"/>
      <c r="T43" s="12"/>
      <c r="U43" s="12"/>
      <c r="V43" s="12"/>
      <c r="W43" s="12"/>
    </row>
    <row r="44" spans="1:25" x14ac:dyDescent="0.25">
      <c r="A44" s="7"/>
      <c r="B44" s="7"/>
      <c r="C44" s="7"/>
      <c r="D44" s="7"/>
      <c r="E44" s="7"/>
      <c r="G44" s="12"/>
      <c r="H44" s="12"/>
      <c r="I44" s="12"/>
      <c r="J44" s="12"/>
      <c r="K44" s="12"/>
      <c r="L44" s="12"/>
      <c r="M44" s="12"/>
      <c r="N44" s="12"/>
      <c r="P44" s="12"/>
      <c r="Q44" s="12"/>
      <c r="R44" s="12"/>
      <c r="S44" s="12"/>
      <c r="T44" s="12"/>
      <c r="U44" s="12"/>
      <c r="V44" s="12"/>
      <c r="W44" s="12"/>
    </row>
    <row r="45" spans="1:25" x14ac:dyDescent="0.25">
      <c r="G45" s="12"/>
      <c r="H45" s="12"/>
      <c r="I45" s="12"/>
      <c r="J45" s="12"/>
      <c r="K45" s="12"/>
      <c r="L45" s="12"/>
      <c r="M45" s="12"/>
      <c r="N45" s="12"/>
      <c r="P45" s="12"/>
      <c r="Q45" s="12"/>
      <c r="R45" s="12"/>
      <c r="S45" s="12"/>
      <c r="T45" s="12"/>
      <c r="U45" s="12"/>
      <c r="V45" s="12"/>
      <c r="W45" s="12"/>
    </row>
    <row r="46" spans="1:25" x14ac:dyDescent="0.25">
      <c r="A46" s="7"/>
      <c r="B46" s="7"/>
      <c r="C46" s="7"/>
      <c r="D46" s="7"/>
      <c r="E46" s="7"/>
      <c r="G46" s="12"/>
      <c r="H46" s="12"/>
      <c r="I46" s="12"/>
      <c r="J46" s="12"/>
      <c r="K46" s="12"/>
      <c r="L46" s="12"/>
      <c r="M46" s="12"/>
      <c r="N46" s="12"/>
      <c r="P46" s="12"/>
      <c r="Q46" s="12"/>
      <c r="R46" s="12"/>
      <c r="S46" s="12"/>
      <c r="T46" s="12"/>
      <c r="U46" s="12"/>
      <c r="V46" s="12"/>
      <c r="W46" s="12"/>
    </row>
    <row r="47" spans="1:25" x14ac:dyDescent="0.25">
      <c r="A47" s="7"/>
      <c r="B47" s="7"/>
      <c r="C47" s="7"/>
      <c r="D47" s="7"/>
      <c r="E47" s="7"/>
      <c r="G47" s="12"/>
      <c r="H47" s="12"/>
      <c r="I47" s="12"/>
      <c r="J47" s="12"/>
      <c r="K47" s="12"/>
      <c r="L47" s="12"/>
      <c r="M47" s="12"/>
      <c r="N47" s="12"/>
      <c r="P47" s="12"/>
      <c r="Q47" s="12"/>
      <c r="R47" s="12"/>
      <c r="S47" s="12"/>
      <c r="T47" s="12"/>
      <c r="U47" s="12"/>
      <c r="V47" s="12"/>
      <c r="W47" s="12"/>
    </row>
    <row r="48" spans="1:25" x14ac:dyDescent="0.25">
      <c r="G48" s="12"/>
      <c r="H48" s="12"/>
      <c r="I48" s="12"/>
      <c r="J48" s="12"/>
      <c r="K48" s="12"/>
      <c r="L48" s="12"/>
      <c r="M48" s="12"/>
      <c r="N48" s="12"/>
      <c r="P48" s="12"/>
      <c r="Q48" s="12"/>
      <c r="R48" s="12"/>
      <c r="S48" s="12"/>
      <c r="T48" s="12"/>
      <c r="U48" s="12"/>
      <c r="V48" s="12"/>
      <c r="W48" s="12"/>
    </row>
    <row r="49" spans="1:23" x14ac:dyDescent="0.25">
      <c r="A49" s="7"/>
      <c r="B49" s="7"/>
      <c r="C49" s="7"/>
      <c r="D49" s="7"/>
      <c r="E49" s="7"/>
      <c r="G49" s="12"/>
      <c r="H49" s="12"/>
      <c r="I49" s="12"/>
      <c r="J49" s="12"/>
      <c r="K49" s="12"/>
      <c r="L49" s="12"/>
      <c r="M49" s="12"/>
      <c r="N49" s="12"/>
      <c r="P49" s="12"/>
      <c r="Q49" s="12"/>
      <c r="R49" s="12"/>
      <c r="S49" s="12"/>
      <c r="T49" s="12"/>
      <c r="U49" s="12"/>
      <c r="V49" s="12"/>
      <c r="W49" s="12"/>
    </row>
    <row r="50" spans="1:23" x14ac:dyDescent="0.25">
      <c r="A50" s="7"/>
      <c r="B50" s="7"/>
      <c r="C50" s="7"/>
      <c r="D50" s="7"/>
      <c r="E50" s="7"/>
      <c r="G50" s="12"/>
      <c r="H50" s="12"/>
      <c r="I50" s="12"/>
      <c r="J50" s="12"/>
      <c r="K50" s="12"/>
      <c r="L50" s="12"/>
      <c r="M50" s="12"/>
      <c r="N50" s="12"/>
      <c r="P50" s="12"/>
      <c r="Q50" s="12"/>
      <c r="R50" s="12"/>
      <c r="S50" s="12"/>
      <c r="T50" s="12"/>
      <c r="U50" s="12"/>
      <c r="V50" s="12"/>
      <c r="W50" s="12"/>
    </row>
    <row r="51" spans="1:23" x14ac:dyDescent="0.25">
      <c r="G51" s="12"/>
      <c r="H51" s="12"/>
      <c r="I51" s="12"/>
      <c r="J51" s="12"/>
      <c r="K51" s="12"/>
      <c r="L51" s="12"/>
      <c r="M51" s="12"/>
      <c r="N51" s="12"/>
      <c r="P51" s="12"/>
      <c r="Q51" s="12"/>
      <c r="R51" s="12"/>
      <c r="S51" s="12"/>
      <c r="T51" s="12"/>
      <c r="U51" s="12"/>
      <c r="V51" s="12"/>
      <c r="W51" s="12"/>
    </row>
  </sheetData>
  <mergeCells count="35">
    <mergeCell ref="G36:H36"/>
    <mergeCell ref="I36:J36"/>
    <mergeCell ref="K36:L36"/>
    <mergeCell ref="T6:U6"/>
    <mergeCell ref="V6:W6"/>
    <mergeCell ref="P6:Q6"/>
    <mergeCell ref="R6:S6"/>
    <mergeCell ref="M6:N6"/>
    <mergeCell ref="G6:H6"/>
    <mergeCell ref="I6:J6"/>
    <mergeCell ref="K6:L6"/>
    <mergeCell ref="T36:U36"/>
    <mergeCell ref="V36:W36"/>
    <mergeCell ref="P36:Q36"/>
    <mergeCell ref="R36:S36"/>
    <mergeCell ref="M36:N36"/>
    <mergeCell ref="V4:W4"/>
    <mergeCell ref="P4:Q4"/>
    <mergeCell ref="R4:S4"/>
    <mergeCell ref="T4:U4"/>
    <mergeCell ref="G4:H4"/>
    <mergeCell ref="I4:J4"/>
    <mergeCell ref="K4:L4"/>
    <mergeCell ref="M4:N4"/>
    <mergeCell ref="C1:E1"/>
    <mergeCell ref="P1:W1"/>
    <mergeCell ref="G1:N1"/>
    <mergeCell ref="P2:Q2"/>
    <mergeCell ref="R2:S2"/>
    <mergeCell ref="T2:U2"/>
    <mergeCell ref="V2:W2"/>
    <mergeCell ref="G2:H2"/>
    <mergeCell ref="I2:J2"/>
    <mergeCell ref="K2:L2"/>
    <mergeCell ref="M2:N2"/>
  </mergeCells>
  <pageMargins left="0.70866141732283472" right="0.70866141732283472" top="0.78740157480314965" bottom="0.78740157480314965" header="0.31496062992125984" footer="0.31496062992125984"/>
  <pageSetup paperSize="9" scale="53" orientation="landscape" r:id="rId1"/>
  <headerFooter>
    <oddHeader>&amp;C&amp;A</oddHeader>
    <oddFooter>&amp;R&amp;Z&amp;F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"/>
  <sheetViews>
    <sheetView workbookViewId="0">
      <selection activeCell="J27" sqref="J27"/>
    </sheetView>
  </sheetViews>
  <sheetFormatPr baseColWidth="10" defaultColWidth="8.7109375" defaultRowHeight="15" x14ac:dyDescent="0.25"/>
  <sheetData>
    <row r="1" spans="1:22" x14ac:dyDescent="0.25">
      <c r="A1" s="264" t="s">
        <v>108</v>
      </c>
      <c r="B1" s="265"/>
      <c r="C1" s="265"/>
      <c r="D1" s="265"/>
      <c r="E1" s="265"/>
      <c r="F1" s="265"/>
      <c r="G1" s="265"/>
      <c r="H1" s="266"/>
    </row>
    <row r="2" spans="1:22" ht="15.75" thickBot="1" x14ac:dyDescent="0.3">
      <c r="A2" s="267"/>
      <c r="B2" s="268"/>
      <c r="C2" s="268"/>
      <c r="D2" s="268"/>
      <c r="E2" s="268"/>
      <c r="F2" s="268"/>
      <c r="G2" s="268"/>
      <c r="H2" s="269"/>
    </row>
    <row r="3" spans="1:22" ht="15.75" thickBot="1" x14ac:dyDescent="0.3">
      <c r="L3" t="s">
        <v>103</v>
      </c>
    </row>
    <row r="4" spans="1:22" x14ac:dyDescent="0.25">
      <c r="A4" s="276" t="s">
        <v>101</v>
      </c>
      <c r="B4" s="277"/>
      <c r="C4" s="277"/>
      <c r="D4" s="277"/>
      <c r="E4" s="277"/>
      <c r="F4" s="277"/>
      <c r="G4" s="277"/>
      <c r="H4" s="277"/>
      <c r="I4" s="277"/>
      <c r="J4" s="278"/>
      <c r="K4" s="194"/>
      <c r="L4" s="280" t="s">
        <v>105</v>
      </c>
      <c r="M4" s="281"/>
      <c r="N4" s="281"/>
      <c r="O4" s="281"/>
      <c r="P4" s="281"/>
      <c r="Q4" s="281"/>
      <c r="R4" s="281"/>
      <c r="S4" s="281"/>
      <c r="T4" s="281"/>
      <c r="U4" s="281"/>
      <c r="V4" s="282"/>
    </row>
    <row r="5" spans="1:22" x14ac:dyDescent="0.25">
      <c r="A5" s="162"/>
      <c r="B5" s="163"/>
      <c r="C5" s="163"/>
      <c r="D5" s="163"/>
      <c r="E5" s="279" t="s">
        <v>104</v>
      </c>
      <c r="F5" s="279"/>
      <c r="G5" s="163"/>
      <c r="H5" s="163"/>
      <c r="I5" s="163"/>
      <c r="J5" s="164"/>
      <c r="K5" s="163"/>
      <c r="L5" s="162"/>
      <c r="M5" s="163"/>
      <c r="N5" s="163"/>
      <c r="O5" s="163"/>
      <c r="P5" s="163"/>
      <c r="Q5" s="163"/>
      <c r="R5" s="163"/>
      <c r="S5" s="163"/>
      <c r="T5" s="163"/>
      <c r="U5" s="163"/>
      <c r="V5" s="164"/>
    </row>
    <row r="6" spans="1:22" x14ac:dyDescent="0.25">
      <c r="A6" s="270" t="s">
        <v>99</v>
      </c>
      <c r="B6" s="271"/>
      <c r="C6" s="271"/>
      <c r="D6" s="271"/>
      <c r="E6" s="271"/>
      <c r="F6" s="271"/>
      <c r="G6" s="271"/>
      <c r="H6" s="271"/>
      <c r="I6" s="271"/>
      <c r="J6" s="272"/>
      <c r="K6" s="189"/>
      <c r="L6" s="283" t="s">
        <v>99</v>
      </c>
      <c r="M6" s="284"/>
      <c r="N6" s="284"/>
      <c r="O6" s="284"/>
      <c r="P6" s="284"/>
      <c r="Q6" s="284"/>
      <c r="R6" s="284"/>
      <c r="S6" s="284"/>
      <c r="T6" s="284"/>
      <c r="U6" s="284"/>
      <c r="V6" s="285"/>
    </row>
    <row r="7" spans="1:22" x14ac:dyDescent="0.25">
      <c r="A7" s="169"/>
      <c r="B7" s="167">
        <v>2011</v>
      </c>
      <c r="C7" s="170">
        <v>2015</v>
      </c>
      <c r="D7" s="170">
        <v>2020</v>
      </c>
      <c r="E7" s="170">
        <v>2025</v>
      </c>
      <c r="F7" s="170">
        <v>2030</v>
      </c>
      <c r="G7" s="170">
        <v>2035</v>
      </c>
      <c r="H7" s="170">
        <v>2040</v>
      </c>
      <c r="I7" s="170">
        <v>2045</v>
      </c>
      <c r="J7" s="166">
        <v>2050</v>
      </c>
      <c r="K7" s="192"/>
      <c r="L7" s="201"/>
      <c r="M7" s="211"/>
      <c r="N7" s="200">
        <v>2011</v>
      </c>
      <c r="O7" s="198">
        <v>2015</v>
      </c>
      <c r="P7" s="198">
        <v>2020</v>
      </c>
      <c r="Q7" s="198">
        <v>2025</v>
      </c>
      <c r="R7" s="198">
        <v>2030</v>
      </c>
      <c r="S7" s="198">
        <v>2035</v>
      </c>
      <c r="T7" s="198">
        <v>2040</v>
      </c>
      <c r="U7" s="198">
        <v>2045</v>
      </c>
      <c r="V7" s="199">
        <v>2050</v>
      </c>
    </row>
    <row r="8" spans="1:22" x14ac:dyDescent="0.25">
      <c r="A8" s="172" t="s">
        <v>87</v>
      </c>
      <c r="B8" s="175">
        <f>SUMIF(NEWAGE_reg!$B$2:$B$29,sce_6!$A8,NEWAGE_reg!$C$2:$C$29)</f>
        <v>431.12531818257122</v>
      </c>
      <c r="C8" s="176"/>
      <c r="D8" s="176">
        <f>SUMIF(AP5_Targets!$B$8:$B$35,sce_6!$A8,AP5_Targets!AI$8:AI$35)</f>
        <v>393.01826778999032</v>
      </c>
      <c r="E8" s="176">
        <f>(D8+F8)/2</f>
        <v>338.17850949371257</v>
      </c>
      <c r="F8" s="176">
        <f>SUMIF(AP5_Targets!$B$8:$B$35,sce_6!$A8,AP5_Targets!AK$8:AK$35)</f>
        <v>283.33875119743487</v>
      </c>
      <c r="G8" s="176">
        <f>(F8+H8)/2</f>
        <v>219.60494422306255</v>
      </c>
      <c r="H8" s="176">
        <f>SUMIF(AP5_Targets!$B$8:$B$35,sce_6!$A8,AP5_Targets!AM$8:AM$35)</f>
        <v>155.87113724869019</v>
      </c>
      <c r="I8" s="176">
        <f>(H8+J8)/2</f>
        <v>92.137330274317861</v>
      </c>
      <c r="J8" s="176">
        <f>SUMIF(AP5_Targets!$B$8:$B$35,sce_6!$A8,AP5_Targets!AO$8:AO$35)</f>
        <v>28.403523299945526</v>
      </c>
      <c r="K8" s="193"/>
      <c r="L8" s="202" t="s">
        <v>87</v>
      </c>
      <c r="M8" s="212" t="s">
        <v>112</v>
      </c>
      <c r="N8" s="175">
        <f>B8/$B8</f>
        <v>1</v>
      </c>
      <c r="O8" s="175"/>
      <c r="P8" s="175">
        <f t="shared" ref="P8:V16" si="0">D8/$B8</f>
        <v>0.91161027018032037</v>
      </c>
      <c r="Q8" s="175">
        <f t="shared" si="0"/>
        <v>0.78440883713190346</v>
      </c>
      <c r="R8" s="175">
        <f t="shared" si="0"/>
        <v>0.65720740408348677</v>
      </c>
      <c r="S8" s="175">
        <f t="shared" si="0"/>
        <v>0.50937612559804513</v>
      </c>
      <c r="T8" s="175">
        <f t="shared" si="0"/>
        <v>0.36154484711260337</v>
      </c>
      <c r="U8" s="175">
        <f t="shared" si="0"/>
        <v>0.2137135686271617</v>
      </c>
      <c r="V8" s="177">
        <f t="shared" si="0"/>
        <v>6.5882290141720035E-2</v>
      </c>
    </row>
    <row r="9" spans="1:22" x14ac:dyDescent="0.25">
      <c r="A9" s="173" t="s">
        <v>83</v>
      </c>
      <c r="B9" s="178">
        <f>SUMIF(NEWAGE_reg!$B$2:$B$29,sce_6!$A9,NEWAGE_reg!$C$2:$C$29)</f>
        <v>350.97888858284506</v>
      </c>
      <c r="C9" s="179"/>
      <c r="D9" s="179">
        <f>SUMIF(AP5_Targets!$B$8:$B$35,sce_6!$A9,AP5_Targets!AI$8:AI$35)</f>
        <v>329.56947669999886</v>
      </c>
      <c r="E9" s="179">
        <f t="shared" ref="E9:G16" si="1">(D9+F9)/2</f>
        <v>285.49913969941764</v>
      </c>
      <c r="F9" s="179">
        <f>SUMIF(AP5_Targets!$B$8:$B$35,sce_6!$A9,AP5_Targets!AK$8:AK$35)</f>
        <v>241.42880269883639</v>
      </c>
      <c r="G9" s="179">
        <f t="shared" si="1"/>
        <v>187.12215864032765</v>
      </c>
      <c r="H9" s="179">
        <f>SUMIF(AP5_Targets!$B$8:$B$35,sce_6!$A9,AP5_Targets!AM$8:AM$35)</f>
        <v>132.81551458181892</v>
      </c>
      <c r="I9" s="179">
        <f t="shared" ref="I9" si="2">(H9+J9)/2</f>
        <v>78.508870523310179</v>
      </c>
      <c r="J9" s="179">
        <f>SUMIF(AP5_Targets!$B$8:$B$35,sce_6!$A9,AP5_Targets!AO$8:AO$35)</f>
        <v>24.202226464801452</v>
      </c>
      <c r="K9" s="193"/>
      <c r="L9" s="203" t="s">
        <v>83</v>
      </c>
      <c r="M9" s="213" t="s">
        <v>112</v>
      </c>
      <c r="N9" s="178">
        <f t="shared" ref="N9:N16" si="3">B9/$B9</f>
        <v>1</v>
      </c>
      <c r="O9" s="178"/>
      <c r="P9" s="178">
        <f t="shared" si="0"/>
        <v>0.93900085566601621</v>
      </c>
      <c r="Q9" s="178">
        <f t="shared" si="0"/>
        <v>0.81343678775718853</v>
      </c>
      <c r="R9" s="178">
        <f t="shared" si="0"/>
        <v>0.68787271984836074</v>
      </c>
      <c r="S9" s="178">
        <f t="shared" si="0"/>
        <v>0.53314362979458618</v>
      </c>
      <c r="T9" s="178">
        <f t="shared" si="0"/>
        <v>0.37841453974081163</v>
      </c>
      <c r="U9" s="178">
        <f t="shared" si="0"/>
        <v>0.22368544968703707</v>
      </c>
      <c r="V9" s="180">
        <f t="shared" si="0"/>
        <v>6.8956359633262548E-2</v>
      </c>
    </row>
    <row r="10" spans="1:22" x14ac:dyDescent="0.25">
      <c r="A10" s="172" t="s">
        <v>85</v>
      </c>
      <c r="B10" s="175">
        <f>SUMIF(NEWAGE_reg!$B$2:$B$29,sce_6!$A10,NEWAGE_reg!$C$2:$C$29)</f>
        <v>284.2309775038301</v>
      </c>
      <c r="C10" s="176"/>
      <c r="D10" s="176">
        <f>SUMIF(AP5_Targets!$B$8:$B$35,sce_6!$A10,AP5_Targets!AI$8:AI$35)</f>
        <v>275.89078596824714</v>
      </c>
      <c r="E10" s="176">
        <f t="shared" si="1"/>
        <v>244.17920137419574</v>
      </c>
      <c r="F10" s="176">
        <f>SUMIF(AP5_Targets!$B$8:$B$35,sce_6!$A10,AP5_Targets!AK$8:AK$35)</f>
        <v>212.46761678014434</v>
      </c>
      <c r="G10" s="176">
        <f t="shared" si="1"/>
        <v>164.67545979864204</v>
      </c>
      <c r="H10" s="176">
        <f>SUMIF(AP5_Targets!$B$8:$B$35,sce_6!$A10,AP5_Targets!AM$8:AM$35)</f>
        <v>116.88330281713972</v>
      </c>
      <c r="I10" s="176">
        <f t="shared" ref="I10" si="4">(H10+J10)/2</f>
        <v>69.09114583563742</v>
      </c>
      <c r="J10" s="176">
        <f>SUMIF(AP5_Targets!$B$8:$B$35,sce_6!$A10,AP5_Targets!AO$8:AO$35)</f>
        <v>21.298988854135111</v>
      </c>
      <c r="K10" s="193"/>
      <c r="L10" s="202" t="s">
        <v>85</v>
      </c>
      <c r="M10" s="212" t="s">
        <v>112</v>
      </c>
      <c r="N10" s="175">
        <f t="shared" si="3"/>
        <v>1</v>
      </c>
      <c r="O10" s="175"/>
      <c r="P10" s="175">
        <f t="shared" si="0"/>
        <v>0.97065699309474252</v>
      </c>
      <c r="Q10" s="175">
        <f t="shared" si="0"/>
        <v>0.85908722377350777</v>
      </c>
      <c r="R10" s="175">
        <f t="shared" si="0"/>
        <v>0.74751745445227291</v>
      </c>
      <c r="S10" s="175">
        <f t="shared" si="0"/>
        <v>0.5793719644665507</v>
      </c>
      <c r="T10" s="175">
        <f t="shared" si="0"/>
        <v>0.4112264744808285</v>
      </c>
      <c r="U10" s="175">
        <f t="shared" si="0"/>
        <v>0.24308098449510626</v>
      </c>
      <c r="V10" s="177">
        <f t="shared" si="0"/>
        <v>7.4935494509384012E-2</v>
      </c>
    </row>
    <row r="11" spans="1:22" x14ac:dyDescent="0.25">
      <c r="A11" s="173" t="s">
        <v>91</v>
      </c>
      <c r="B11" s="178">
        <f>SUMIF(NEWAGE_reg!$B$2:$B$29,sce_6!$A11,NEWAGE_reg!$C$2:$C$29)</f>
        <v>184.75146052804283</v>
      </c>
      <c r="C11" s="179"/>
      <c r="D11" s="179">
        <f>SUMIF(AP5_Targets!$B$8:$B$35,sce_6!$A11,AP5_Targets!AI$8:AI$35)</f>
        <v>189.32682156080617</v>
      </c>
      <c r="E11" s="179">
        <f t="shared" si="1"/>
        <v>171.88882483810033</v>
      </c>
      <c r="F11" s="179">
        <f>SUMIF(AP5_Targets!$B$8:$B$35,sce_6!$A11,AP5_Targets!AK$8:AK$35)</f>
        <v>154.45082811539447</v>
      </c>
      <c r="G11" s="179">
        <f t="shared" si="1"/>
        <v>119.70888327185544</v>
      </c>
      <c r="H11" s="179">
        <f>SUMIF(AP5_Targets!$B$8:$B$35,sce_6!$A11,AP5_Targets!AM$8:AM$35)</f>
        <v>84.966938428316411</v>
      </c>
      <c r="I11" s="179">
        <f t="shared" ref="I11" si="5">(H11+J11)/2</f>
        <v>50.22499358477738</v>
      </c>
      <c r="J11" s="179">
        <f>SUMIF(AP5_Targets!$B$8:$B$35,sce_6!$A11,AP5_Targets!AO$8:AO$35)</f>
        <v>15.483048741238344</v>
      </c>
      <c r="K11" s="193"/>
      <c r="L11" s="203" t="s">
        <v>91</v>
      </c>
      <c r="M11" s="213" t="s">
        <v>112</v>
      </c>
      <c r="N11" s="178">
        <f t="shared" si="3"/>
        <v>1</v>
      </c>
      <c r="O11" s="178"/>
      <c r="P11" s="178">
        <f t="shared" si="0"/>
        <v>1.0247649518963822</v>
      </c>
      <c r="Q11" s="178">
        <f t="shared" si="0"/>
        <v>0.93037870632697861</v>
      </c>
      <c r="R11" s="178">
        <f t="shared" si="0"/>
        <v>0.83599246075757483</v>
      </c>
      <c r="S11" s="178">
        <f t="shared" si="0"/>
        <v>0.64794553141670685</v>
      </c>
      <c r="T11" s="178">
        <f t="shared" si="0"/>
        <v>0.45989860207583882</v>
      </c>
      <c r="U11" s="178">
        <f t="shared" si="0"/>
        <v>0.27185167273497085</v>
      </c>
      <c r="V11" s="180">
        <f t="shared" si="0"/>
        <v>8.3804743394102807E-2</v>
      </c>
    </row>
    <row r="12" spans="1:22" x14ac:dyDescent="0.25">
      <c r="A12" s="172" t="s">
        <v>86</v>
      </c>
      <c r="B12" s="175">
        <f>SUMIF(NEWAGE_reg!$B$2:$B$29,sce_6!$A12,NEWAGE_reg!$C$2:$C$29)</f>
        <v>318.03906884435668</v>
      </c>
      <c r="C12" s="176"/>
      <c r="D12" s="176">
        <f>SUMIF(AP5_Targets!$B$8:$B$35,sce_6!$A12,AP5_Targets!AI$8:AI$35)</f>
        <v>311.85526550692305</v>
      </c>
      <c r="E12" s="176">
        <f t="shared" si="1"/>
        <v>272.87335731855768</v>
      </c>
      <c r="F12" s="176">
        <f>SUMIF(AP5_Targets!$B$8:$B$35,sce_6!$A12,AP5_Targets!AK$8:AK$35)</f>
        <v>233.89144913019229</v>
      </c>
      <c r="G12" s="176">
        <f t="shared" si="1"/>
        <v>181.2802464308742</v>
      </c>
      <c r="H12" s="176">
        <f>SUMIF(AP5_Targets!$B$8:$B$35,sce_6!$A12,AP5_Targets!AM$8:AM$35)</f>
        <v>128.66904373155612</v>
      </c>
      <c r="I12" s="176">
        <f t="shared" ref="I12" si="6">(H12+J12)/2</f>
        <v>76.057841032238031</v>
      </c>
      <c r="J12" s="176">
        <f>SUMIF(AP5_Targets!$B$8:$B$35,sce_6!$A12,AP5_Targets!AO$8:AO$35)</f>
        <v>23.446638332919935</v>
      </c>
      <c r="K12" s="193"/>
      <c r="L12" s="202" t="s">
        <v>86</v>
      </c>
      <c r="M12" s="212" t="s">
        <v>112</v>
      </c>
      <c r="N12" s="175">
        <f t="shared" si="3"/>
        <v>1</v>
      </c>
      <c r="O12" s="175"/>
      <c r="P12" s="175">
        <f t="shared" si="0"/>
        <v>0.98055646634891924</v>
      </c>
      <c r="Q12" s="175">
        <f t="shared" si="0"/>
        <v>0.85798690805530442</v>
      </c>
      <c r="R12" s="175">
        <f t="shared" si="0"/>
        <v>0.73541734976168949</v>
      </c>
      <c r="S12" s="175">
        <f t="shared" si="0"/>
        <v>0.56999363974238615</v>
      </c>
      <c r="T12" s="175">
        <f t="shared" si="0"/>
        <v>0.40456992972308292</v>
      </c>
      <c r="U12" s="175">
        <f t="shared" si="0"/>
        <v>0.23914621970377967</v>
      </c>
      <c r="V12" s="177">
        <f t="shared" si="0"/>
        <v>7.3722509684476384E-2</v>
      </c>
    </row>
    <row r="13" spans="1:22" x14ac:dyDescent="0.25">
      <c r="A13" s="173" t="s">
        <v>84</v>
      </c>
      <c r="B13" s="178">
        <f>SUMIF(NEWAGE_reg!$B$2:$B$29,sce_6!$A13,NEWAGE_reg!$C$2:$C$29)</f>
        <v>238.16848497502417</v>
      </c>
      <c r="C13" s="179"/>
      <c r="D13" s="179">
        <f>SUMIF(AP5_Targets!$B$8:$B$35,sce_6!$A13,AP5_Targets!AI$8:AI$35)</f>
        <v>247.99324003019603</v>
      </c>
      <c r="E13" s="179">
        <f t="shared" si="1"/>
        <v>225.94036106880532</v>
      </c>
      <c r="F13" s="179">
        <f>SUMIF(AP5_Targets!$B$8:$B$35,sce_6!$A13,AP5_Targets!AK$8:AK$35)</f>
        <v>203.88748210741457</v>
      </c>
      <c r="G13" s="179">
        <f t="shared" si="1"/>
        <v>158.02532815138909</v>
      </c>
      <c r="H13" s="179">
        <f>SUMIF(AP5_Targets!$B$8:$B$35,sce_6!$A13,AP5_Targets!AM$8:AM$35)</f>
        <v>112.16317419536362</v>
      </c>
      <c r="I13" s="179">
        <f t="shared" ref="I13" si="7">(H13+J13)/2</f>
        <v>66.301020239338158</v>
      </c>
      <c r="J13" s="179">
        <f>SUMIF(AP5_Targets!$B$8:$B$35,sce_6!$A13,AP5_Targets!AO$8:AO$35)</f>
        <v>20.438866283312692</v>
      </c>
      <c r="K13" s="193"/>
      <c r="L13" s="203" t="s">
        <v>84</v>
      </c>
      <c r="M13" s="213" t="s">
        <v>112</v>
      </c>
      <c r="N13" s="178">
        <f t="shared" si="3"/>
        <v>1</v>
      </c>
      <c r="O13" s="178"/>
      <c r="P13" s="178">
        <f t="shared" si="0"/>
        <v>1.0412512808157728</v>
      </c>
      <c r="Q13" s="178">
        <f t="shared" si="0"/>
        <v>0.94865767438751958</v>
      </c>
      <c r="R13" s="178">
        <f t="shared" si="0"/>
        <v>0.85606406795926626</v>
      </c>
      <c r="S13" s="178">
        <f t="shared" si="0"/>
        <v>0.66350226046053329</v>
      </c>
      <c r="T13" s="178">
        <f t="shared" si="0"/>
        <v>0.47094045296180037</v>
      </c>
      <c r="U13" s="178">
        <f t="shared" si="0"/>
        <v>0.27837864546306745</v>
      </c>
      <c r="V13" s="180">
        <f t="shared" si="0"/>
        <v>8.5816837964334522E-2</v>
      </c>
    </row>
    <row r="14" spans="1:22" x14ac:dyDescent="0.25">
      <c r="A14" s="172" t="s">
        <v>88</v>
      </c>
      <c r="B14" s="175">
        <f>SUMIF(NEWAGE_reg!$B$2:$B$29,sce_6!$A14,NEWAGE_reg!$C$2:$C$29)</f>
        <v>194.76706877726937</v>
      </c>
      <c r="C14" s="176"/>
      <c r="D14" s="176">
        <f>SUMIF(AP5_Targets!$B$8:$B$35,sce_6!$A14,AP5_Targets!AI$8:AI$35)</f>
        <v>170.79846919044058</v>
      </c>
      <c r="E14" s="176">
        <f t="shared" si="1"/>
        <v>150.50896744923537</v>
      </c>
      <c r="F14" s="176">
        <f>SUMIF(AP5_Targets!$B$8:$B$35,sce_6!$A14,AP5_Targets!AK$8:AK$35)</f>
        <v>130.21946570803016</v>
      </c>
      <c r="G14" s="176">
        <f t="shared" si="1"/>
        <v>100.92808831377337</v>
      </c>
      <c r="H14" s="176">
        <f>SUMIF(AP5_Targets!$B$8:$B$35,sce_6!$A14,AP5_Targets!AM$8:AM$35)</f>
        <v>71.636710919516588</v>
      </c>
      <c r="I14" s="176">
        <f t="shared" ref="I14" si="8">(H14+J14)/2</f>
        <v>42.345333525259797</v>
      </c>
      <c r="J14" s="176">
        <f>SUMIF(AP5_Targets!$B$8:$B$35,sce_6!$A14,AP5_Targets!AO$8:AO$35)</f>
        <v>13.053956131003011</v>
      </c>
      <c r="K14" s="193"/>
      <c r="L14" s="202" t="s">
        <v>88</v>
      </c>
      <c r="M14" s="212" t="s">
        <v>112</v>
      </c>
      <c r="N14" s="175">
        <f t="shared" si="3"/>
        <v>1</v>
      </c>
      <c r="O14" s="175"/>
      <c r="P14" s="175">
        <f t="shared" si="0"/>
        <v>0.87693710370391897</v>
      </c>
      <c r="Q14" s="175">
        <f t="shared" si="0"/>
        <v>0.77276393999312876</v>
      </c>
      <c r="R14" s="175">
        <f t="shared" si="0"/>
        <v>0.66859077628233854</v>
      </c>
      <c r="S14" s="175">
        <f t="shared" si="0"/>
        <v>0.518198938595683</v>
      </c>
      <c r="T14" s="175">
        <f t="shared" si="0"/>
        <v>0.36780710090902735</v>
      </c>
      <c r="U14" s="175">
        <f t="shared" si="0"/>
        <v>0.21741526322237173</v>
      </c>
      <c r="V14" s="177">
        <f t="shared" si="0"/>
        <v>6.7023425535716108E-2</v>
      </c>
    </row>
    <row r="15" spans="1:22" x14ac:dyDescent="0.25">
      <c r="A15" s="173" t="s">
        <v>90</v>
      </c>
      <c r="B15" s="178">
        <f>SUMIF(NEWAGE_reg!$B$2:$B$29,sce_6!$A15,NEWAGE_reg!$C$2:$C$29)</f>
        <v>168.82381683726044</v>
      </c>
      <c r="C15" s="179"/>
      <c r="D15" s="179">
        <f>SUMIF(AP5_Targets!$B$8:$B$35,sce_6!$A15,AP5_Targets!AI$8:AI$35)</f>
        <v>155.04963103987569</v>
      </c>
      <c r="E15" s="179">
        <f>(D15+F15)/2</f>
        <v>137.96434474088545</v>
      </c>
      <c r="F15" s="179">
        <f>SUMIF(AP5_Targets!$B$8:$B$35,sce_6!$A15,AP5_Targets!AK$8:AK$35)</f>
        <v>120.87905844189524</v>
      </c>
      <c r="G15" s="179">
        <f>(F15+H15)/2</f>
        <v>93.688698685522553</v>
      </c>
      <c r="H15" s="179">
        <f>SUMIF(AP5_Targets!$B$8:$B$35,sce_6!$A15,AP5_Targets!AM$8:AM$35)</f>
        <v>66.498338929149881</v>
      </c>
      <c r="I15" s="179">
        <f>(H15+J15)/2</f>
        <v>39.307979172777202</v>
      </c>
      <c r="J15" s="179">
        <f>SUMIF(AP5_Targets!$B$8:$B$35,sce_6!$A15,AP5_Targets!AO$8:AO$35)</f>
        <v>12.117619416404528</v>
      </c>
      <c r="K15" s="193"/>
      <c r="L15" s="203" t="s">
        <v>90</v>
      </c>
      <c r="M15" s="213" t="s">
        <v>112</v>
      </c>
      <c r="N15" s="178">
        <f t="shared" si="3"/>
        <v>1</v>
      </c>
      <c r="O15" s="178"/>
      <c r="P15" s="178">
        <f t="shared" si="0"/>
        <v>0.91841088505502444</v>
      </c>
      <c r="Q15" s="178">
        <f t="shared" si="0"/>
        <v>0.81720901307353855</v>
      </c>
      <c r="R15" s="178">
        <f t="shared" si="0"/>
        <v>0.71600714109205299</v>
      </c>
      <c r="S15" s="178">
        <f t="shared" si="0"/>
        <v>0.55494953520589341</v>
      </c>
      <c r="T15" s="178">
        <f t="shared" si="0"/>
        <v>0.39389192931973382</v>
      </c>
      <c r="U15" s="178">
        <f t="shared" si="0"/>
        <v>0.2328343234335743</v>
      </c>
      <c r="V15" s="180">
        <f t="shared" si="0"/>
        <v>7.177671754741477E-2</v>
      </c>
    </row>
    <row r="16" spans="1:22" ht="15.75" thickBot="1" x14ac:dyDescent="0.3">
      <c r="A16" s="185" t="s">
        <v>89</v>
      </c>
      <c r="B16" s="183">
        <f>SUMIF(NEWAGE_reg!$B$2:$B$29,sce_6!$A16,NEWAGE_reg!$C$2:$C$29)</f>
        <v>328.73528516056416</v>
      </c>
      <c r="C16" s="184"/>
      <c r="D16" s="184">
        <f>SUMIF(AP5_Targets!$B$8:$B$35,sce_6!$A16,AP5_Targets!AI$8:AI$35)</f>
        <v>379.17762751196415</v>
      </c>
      <c r="E16" s="184">
        <f t="shared" si="1"/>
        <v>344.80969391306292</v>
      </c>
      <c r="F16" s="184">
        <f>SUMIF(AP5_Targets!$B$8:$B$35,sce_6!$A16,AP5_Targets!AK$8:AK$35)</f>
        <v>310.44176031416168</v>
      </c>
      <c r="G16" s="184">
        <f t="shared" si="1"/>
        <v>240.61144185249736</v>
      </c>
      <c r="H16" s="184">
        <f>SUMIF(AP5_Targets!$B$8:$B$35,sce_6!$A16,AP5_Targets!AM$8:AM$35)</f>
        <v>170.78112339083307</v>
      </c>
      <c r="I16" s="184">
        <f t="shared" ref="I16" si="9">(H16+J16)/2</f>
        <v>100.95080492916878</v>
      </c>
      <c r="J16" s="184">
        <f>SUMIF(AP5_Targets!$B$8:$B$35,sce_6!$A16,AP5_Targets!AO$8:AO$35)</f>
        <v>31.120486467504506</v>
      </c>
      <c r="K16" s="193"/>
      <c r="L16" s="204" t="s">
        <v>89</v>
      </c>
      <c r="M16" s="214" t="s">
        <v>112</v>
      </c>
      <c r="N16" s="195">
        <f t="shared" si="3"/>
        <v>1</v>
      </c>
      <c r="O16" s="195"/>
      <c r="P16" s="195">
        <f t="shared" si="0"/>
        <v>1.1534436509508326</v>
      </c>
      <c r="Q16" s="195">
        <f t="shared" si="0"/>
        <v>1.0488977285923156</v>
      </c>
      <c r="R16" s="195">
        <f t="shared" si="0"/>
        <v>0.94435180623379877</v>
      </c>
      <c r="S16" s="195">
        <f t="shared" si="0"/>
        <v>0.73193068317864185</v>
      </c>
      <c r="T16" s="195">
        <f t="shared" si="0"/>
        <v>0.51950956012348493</v>
      </c>
      <c r="U16" s="195">
        <f t="shared" si="0"/>
        <v>0.30708843706832806</v>
      </c>
      <c r="V16" s="196">
        <f t="shared" si="0"/>
        <v>9.4667314013171203E-2</v>
      </c>
    </row>
    <row r="17" spans="1:22" ht="15.75" thickBot="1" x14ac:dyDescent="0.3">
      <c r="A17" s="162"/>
      <c r="B17" s="163"/>
      <c r="C17" s="163"/>
      <c r="D17" s="163"/>
      <c r="E17" s="163"/>
      <c r="F17" s="163"/>
      <c r="G17" s="163"/>
      <c r="H17" s="163"/>
      <c r="I17" s="163"/>
      <c r="J17" s="164"/>
      <c r="K17" s="163"/>
    </row>
    <row r="18" spans="1:22" x14ac:dyDescent="0.25">
      <c r="A18" s="270" t="s">
        <v>100</v>
      </c>
      <c r="B18" s="271"/>
      <c r="C18" s="271"/>
      <c r="D18" s="271"/>
      <c r="E18" s="271"/>
      <c r="F18" s="271"/>
      <c r="G18" s="271"/>
      <c r="H18" s="271"/>
      <c r="I18" s="271"/>
      <c r="J18" s="272"/>
      <c r="K18" s="189"/>
      <c r="L18" s="273" t="s">
        <v>98</v>
      </c>
      <c r="M18" s="274"/>
      <c r="N18" s="274"/>
      <c r="O18" s="274"/>
      <c r="P18" s="274"/>
      <c r="Q18" s="274"/>
      <c r="R18" s="274"/>
      <c r="S18" s="274"/>
      <c r="T18" s="274"/>
      <c r="U18" s="274"/>
      <c r="V18" s="275"/>
    </row>
    <row r="19" spans="1:22" x14ac:dyDescent="0.25">
      <c r="A19" s="162"/>
      <c r="B19" s="165">
        <v>2011</v>
      </c>
      <c r="C19" s="165">
        <v>2015</v>
      </c>
      <c r="D19" s="165">
        <v>2020</v>
      </c>
      <c r="E19" s="165">
        <v>2025</v>
      </c>
      <c r="F19" s="165">
        <v>2030</v>
      </c>
      <c r="G19" s="165">
        <v>2035</v>
      </c>
      <c r="H19" s="165">
        <v>2040</v>
      </c>
      <c r="I19" s="165">
        <v>2045</v>
      </c>
      <c r="J19" s="166">
        <v>2050</v>
      </c>
      <c r="K19" s="165"/>
      <c r="L19" s="162"/>
      <c r="M19" s="163"/>
      <c r="N19" s="165">
        <v>2011</v>
      </c>
      <c r="O19" s="165">
        <v>2015</v>
      </c>
      <c r="P19" s="165">
        <v>2020</v>
      </c>
      <c r="Q19" s="167">
        <v>2025</v>
      </c>
      <c r="R19" s="165">
        <v>2030</v>
      </c>
      <c r="S19" s="165">
        <v>2035</v>
      </c>
      <c r="T19" s="165">
        <v>2040</v>
      </c>
      <c r="U19" s="165">
        <v>2045</v>
      </c>
      <c r="V19" s="166">
        <v>2050</v>
      </c>
    </row>
    <row r="20" spans="1:22" ht="15.75" thickBot="1" x14ac:dyDescent="0.3">
      <c r="A20" s="185" t="s">
        <v>87</v>
      </c>
      <c r="B20" s="183">
        <f>AP5_Targets!E37</f>
        <v>905.61661818257119</v>
      </c>
      <c r="C20" s="181" t="s">
        <v>102</v>
      </c>
      <c r="D20" s="183">
        <f>AP5_Targets!AI37</f>
        <v>726.69397878383052</v>
      </c>
      <c r="E20" s="184">
        <f t="shared" ref="E20" si="10">(D20+F20)/2</f>
        <v>575.29939987053251</v>
      </c>
      <c r="F20" s="183">
        <f>AP5_Targets!AK37</f>
        <v>423.90482095723445</v>
      </c>
      <c r="G20" s="184">
        <f t="shared" ref="G20" si="11">(F20+H20)/2</f>
        <v>333.06807360925563</v>
      </c>
      <c r="H20" s="183">
        <f>AP5_Targets!AM37</f>
        <v>242.23132626127688</v>
      </c>
      <c r="I20" s="184">
        <f t="shared" ref="I20" si="12">(H20+J20)/2</f>
        <v>151.39457891329806</v>
      </c>
      <c r="J20" s="186">
        <f>AP5_Targets!AO37</f>
        <v>60.557831565319219</v>
      </c>
      <c r="K20" s="190"/>
      <c r="L20" s="174" t="s">
        <v>87</v>
      </c>
      <c r="M20" s="215" t="s">
        <v>113</v>
      </c>
      <c r="N20" s="188">
        <f>IF(B20="-",0,B20/$B20)</f>
        <v>1</v>
      </c>
      <c r="O20" s="171"/>
      <c r="P20" s="195">
        <f t="shared" ref="P20:V20" si="13">IF(D20="-",0,D20/$B20)</f>
        <v>0.80243003959246018</v>
      </c>
      <c r="Q20" s="195">
        <f t="shared" si="13"/>
        <v>0.63525711467736434</v>
      </c>
      <c r="R20" s="195">
        <f t="shared" si="13"/>
        <v>0.46808418976226845</v>
      </c>
      <c r="S20" s="195">
        <f t="shared" si="13"/>
        <v>0.36778043481321093</v>
      </c>
      <c r="T20" s="195">
        <f t="shared" si="13"/>
        <v>0.26747667986415347</v>
      </c>
      <c r="U20" s="195">
        <f t="shared" si="13"/>
        <v>0.16717292491509592</v>
      </c>
      <c r="V20" s="196">
        <f t="shared" si="13"/>
        <v>6.6869169966038366E-2</v>
      </c>
    </row>
    <row r="21" spans="1:22" ht="15.75" thickBot="1" x14ac:dyDescent="0.3">
      <c r="A21" s="162"/>
      <c r="B21" s="163"/>
      <c r="C21" s="163"/>
      <c r="D21" s="163"/>
      <c r="E21" s="163"/>
      <c r="F21" s="163"/>
      <c r="G21" s="163"/>
      <c r="H21" s="163"/>
      <c r="I21" s="163"/>
      <c r="J21" s="164"/>
      <c r="K21" s="163"/>
    </row>
    <row r="22" spans="1:22" x14ac:dyDescent="0.25">
      <c r="A22" s="270" t="s">
        <v>98</v>
      </c>
      <c r="B22" s="271"/>
      <c r="C22" s="271"/>
      <c r="D22" s="271"/>
      <c r="E22" s="271"/>
      <c r="F22" s="271"/>
      <c r="G22" s="271"/>
      <c r="H22" s="271"/>
      <c r="I22" s="271"/>
      <c r="J22" s="272"/>
      <c r="K22" s="189"/>
      <c r="L22" s="273" t="s">
        <v>98</v>
      </c>
      <c r="M22" s="274"/>
      <c r="N22" s="274"/>
      <c r="O22" s="274"/>
      <c r="P22" s="274"/>
      <c r="Q22" s="274"/>
      <c r="R22" s="274"/>
      <c r="S22" s="274"/>
      <c r="T22" s="274"/>
      <c r="U22" s="274"/>
      <c r="V22" s="275"/>
    </row>
    <row r="23" spans="1:22" x14ac:dyDescent="0.25">
      <c r="A23" s="162"/>
      <c r="B23" s="165">
        <v>2011</v>
      </c>
      <c r="C23" s="165">
        <v>2015</v>
      </c>
      <c r="D23" s="165">
        <v>2020</v>
      </c>
      <c r="E23" s="167">
        <v>2025</v>
      </c>
      <c r="F23" s="165">
        <v>2030</v>
      </c>
      <c r="G23" s="165">
        <v>2035</v>
      </c>
      <c r="H23" s="165">
        <v>2040</v>
      </c>
      <c r="I23" s="165">
        <v>2045</v>
      </c>
      <c r="J23" s="166">
        <v>2050</v>
      </c>
      <c r="K23" s="165"/>
      <c r="L23" s="162"/>
      <c r="M23" s="163"/>
      <c r="N23" s="165">
        <v>2011</v>
      </c>
      <c r="O23" s="165">
        <v>2015</v>
      </c>
      <c r="P23" s="165">
        <v>2020</v>
      </c>
      <c r="Q23" s="167">
        <v>2025</v>
      </c>
      <c r="R23" s="165">
        <v>2030</v>
      </c>
      <c r="S23" s="165">
        <v>2035</v>
      </c>
      <c r="T23" s="165">
        <v>2040</v>
      </c>
      <c r="U23" s="165">
        <v>2045</v>
      </c>
      <c r="V23" s="166">
        <v>2050</v>
      </c>
    </row>
    <row r="24" spans="1:22" ht="15.75" thickBot="1" x14ac:dyDescent="0.3">
      <c r="A24" s="174" t="s">
        <v>95</v>
      </c>
      <c r="B24" s="188">
        <f>NEWAGE_reg!$C$32</f>
        <v>1984.4704999999999</v>
      </c>
      <c r="C24" s="171"/>
      <c r="D24" s="188">
        <f>AP5_Targets!AI5</f>
        <v>1848.82041</v>
      </c>
      <c r="E24" s="205">
        <f t="shared" ref="E24" si="14">(D24+F24)/2</f>
        <v>1185.8479950000001</v>
      </c>
      <c r="F24" s="188">
        <f>AP5_Targets!AK5</f>
        <v>522.87558000000035</v>
      </c>
      <c r="G24" s="205">
        <f t="shared" ref="G24" si="15">(F24+H24)/2</f>
        <v>406.78342875000027</v>
      </c>
      <c r="H24" s="188">
        <f>AP5_Targets!AM5</f>
        <v>290.69127750000018</v>
      </c>
      <c r="I24" s="205">
        <f t="shared" ref="I24" si="16">(H24+J24)/2</f>
        <v>174.5991262500001</v>
      </c>
      <c r="J24" s="188">
        <f>AP5_Targets!AO5</f>
        <v>58.506975000000004</v>
      </c>
      <c r="K24" s="191"/>
      <c r="L24" s="174" t="s">
        <v>114</v>
      </c>
      <c r="M24" s="215" t="s">
        <v>96</v>
      </c>
      <c r="N24" s="188">
        <f>B24/$B24</f>
        <v>1</v>
      </c>
      <c r="O24" s="171"/>
      <c r="P24" s="195">
        <f t="shared" ref="P24:V24" si="17">D24/$B24</f>
        <v>0.93164418921823233</v>
      </c>
      <c r="Q24" s="195">
        <f t="shared" si="17"/>
        <v>0.59756393204131786</v>
      </c>
      <c r="R24" s="195">
        <f t="shared" si="17"/>
        <v>0.26348367486440355</v>
      </c>
      <c r="S24" s="195">
        <f t="shared" si="17"/>
        <v>0.20498335891110514</v>
      </c>
      <c r="T24" s="195">
        <f t="shared" si="17"/>
        <v>0.14648304295780673</v>
      </c>
      <c r="U24" s="195">
        <f t="shared" si="17"/>
        <v>8.7982727004508307E-2</v>
      </c>
      <c r="V24" s="196">
        <f t="shared" si="17"/>
        <v>2.9482411051209887E-2</v>
      </c>
    </row>
  </sheetData>
  <mergeCells count="10">
    <mergeCell ref="A18:J18"/>
    <mergeCell ref="A22:J22"/>
    <mergeCell ref="A1:H2"/>
    <mergeCell ref="A4:J4"/>
    <mergeCell ref="L4:V4"/>
    <mergeCell ref="E5:F5"/>
    <mergeCell ref="A6:J6"/>
    <mergeCell ref="L6:V6"/>
    <mergeCell ref="L22:V22"/>
    <mergeCell ref="L18:V18"/>
  </mergeCell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"/>
  <sheetViews>
    <sheetView workbookViewId="0">
      <selection activeCell="K27" sqref="K27"/>
    </sheetView>
  </sheetViews>
  <sheetFormatPr baseColWidth="10" defaultColWidth="8.7109375" defaultRowHeight="15" x14ac:dyDescent="0.25"/>
  <sheetData>
    <row r="1" spans="1:22" x14ac:dyDescent="0.25">
      <c r="A1" s="264" t="s">
        <v>109</v>
      </c>
      <c r="B1" s="265"/>
      <c r="C1" s="265"/>
      <c r="D1" s="265"/>
      <c r="E1" s="265"/>
      <c r="F1" s="265"/>
      <c r="G1" s="265"/>
      <c r="H1" s="266"/>
    </row>
    <row r="2" spans="1:22" ht="15.75" thickBot="1" x14ac:dyDescent="0.3">
      <c r="A2" s="267"/>
      <c r="B2" s="268"/>
      <c r="C2" s="268"/>
      <c r="D2" s="268"/>
      <c r="E2" s="268"/>
      <c r="F2" s="268"/>
      <c r="G2" s="268"/>
      <c r="H2" s="269"/>
    </row>
    <row r="3" spans="1:22" ht="15.75" thickBot="1" x14ac:dyDescent="0.3">
      <c r="L3" t="s">
        <v>103</v>
      </c>
    </row>
    <row r="4" spans="1:22" x14ac:dyDescent="0.25">
      <c r="A4" s="276" t="s">
        <v>101</v>
      </c>
      <c r="B4" s="277"/>
      <c r="C4" s="277"/>
      <c r="D4" s="277"/>
      <c r="E4" s="277"/>
      <c r="F4" s="277"/>
      <c r="G4" s="277"/>
      <c r="H4" s="277"/>
      <c r="I4" s="277"/>
      <c r="J4" s="278"/>
      <c r="K4" s="194"/>
      <c r="L4" s="280" t="s">
        <v>105</v>
      </c>
      <c r="M4" s="281"/>
      <c r="N4" s="281"/>
      <c r="O4" s="281"/>
      <c r="P4" s="281"/>
      <c r="Q4" s="281"/>
      <c r="R4" s="281"/>
      <c r="S4" s="281"/>
      <c r="T4" s="281"/>
      <c r="U4" s="281"/>
      <c r="V4" s="282"/>
    </row>
    <row r="5" spans="1:22" x14ac:dyDescent="0.25">
      <c r="A5" s="162"/>
      <c r="B5" s="163"/>
      <c r="C5" s="163"/>
      <c r="D5" s="163"/>
      <c r="E5" s="279" t="s">
        <v>104</v>
      </c>
      <c r="F5" s="279"/>
      <c r="G5" s="163"/>
      <c r="H5" s="163"/>
      <c r="I5" s="163"/>
      <c r="J5" s="164"/>
      <c r="K5" s="163"/>
      <c r="L5" s="162"/>
      <c r="M5" s="163"/>
      <c r="N5" s="163"/>
      <c r="O5" s="163"/>
      <c r="P5" s="163"/>
      <c r="Q5" s="163"/>
      <c r="R5" s="163"/>
      <c r="S5" s="163"/>
      <c r="T5" s="163"/>
      <c r="U5" s="163"/>
      <c r="V5" s="164"/>
    </row>
    <row r="6" spans="1:22" x14ac:dyDescent="0.25">
      <c r="A6" s="270" t="s">
        <v>99</v>
      </c>
      <c r="B6" s="271"/>
      <c r="C6" s="271"/>
      <c r="D6" s="271"/>
      <c r="E6" s="271"/>
      <c r="F6" s="271"/>
      <c r="G6" s="271"/>
      <c r="H6" s="271"/>
      <c r="I6" s="271"/>
      <c r="J6" s="272"/>
      <c r="K6" s="189"/>
      <c r="L6" s="283" t="s">
        <v>99</v>
      </c>
      <c r="M6" s="284"/>
      <c r="N6" s="284"/>
      <c r="O6" s="284"/>
      <c r="P6" s="284"/>
      <c r="Q6" s="284"/>
      <c r="R6" s="284"/>
      <c r="S6" s="284"/>
      <c r="T6" s="284"/>
      <c r="U6" s="284"/>
      <c r="V6" s="285"/>
    </row>
    <row r="7" spans="1:22" x14ac:dyDescent="0.25">
      <c r="A7" s="169"/>
      <c r="B7" s="167">
        <v>2011</v>
      </c>
      <c r="C7" s="170">
        <v>2015</v>
      </c>
      <c r="D7" s="170">
        <v>2020</v>
      </c>
      <c r="E7" s="170">
        <v>2025</v>
      </c>
      <c r="F7" s="170">
        <v>2030</v>
      </c>
      <c r="G7" s="170">
        <v>2035</v>
      </c>
      <c r="H7" s="170">
        <v>2040</v>
      </c>
      <c r="I7" s="170">
        <v>2045</v>
      </c>
      <c r="J7" s="166">
        <v>2050</v>
      </c>
      <c r="K7" s="192"/>
      <c r="L7" s="201"/>
      <c r="M7" s="211"/>
      <c r="N7" s="200">
        <v>2011</v>
      </c>
      <c r="O7" s="198">
        <v>2015</v>
      </c>
      <c r="P7" s="198">
        <v>2020</v>
      </c>
      <c r="Q7" s="198">
        <v>2025</v>
      </c>
      <c r="R7" s="198">
        <v>2030</v>
      </c>
      <c r="S7" s="198">
        <v>2035</v>
      </c>
      <c r="T7" s="198">
        <v>2040</v>
      </c>
      <c r="U7" s="198">
        <v>2045</v>
      </c>
      <c r="V7" s="199">
        <v>2050</v>
      </c>
    </row>
    <row r="8" spans="1:22" x14ac:dyDescent="0.25">
      <c r="A8" s="172" t="s">
        <v>87</v>
      </c>
      <c r="B8" s="175">
        <f>SUMIF(NEWAGE_reg!$B$2:$B$29,sce_7!$A8,NEWAGE_reg!$C$2:$C$29)</f>
        <v>431.12531818257122</v>
      </c>
      <c r="C8" s="176"/>
      <c r="D8" s="176">
        <f>SUMIF(AP5_Targets!$B$8:$B$35,sce_7!$A8,AP5_Targets!AR$8:AR$35)</f>
        <v>393.01826778999032</v>
      </c>
      <c r="E8" s="176">
        <f>(D8+F8)/2</f>
        <v>298.45418981970465</v>
      </c>
      <c r="F8" s="176">
        <f>SUMIF(AP5_Targets!$B$8:$B$35,sce_7!$A8,AP5_Targets!AT$8:AT$35)</f>
        <v>203.89011184941893</v>
      </c>
      <c r="G8" s="176">
        <f>(F8+H8)/2</f>
        <v>159.28603080815125</v>
      </c>
      <c r="H8" s="176">
        <f>SUMIF(AP5_Targets!$B$8:$B$35,sce_7!$A8,AP5_Targets!AV$8:AV$35)</f>
        <v>114.68194976688358</v>
      </c>
      <c r="I8" s="176">
        <f>(H8+J8)/2</f>
        <v>70.0778687256159</v>
      </c>
      <c r="J8" s="176">
        <f>SUMIF(AP5_Targets!$B$8:$B$35,sce_7!$A8,AP5_Targets!AX$8:AX$35)</f>
        <v>25.473787684348224</v>
      </c>
      <c r="K8" s="193"/>
      <c r="L8" s="202" t="s">
        <v>87</v>
      </c>
      <c r="M8" s="212" t="s">
        <v>112</v>
      </c>
      <c r="N8" s="175">
        <f>B8/$B8</f>
        <v>1</v>
      </c>
      <c r="O8" s="175"/>
      <c r="P8" s="175">
        <f t="shared" ref="P8:V16" si="0">D8/$B8</f>
        <v>0.91161027018032037</v>
      </c>
      <c r="Q8" s="175">
        <f t="shared" si="0"/>
        <v>0.69226783311602325</v>
      </c>
      <c r="R8" s="175">
        <f t="shared" si="0"/>
        <v>0.47292539605172612</v>
      </c>
      <c r="S8" s="175">
        <f t="shared" si="0"/>
        <v>0.36946573093788343</v>
      </c>
      <c r="T8" s="175">
        <f t="shared" si="0"/>
        <v>0.26600606582404079</v>
      </c>
      <c r="U8" s="175">
        <f t="shared" si="0"/>
        <v>0.16254640071019816</v>
      </c>
      <c r="V8" s="177">
        <f t="shared" si="0"/>
        <v>5.9086735596355508E-2</v>
      </c>
    </row>
    <row r="9" spans="1:22" x14ac:dyDescent="0.25">
      <c r="A9" s="173" t="s">
        <v>83</v>
      </c>
      <c r="B9" s="178">
        <f>SUMIF(NEWAGE_reg!$B$2:$B$29,sce_7!$A9,NEWAGE_reg!$C$2:$C$29)</f>
        <v>350.97888858284506</v>
      </c>
      <c r="C9" s="179"/>
      <c r="D9" s="179">
        <f>SUMIF(AP5_Targets!$B$8:$B$35,sce_7!$A9,AP5_Targets!AR$8:AR$35)</f>
        <v>329.56947669999886</v>
      </c>
      <c r="E9" s="179">
        <f t="shared" ref="E9:G16" si="1">(D9+F9)/2</f>
        <v>253.06451770861943</v>
      </c>
      <c r="F9" s="179">
        <f>SUMIF(AP5_Targets!$B$8:$B$35,sce_7!$A9,AP5_Targets!AT$8:AT$35)</f>
        <v>176.55955871724001</v>
      </c>
      <c r="G9" s="179">
        <f t="shared" si="1"/>
        <v>137.93445427151562</v>
      </c>
      <c r="H9" s="179">
        <f>SUMIF(AP5_Targets!$B$8:$B$35,sce_7!$A9,AP5_Targets!AV$8:AV$35)</f>
        <v>99.309349825791244</v>
      </c>
      <c r="I9" s="179">
        <f t="shared" ref="I9" si="2">(H9+J9)/2</f>
        <v>60.684245380066869</v>
      </c>
      <c r="J9" s="179">
        <f>SUMIF(AP5_Targets!$B$8:$B$35,sce_7!$A9,AP5_Targets!AX$8:AX$35)</f>
        <v>22.059140934342491</v>
      </c>
      <c r="K9" s="193"/>
      <c r="L9" s="203" t="s">
        <v>83</v>
      </c>
      <c r="M9" s="213" t="s">
        <v>112</v>
      </c>
      <c r="N9" s="178">
        <f t="shared" ref="N9:N16" si="3">B9/$B9</f>
        <v>1</v>
      </c>
      <c r="O9" s="178"/>
      <c r="P9" s="178">
        <f t="shared" si="0"/>
        <v>0.93900085566601621</v>
      </c>
      <c r="Q9" s="178">
        <f t="shared" si="0"/>
        <v>0.72102489904855371</v>
      </c>
      <c r="R9" s="178">
        <f t="shared" si="0"/>
        <v>0.50304894243109122</v>
      </c>
      <c r="S9" s="178">
        <f t="shared" si="0"/>
        <v>0.39299929072217565</v>
      </c>
      <c r="T9" s="178">
        <f t="shared" si="0"/>
        <v>0.28294963901326009</v>
      </c>
      <c r="U9" s="178">
        <f t="shared" si="0"/>
        <v>0.17289998730434455</v>
      </c>
      <c r="V9" s="180">
        <f t="shared" si="0"/>
        <v>6.2850335595428991E-2</v>
      </c>
    </row>
    <row r="10" spans="1:22" x14ac:dyDescent="0.25">
      <c r="A10" s="172" t="s">
        <v>85</v>
      </c>
      <c r="B10" s="175">
        <f>SUMIF(NEWAGE_reg!$B$2:$B$29,sce_7!$A10,NEWAGE_reg!$C$2:$C$29)</f>
        <v>284.2309775038301</v>
      </c>
      <c r="C10" s="176"/>
      <c r="D10" s="176">
        <f>SUMIF(AP5_Targets!$B$8:$B$35,sce_7!$A10,AP5_Targets!AR$8:AR$35)</f>
        <v>275.89078596824714</v>
      </c>
      <c r="E10" s="176">
        <f t="shared" si="1"/>
        <v>220.24105769906197</v>
      </c>
      <c r="F10" s="176">
        <f>SUMIF(AP5_Targets!$B$8:$B$35,sce_7!$A10,AP5_Targets!AT$8:AT$35)</f>
        <v>164.59132942987682</v>
      </c>
      <c r="G10" s="176">
        <f t="shared" si="1"/>
        <v>128.58445822857911</v>
      </c>
      <c r="H10" s="176">
        <f>SUMIF(AP5_Targets!$B$8:$B$35,sce_7!$A10,AP5_Targets!AV$8:AV$35)</f>
        <v>92.57758702728141</v>
      </c>
      <c r="I10" s="176">
        <f t="shared" ref="I10" si="4">(H10+J10)/2</f>
        <v>56.570715825983697</v>
      </c>
      <c r="J10" s="176">
        <f>SUMIF(AP5_Targets!$B$8:$B$35,sce_7!$A10,AP5_Targets!AX$8:AX$35)</f>
        <v>20.563844624685988</v>
      </c>
      <c r="K10" s="193"/>
      <c r="L10" s="202" t="s">
        <v>85</v>
      </c>
      <c r="M10" s="212" t="s">
        <v>112</v>
      </c>
      <c r="N10" s="175">
        <f t="shared" si="3"/>
        <v>1</v>
      </c>
      <c r="O10" s="175"/>
      <c r="P10" s="175">
        <f t="shared" si="0"/>
        <v>0.97065699309474252</v>
      </c>
      <c r="Q10" s="175">
        <f t="shared" si="0"/>
        <v>0.77486648229992505</v>
      </c>
      <c r="R10" s="175">
        <f t="shared" si="0"/>
        <v>0.5790759715051077</v>
      </c>
      <c r="S10" s="175">
        <f t="shared" si="0"/>
        <v>0.45239424413845386</v>
      </c>
      <c r="T10" s="175">
        <f t="shared" si="0"/>
        <v>0.32571251677180013</v>
      </c>
      <c r="U10" s="175">
        <f t="shared" si="0"/>
        <v>0.19903078940514635</v>
      </c>
      <c r="V10" s="177">
        <f t="shared" si="0"/>
        <v>7.2349062038492562E-2</v>
      </c>
    </row>
    <row r="11" spans="1:22" x14ac:dyDescent="0.25">
      <c r="A11" s="173" t="s">
        <v>91</v>
      </c>
      <c r="B11" s="178">
        <f>SUMIF(NEWAGE_reg!$B$2:$B$29,sce_7!$A11,NEWAGE_reg!$C$2:$C$29)</f>
        <v>184.75146052804283</v>
      </c>
      <c r="C11" s="179"/>
      <c r="D11" s="179">
        <f>SUMIF(AP5_Targets!$B$8:$B$35,sce_7!$A11,AP5_Targets!AR$8:AR$35)</f>
        <v>189.32682156080617</v>
      </c>
      <c r="E11" s="179">
        <f t="shared" si="1"/>
        <v>169.22954575104927</v>
      </c>
      <c r="F11" s="179">
        <f>SUMIF(AP5_Targets!$B$8:$B$35,sce_7!$A11,AP5_Targets!AT$8:AT$35)</f>
        <v>149.13226994129238</v>
      </c>
      <c r="G11" s="179">
        <f t="shared" si="1"/>
        <v>116.50730449303015</v>
      </c>
      <c r="H11" s="179">
        <f>SUMIF(AP5_Targets!$B$8:$B$35,sce_7!$A11,AP5_Targets!AV$8:AV$35)</f>
        <v>83.882339044767932</v>
      </c>
      <c r="I11" s="179">
        <f t="shared" ref="I11" si="5">(H11+J11)/2</f>
        <v>51.257373596505708</v>
      </c>
      <c r="J11" s="179">
        <f>SUMIF(AP5_Targets!$B$8:$B$35,sce_7!$A11,AP5_Targets!AX$8:AX$35)</f>
        <v>18.632408148243488</v>
      </c>
      <c r="K11" s="193"/>
      <c r="L11" s="203" t="s">
        <v>91</v>
      </c>
      <c r="M11" s="213" t="s">
        <v>112</v>
      </c>
      <c r="N11" s="178">
        <f t="shared" si="3"/>
        <v>1</v>
      </c>
      <c r="O11" s="178"/>
      <c r="P11" s="178">
        <f t="shared" si="0"/>
        <v>1.0247649518963822</v>
      </c>
      <c r="Q11" s="178">
        <f t="shared" si="0"/>
        <v>0.91598488730411132</v>
      </c>
      <c r="R11" s="178">
        <f t="shared" si="0"/>
        <v>0.80720482271184035</v>
      </c>
      <c r="S11" s="178">
        <f t="shared" si="0"/>
        <v>0.63061641926963752</v>
      </c>
      <c r="T11" s="178">
        <f t="shared" si="0"/>
        <v>0.45402801582743485</v>
      </c>
      <c r="U11" s="178">
        <f t="shared" si="0"/>
        <v>0.27743961238523207</v>
      </c>
      <c r="V11" s="180">
        <f t="shared" si="0"/>
        <v>0.10085120894302936</v>
      </c>
    </row>
    <row r="12" spans="1:22" x14ac:dyDescent="0.25">
      <c r="A12" s="172" t="s">
        <v>86</v>
      </c>
      <c r="B12" s="175">
        <f>SUMIF(NEWAGE_reg!$B$2:$B$29,sce_7!$A12,NEWAGE_reg!$C$2:$C$29)</f>
        <v>318.03906884435668</v>
      </c>
      <c r="C12" s="176"/>
      <c r="D12" s="176">
        <f>SUMIF(AP5_Targets!$B$8:$B$35,sce_7!$A12,AP5_Targets!AR$8:AR$35)</f>
        <v>311.85526550692305</v>
      </c>
      <c r="E12" s="176">
        <f t="shared" si="1"/>
        <v>241.45133701851518</v>
      </c>
      <c r="F12" s="176">
        <f>SUMIF(AP5_Targets!$B$8:$B$35,sce_7!$A12,AP5_Targets!AT$8:AT$35)</f>
        <v>171.04740853010728</v>
      </c>
      <c r="G12" s="176">
        <f t="shared" si="1"/>
        <v>133.62817126169892</v>
      </c>
      <c r="H12" s="176">
        <f>SUMIF(AP5_Targets!$B$8:$B$35,sce_7!$A12,AP5_Targets!AV$8:AV$35)</f>
        <v>96.208933993290572</v>
      </c>
      <c r="I12" s="176">
        <f t="shared" ref="I12" si="6">(H12+J12)/2</f>
        <v>58.789696724882212</v>
      </c>
      <c r="J12" s="176">
        <f>SUMIF(AP5_Targets!$B$8:$B$35,sce_7!$A12,AP5_Targets!AX$8:AX$35)</f>
        <v>21.370459456473853</v>
      </c>
      <c r="K12" s="193"/>
      <c r="L12" s="202" t="s">
        <v>86</v>
      </c>
      <c r="M12" s="212" t="s">
        <v>112</v>
      </c>
      <c r="N12" s="175">
        <f t="shared" si="3"/>
        <v>1</v>
      </c>
      <c r="O12" s="175"/>
      <c r="P12" s="175">
        <f t="shared" si="0"/>
        <v>0.98055646634891924</v>
      </c>
      <c r="Q12" s="175">
        <f t="shared" si="0"/>
        <v>0.75918766174189012</v>
      </c>
      <c r="R12" s="175">
        <f t="shared" si="0"/>
        <v>0.53781885713486099</v>
      </c>
      <c r="S12" s="175">
        <f t="shared" si="0"/>
        <v>0.42016275468060327</v>
      </c>
      <c r="T12" s="175">
        <f t="shared" si="0"/>
        <v>0.30250665222634554</v>
      </c>
      <c r="U12" s="175">
        <f t="shared" si="0"/>
        <v>0.18485054977208781</v>
      </c>
      <c r="V12" s="177">
        <f t="shared" si="0"/>
        <v>6.7194447317830058E-2</v>
      </c>
    </row>
    <row r="13" spans="1:22" x14ac:dyDescent="0.25">
      <c r="A13" s="173" t="s">
        <v>84</v>
      </c>
      <c r="B13" s="178">
        <f>SUMIF(NEWAGE_reg!$B$2:$B$29,sce_7!$A13,NEWAGE_reg!$C$2:$C$29)</f>
        <v>238.16848497502417</v>
      </c>
      <c r="C13" s="179"/>
      <c r="D13" s="179">
        <f>SUMIF(AP5_Targets!$B$8:$B$35,sce_7!$A13,AP5_Targets!AR$8:AR$35)</f>
        <v>247.99324003019603</v>
      </c>
      <c r="E13" s="179">
        <f t="shared" si="1"/>
        <v>210.6848625062359</v>
      </c>
      <c r="F13" s="179">
        <f>SUMIF(AP5_Targets!$B$8:$B$35,sce_7!$A13,AP5_Targets!AT$8:AT$35)</f>
        <v>173.37648498227577</v>
      </c>
      <c r="G13" s="179">
        <f t="shared" si="1"/>
        <v>135.4477266101635</v>
      </c>
      <c r="H13" s="179">
        <f>SUMIF(AP5_Targets!$B$8:$B$35,sce_7!$A13,AP5_Targets!AV$8:AV$35)</f>
        <v>97.518968238051215</v>
      </c>
      <c r="I13" s="179">
        <f t="shared" ref="I13" si="7">(H13+J13)/2</f>
        <v>59.590209865938938</v>
      </c>
      <c r="J13" s="179">
        <f>SUMIF(AP5_Targets!$B$8:$B$35,sce_7!$A13,AP5_Targets!AX$8:AX$35)</f>
        <v>21.661451493826664</v>
      </c>
      <c r="K13" s="193"/>
      <c r="L13" s="203" t="s">
        <v>84</v>
      </c>
      <c r="M13" s="213" t="s">
        <v>112</v>
      </c>
      <c r="N13" s="178">
        <f t="shared" si="3"/>
        <v>1</v>
      </c>
      <c r="O13" s="178"/>
      <c r="P13" s="178">
        <f t="shared" si="0"/>
        <v>1.0412512808157728</v>
      </c>
      <c r="Q13" s="178">
        <f t="shared" si="0"/>
        <v>0.88460428561037208</v>
      </c>
      <c r="R13" s="178">
        <f t="shared" si="0"/>
        <v>0.72795729040497148</v>
      </c>
      <c r="S13" s="178">
        <f t="shared" si="0"/>
        <v>0.56870549696937189</v>
      </c>
      <c r="T13" s="178">
        <f t="shared" si="0"/>
        <v>0.40945370353377214</v>
      </c>
      <c r="U13" s="178">
        <f t="shared" si="0"/>
        <v>0.25020191009817244</v>
      </c>
      <c r="V13" s="180">
        <f t="shared" si="0"/>
        <v>9.09501166625728E-2</v>
      </c>
    </row>
    <row r="14" spans="1:22" x14ac:dyDescent="0.25">
      <c r="A14" s="172" t="s">
        <v>88</v>
      </c>
      <c r="B14" s="175">
        <f>SUMIF(NEWAGE_reg!$B$2:$B$29,sce_7!$A14,NEWAGE_reg!$C$2:$C$29)</f>
        <v>194.76706877726937</v>
      </c>
      <c r="C14" s="176"/>
      <c r="D14" s="176">
        <f>SUMIF(AP5_Targets!$B$8:$B$35,sce_7!$A14,AP5_Targets!AR$8:AR$35)</f>
        <v>170.79846919044058</v>
      </c>
      <c r="E14" s="176">
        <f t="shared" si="1"/>
        <v>133.88453135204699</v>
      </c>
      <c r="F14" s="176">
        <f>SUMIF(AP5_Targets!$B$8:$B$35,sce_7!$A14,AP5_Targets!AT$8:AT$35)</f>
        <v>96.970593513653398</v>
      </c>
      <c r="G14" s="176">
        <f t="shared" si="1"/>
        <v>75.756792743868061</v>
      </c>
      <c r="H14" s="176">
        <f>SUMIF(AP5_Targets!$B$8:$B$35,sce_7!$A14,AP5_Targets!AV$8:AV$35)</f>
        <v>54.542991974082732</v>
      </c>
      <c r="I14" s="176">
        <f t="shared" ref="I14" si="8">(H14+J14)/2</f>
        <v>33.329191204297388</v>
      </c>
      <c r="J14" s="176">
        <f>SUMIF(AP5_Targets!$B$8:$B$35,sce_7!$A14,AP5_Targets!AX$8:AX$35)</f>
        <v>12.115390434512049</v>
      </c>
      <c r="K14" s="193"/>
      <c r="L14" s="202" t="s">
        <v>88</v>
      </c>
      <c r="M14" s="212" t="s">
        <v>112</v>
      </c>
      <c r="N14" s="175">
        <f t="shared" si="3"/>
        <v>1</v>
      </c>
      <c r="O14" s="175"/>
      <c r="P14" s="175">
        <f t="shared" si="0"/>
        <v>0.87693710370391897</v>
      </c>
      <c r="Q14" s="175">
        <f t="shared" si="0"/>
        <v>0.68740846279898538</v>
      </c>
      <c r="R14" s="175">
        <f t="shared" si="0"/>
        <v>0.49787982189405172</v>
      </c>
      <c r="S14" s="175">
        <f t="shared" si="0"/>
        <v>0.38896099437888848</v>
      </c>
      <c r="T14" s="175">
        <f t="shared" si="0"/>
        <v>0.28004216686372529</v>
      </c>
      <c r="U14" s="175">
        <f t="shared" si="0"/>
        <v>0.17112333934856203</v>
      </c>
      <c r="V14" s="177">
        <f t="shared" si="0"/>
        <v>6.2204511833398791E-2</v>
      </c>
    </row>
    <row r="15" spans="1:22" x14ac:dyDescent="0.25">
      <c r="A15" s="173" t="s">
        <v>90</v>
      </c>
      <c r="B15" s="178">
        <f>SUMIF(NEWAGE_reg!$B$2:$B$29,sce_7!$A15,NEWAGE_reg!$C$2:$C$29)</f>
        <v>168.82381683726044</v>
      </c>
      <c r="C15" s="179"/>
      <c r="D15" s="179">
        <f>SUMIF(AP5_Targets!$B$8:$B$35,sce_7!$A15,AP5_Targets!AR$8:AR$35)</f>
        <v>155.04963103987569</v>
      </c>
      <c r="E15" s="179">
        <f>(D15+F15)/2</f>
        <v>124.30130520865566</v>
      </c>
      <c r="F15" s="179">
        <f>SUMIF(AP5_Targets!$B$8:$B$35,sce_7!$A15,AP5_Targets!AT$8:AT$35)</f>
        <v>93.552979377435648</v>
      </c>
      <c r="G15" s="179">
        <f>(F15+H15)/2</f>
        <v>73.086833981993436</v>
      </c>
      <c r="H15" s="179">
        <f>SUMIF(AP5_Targets!$B$8:$B$35,sce_7!$A15,AP5_Targets!AV$8:AV$35)</f>
        <v>52.620688586551218</v>
      </c>
      <c r="I15" s="179">
        <f>(H15+J15)/2</f>
        <v>32.154543191109006</v>
      </c>
      <c r="J15" s="179">
        <f>SUMIF(AP5_Targets!$B$8:$B$35,sce_7!$A15,AP5_Targets!AX$8:AX$35)</f>
        <v>11.688397795666793</v>
      </c>
      <c r="K15" s="193"/>
      <c r="L15" s="203" t="s">
        <v>90</v>
      </c>
      <c r="M15" s="213" t="s">
        <v>112</v>
      </c>
      <c r="N15" s="178">
        <f t="shared" si="3"/>
        <v>1</v>
      </c>
      <c r="O15" s="178"/>
      <c r="P15" s="178">
        <f t="shared" si="0"/>
        <v>0.91841088505502444</v>
      </c>
      <c r="Q15" s="178">
        <f t="shared" si="0"/>
        <v>0.73627825467586283</v>
      </c>
      <c r="R15" s="178">
        <f t="shared" si="0"/>
        <v>0.55414562429670133</v>
      </c>
      <c r="S15" s="178">
        <f t="shared" si="0"/>
        <v>0.43291779176184775</v>
      </c>
      <c r="T15" s="178">
        <f t="shared" si="0"/>
        <v>0.31168995922699405</v>
      </c>
      <c r="U15" s="178">
        <f t="shared" si="0"/>
        <v>0.19046212669214041</v>
      </c>
      <c r="V15" s="180">
        <f t="shared" si="0"/>
        <v>6.9234294157286769E-2</v>
      </c>
    </row>
    <row r="16" spans="1:22" ht="15.75" thickBot="1" x14ac:dyDescent="0.3">
      <c r="A16" s="185" t="s">
        <v>89</v>
      </c>
      <c r="B16" s="183">
        <f>SUMIF(NEWAGE_reg!$B$2:$B$29,sce_7!$A16,NEWAGE_reg!$C$2:$C$29)</f>
        <v>328.73528516056416</v>
      </c>
      <c r="C16" s="184"/>
      <c r="D16" s="184">
        <f>SUMIF(AP5_Targets!$B$8:$B$35,sce_7!$A16,AP5_Targets!AR$8:AR$35)</f>
        <v>379.17762751196415</v>
      </c>
      <c r="E16" s="184">
        <f t="shared" si="1"/>
        <v>333.9818593320839</v>
      </c>
      <c r="F16" s="184">
        <f>SUMIF(AP5_Targets!$B$8:$B$35,sce_7!$A16,AP5_Targets!AT$8:AT$35)</f>
        <v>288.78609115220365</v>
      </c>
      <c r="G16" s="184">
        <f t="shared" si="1"/>
        <v>225.60971591505154</v>
      </c>
      <c r="H16" s="184">
        <f>SUMIF(AP5_Targets!$B$8:$B$35,sce_7!$A16,AP5_Targets!AV$8:AV$35)</f>
        <v>162.43334067789939</v>
      </c>
      <c r="I16" s="184">
        <f t="shared" ref="I16" si="9">(H16+J16)/2</f>
        <v>99.25696544074728</v>
      </c>
      <c r="J16" s="184">
        <f>SUMIF(AP5_Targets!$B$8:$B$35,sce_7!$A16,AP5_Targets!AX$8:AX$35)</f>
        <v>36.080590203595179</v>
      </c>
      <c r="K16" s="193"/>
      <c r="L16" s="204" t="s">
        <v>89</v>
      </c>
      <c r="M16" s="214" t="s">
        <v>112</v>
      </c>
      <c r="N16" s="195">
        <f t="shared" si="3"/>
        <v>1</v>
      </c>
      <c r="O16" s="195"/>
      <c r="P16" s="195">
        <f t="shared" si="0"/>
        <v>1.1534436509508326</v>
      </c>
      <c r="Q16" s="195">
        <f t="shared" si="0"/>
        <v>1.0159598753415142</v>
      </c>
      <c r="R16" s="195">
        <f t="shared" si="0"/>
        <v>0.87847609973219598</v>
      </c>
      <c r="S16" s="195">
        <f t="shared" si="0"/>
        <v>0.68629601414663166</v>
      </c>
      <c r="T16" s="195">
        <f t="shared" si="0"/>
        <v>0.49411592856106729</v>
      </c>
      <c r="U16" s="195">
        <f t="shared" si="0"/>
        <v>0.30193584297550291</v>
      </c>
      <c r="V16" s="196">
        <f t="shared" si="0"/>
        <v>0.10975575738993865</v>
      </c>
    </row>
    <row r="17" spans="1:22" ht="15.75" thickBot="1" x14ac:dyDescent="0.3">
      <c r="A17" s="162"/>
      <c r="B17" s="163"/>
      <c r="C17" s="163"/>
      <c r="D17" s="163"/>
      <c r="E17" s="163"/>
      <c r="F17" s="163"/>
      <c r="G17" s="163"/>
      <c r="H17" s="163"/>
      <c r="I17" s="163"/>
      <c r="J17" s="164"/>
      <c r="K17" s="163"/>
    </row>
    <row r="18" spans="1:22" x14ac:dyDescent="0.25">
      <c r="A18" s="270" t="s">
        <v>100</v>
      </c>
      <c r="B18" s="271"/>
      <c r="C18" s="271"/>
      <c r="D18" s="271"/>
      <c r="E18" s="271"/>
      <c r="F18" s="271"/>
      <c r="G18" s="271"/>
      <c r="H18" s="271"/>
      <c r="I18" s="271"/>
      <c r="J18" s="272"/>
      <c r="K18" s="189"/>
      <c r="L18" s="273" t="s">
        <v>98</v>
      </c>
      <c r="M18" s="274"/>
      <c r="N18" s="274"/>
      <c r="O18" s="274"/>
      <c r="P18" s="274"/>
      <c r="Q18" s="274"/>
      <c r="R18" s="274"/>
      <c r="S18" s="274"/>
      <c r="T18" s="274"/>
      <c r="U18" s="274"/>
      <c r="V18" s="275"/>
    </row>
    <row r="19" spans="1:22" x14ac:dyDescent="0.25">
      <c r="A19" s="162"/>
      <c r="B19" s="165">
        <v>2011</v>
      </c>
      <c r="C19" s="165">
        <v>2015</v>
      </c>
      <c r="D19" s="165">
        <v>2020</v>
      </c>
      <c r="E19" s="165">
        <v>2025</v>
      </c>
      <c r="F19" s="165">
        <v>2030</v>
      </c>
      <c r="G19" s="165">
        <v>2035</v>
      </c>
      <c r="H19" s="165">
        <v>2040</v>
      </c>
      <c r="I19" s="165">
        <v>2045</v>
      </c>
      <c r="J19" s="166">
        <v>2050</v>
      </c>
      <c r="K19" s="165"/>
      <c r="L19" s="162"/>
      <c r="M19" s="163"/>
      <c r="N19" s="165">
        <v>2011</v>
      </c>
      <c r="O19" s="165">
        <v>2015</v>
      </c>
      <c r="P19" s="165">
        <v>2020</v>
      </c>
      <c r="Q19" s="167">
        <v>2025</v>
      </c>
      <c r="R19" s="165">
        <v>2030</v>
      </c>
      <c r="S19" s="165">
        <v>2035</v>
      </c>
      <c r="T19" s="165">
        <v>2040</v>
      </c>
      <c r="U19" s="165">
        <v>2045</v>
      </c>
      <c r="V19" s="166">
        <v>2050</v>
      </c>
    </row>
    <row r="20" spans="1:22" ht="15.75" thickBot="1" x14ac:dyDescent="0.3">
      <c r="A20" s="185" t="s">
        <v>87</v>
      </c>
      <c r="B20" s="182" t="s">
        <v>102</v>
      </c>
      <c r="C20" s="181" t="s">
        <v>102</v>
      </c>
      <c r="D20" s="181" t="s">
        <v>102</v>
      </c>
      <c r="E20" s="181" t="s">
        <v>102</v>
      </c>
      <c r="F20" s="181" t="s">
        <v>102</v>
      </c>
      <c r="G20" s="181" t="s">
        <v>102</v>
      </c>
      <c r="H20" s="181" t="s">
        <v>102</v>
      </c>
      <c r="I20" s="181" t="s">
        <v>102</v>
      </c>
      <c r="J20" s="187" t="s">
        <v>102</v>
      </c>
      <c r="K20" s="190"/>
      <c r="L20" s="174" t="s">
        <v>87</v>
      </c>
      <c r="M20" s="215" t="s">
        <v>113</v>
      </c>
      <c r="N20" s="188">
        <f>IF(B20="-",0,B20/$B20)</f>
        <v>0</v>
      </c>
      <c r="O20" s="171"/>
      <c r="P20" s="195">
        <f t="shared" ref="P20:V20" si="10">IF(D20="-",0,D20/$B20)</f>
        <v>0</v>
      </c>
      <c r="Q20" s="195">
        <f t="shared" si="10"/>
        <v>0</v>
      </c>
      <c r="R20" s="195">
        <f t="shared" si="10"/>
        <v>0</v>
      </c>
      <c r="S20" s="195">
        <f t="shared" si="10"/>
        <v>0</v>
      </c>
      <c r="T20" s="195">
        <f t="shared" si="10"/>
        <v>0</v>
      </c>
      <c r="U20" s="195">
        <f t="shared" si="10"/>
        <v>0</v>
      </c>
      <c r="V20" s="196">
        <f t="shared" si="10"/>
        <v>0</v>
      </c>
    </row>
    <row r="21" spans="1:22" ht="15.75" thickBot="1" x14ac:dyDescent="0.3">
      <c r="A21" s="162"/>
      <c r="B21" s="163"/>
      <c r="C21" s="163"/>
      <c r="D21" s="163"/>
      <c r="E21" s="163"/>
      <c r="F21" s="163"/>
      <c r="G21" s="163"/>
      <c r="H21" s="163"/>
      <c r="I21" s="163"/>
      <c r="J21" s="164"/>
      <c r="K21" s="163"/>
    </row>
    <row r="22" spans="1:22" x14ac:dyDescent="0.25">
      <c r="A22" s="270" t="s">
        <v>98</v>
      </c>
      <c r="B22" s="271"/>
      <c r="C22" s="271"/>
      <c r="D22" s="271"/>
      <c r="E22" s="271"/>
      <c r="F22" s="271"/>
      <c r="G22" s="271"/>
      <c r="H22" s="271"/>
      <c r="I22" s="271"/>
      <c r="J22" s="272"/>
      <c r="K22" s="189"/>
      <c r="L22" s="273" t="s">
        <v>98</v>
      </c>
      <c r="M22" s="274"/>
      <c r="N22" s="274"/>
      <c r="O22" s="274"/>
      <c r="P22" s="274"/>
      <c r="Q22" s="274"/>
      <c r="R22" s="274"/>
      <c r="S22" s="274"/>
      <c r="T22" s="274"/>
      <c r="U22" s="274"/>
      <c r="V22" s="275"/>
    </row>
    <row r="23" spans="1:22" x14ac:dyDescent="0.25">
      <c r="A23" s="162"/>
      <c r="B23" s="165">
        <v>2011</v>
      </c>
      <c r="C23" s="165">
        <v>2015</v>
      </c>
      <c r="D23" s="165">
        <v>2020</v>
      </c>
      <c r="E23" s="167">
        <v>2025</v>
      </c>
      <c r="F23" s="165">
        <v>2030</v>
      </c>
      <c r="G23" s="165">
        <v>2035</v>
      </c>
      <c r="H23" s="165">
        <v>2040</v>
      </c>
      <c r="I23" s="165">
        <v>2045</v>
      </c>
      <c r="J23" s="166">
        <v>2050</v>
      </c>
      <c r="K23" s="165"/>
      <c r="L23" s="162"/>
      <c r="M23" s="163"/>
      <c r="N23" s="165">
        <v>2011</v>
      </c>
      <c r="O23" s="165">
        <v>2015</v>
      </c>
      <c r="P23" s="165">
        <v>2020</v>
      </c>
      <c r="Q23" s="167">
        <v>2025</v>
      </c>
      <c r="R23" s="165">
        <v>2030</v>
      </c>
      <c r="S23" s="165">
        <v>2035</v>
      </c>
      <c r="T23" s="165">
        <v>2040</v>
      </c>
      <c r="U23" s="165">
        <v>2045</v>
      </c>
      <c r="V23" s="166">
        <v>2050</v>
      </c>
    </row>
    <row r="24" spans="1:22" ht="15.75" thickBot="1" x14ac:dyDescent="0.3">
      <c r="A24" s="174" t="s">
        <v>95</v>
      </c>
      <c r="B24" s="188">
        <f>NEWAGE_reg!$C$32</f>
        <v>1984.4704999999999</v>
      </c>
      <c r="C24" s="171"/>
      <c r="D24" s="188">
        <f>AP5_Targets!AR5</f>
        <v>1848.82041</v>
      </c>
      <c r="E24" s="205">
        <f t="shared" ref="E24" si="11">(D24+F24)/2</f>
        <v>1372.3971885000001</v>
      </c>
      <c r="F24" s="188">
        <f>AP5_Targets!AT5</f>
        <v>895.97396700000013</v>
      </c>
      <c r="G24" s="205">
        <f t="shared" ref="G24" si="12">(F24+H24)/2</f>
        <v>686.6072190000001</v>
      </c>
      <c r="H24" s="188">
        <f>AP5_Targets!AV5</f>
        <v>477.24047100000007</v>
      </c>
      <c r="I24" s="205">
        <f t="shared" ref="I24" si="13">(H24+J24)/2</f>
        <v>267.87372300000004</v>
      </c>
      <c r="J24" s="188">
        <f>AP5_Targets!AX5</f>
        <v>58.506975000000004</v>
      </c>
      <c r="K24" s="191"/>
      <c r="L24" s="174" t="s">
        <v>114</v>
      </c>
      <c r="M24" s="215" t="s">
        <v>96</v>
      </c>
      <c r="N24" s="188">
        <f>B24/$B24</f>
        <v>1</v>
      </c>
      <c r="O24" s="171"/>
      <c r="P24" s="195">
        <f t="shared" ref="P24:V24" si="14">D24/$B24</f>
        <v>0.93164418921823233</v>
      </c>
      <c r="Q24" s="195">
        <f t="shared" si="14"/>
        <v>0.69156845037504977</v>
      </c>
      <c r="R24" s="195">
        <f t="shared" si="14"/>
        <v>0.45149271153186715</v>
      </c>
      <c r="S24" s="195">
        <f t="shared" si="14"/>
        <v>0.34599013641170284</v>
      </c>
      <c r="T24" s="195">
        <f t="shared" si="14"/>
        <v>0.24048756129153853</v>
      </c>
      <c r="U24" s="195">
        <f t="shared" si="14"/>
        <v>0.13498498617137419</v>
      </c>
      <c r="V24" s="196">
        <f t="shared" si="14"/>
        <v>2.9482411051209887E-2</v>
      </c>
    </row>
  </sheetData>
  <mergeCells count="10">
    <mergeCell ref="A18:J18"/>
    <mergeCell ref="A22:J22"/>
    <mergeCell ref="A1:H2"/>
    <mergeCell ref="A4:J4"/>
    <mergeCell ref="L4:V4"/>
    <mergeCell ref="E5:F5"/>
    <mergeCell ref="A6:J6"/>
    <mergeCell ref="L6:V6"/>
    <mergeCell ref="L22:V22"/>
    <mergeCell ref="L18:V18"/>
  </mergeCell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"/>
  <sheetViews>
    <sheetView workbookViewId="0">
      <selection activeCell="P29" sqref="P29"/>
    </sheetView>
  </sheetViews>
  <sheetFormatPr baseColWidth="10" defaultColWidth="8.7109375" defaultRowHeight="15" x14ac:dyDescent="0.25"/>
  <sheetData>
    <row r="1" spans="1:22" x14ac:dyDescent="0.25">
      <c r="A1" s="264" t="s">
        <v>110</v>
      </c>
      <c r="B1" s="265"/>
      <c r="C1" s="265"/>
      <c r="D1" s="265"/>
      <c r="E1" s="265"/>
      <c r="F1" s="265"/>
      <c r="G1" s="265"/>
      <c r="H1" s="266"/>
    </row>
    <row r="2" spans="1:22" ht="15.75" thickBot="1" x14ac:dyDescent="0.3">
      <c r="A2" s="267"/>
      <c r="B2" s="268"/>
      <c r="C2" s="268"/>
      <c r="D2" s="268"/>
      <c r="E2" s="268"/>
      <c r="F2" s="268"/>
      <c r="G2" s="268"/>
      <c r="H2" s="269"/>
    </row>
    <row r="3" spans="1:22" ht="15.75" thickBot="1" x14ac:dyDescent="0.3">
      <c r="L3" t="s">
        <v>103</v>
      </c>
    </row>
    <row r="4" spans="1:22" x14ac:dyDescent="0.25">
      <c r="A4" s="276" t="s">
        <v>101</v>
      </c>
      <c r="B4" s="277"/>
      <c r="C4" s="277"/>
      <c r="D4" s="277"/>
      <c r="E4" s="277"/>
      <c r="F4" s="277"/>
      <c r="G4" s="277"/>
      <c r="H4" s="277"/>
      <c r="I4" s="277"/>
      <c r="J4" s="278"/>
      <c r="K4" s="194"/>
      <c r="L4" s="280" t="s">
        <v>105</v>
      </c>
      <c r="M4" s="281"/>
      <c r="N4" s="281"/>
      <c r="O4" s="281"/>
      <c r="P4" s="281"/>
      <c r="Q4" s="281"/>
      <c r="R4" s="281"/>
      <c r="S4" s="281"/>
      <c r="T4" s="281"/>
      <c r="U4" s="281"/>
      <c r="V4" s="282"/>
    </row>
    <row r="5" spans="1:22" x14ac:dyDescent="0.25">
      <c r="A5" s="162"/>
      <c r="B5" s="163"/>
      <c r="C5" s="163"/>
      <c r="D5" s="163"/>
      <c r="E5" s="279" t="s">
        <v>104</v>
      </c>
      <c r="F5" s="279"/>
      <c r="G5" s="163"/>
      <c r="H5" s="163"/>
      <c r="I5" s="163"/>
      <c r="J5" s="164"/>
      <c r="K5" s="163"/>
      <c r="L5" s="162"/>
      <c r="M5" s="163"/>
      <c r="N5" s="163"/>
      <c r="O5" s="163"/>
      <c r="P5" s="163"/>
      <c r="Q5" s="163"/>
      <c r="R5" s="163"/>
      <c r="S5" s="163"/>
      <c r="T5" s="163"/>
      <c r="U5" s="163"/>
      <c r="V5" s="164"/>
    </row>
    <row r="6" spans="1:22" x14ac:dyDescent="0.25">
      <c r="A6" s="270" t="s">
        <v>99</v>
      </c>
      <c r="B6" s="271"/>
      <c r="C6" s="271"/>
      <c r="D6" s="271"/>
      <c r="E6" s="271"/>
      <c r="F6" s="271"/>
      <c r="G6" s="271"/>
      <c r="H6" s="271"/>
      <c r="I6" s="271"/>
      <c r="J6" s="272"/>
      <c r="K6" s="189"/>
      <c r="L6" s="283" t="s">
        <v>99</v>
      </c>
      <c r="M6" s="284"/>
      <c r="N6" s="284"/>
      <c r="O6" s="284"/>
      <c r="P6" s="284"/>
      <c r="Q6" s="284"/>
      <c r="R6" s="284"/>
      <c r="S6" s="284"/>
      <c r="T6" s="284"/>
      <c r="U6" s="284"/>
      <c r="V6" s="285"/>
    </row>
    <row r="7" spans="1:22" x14ac:dyDescent="0.25">
      <c r="A7" s="169"/>
      <c r="B7" s="167">
        <v>2011</v>
      </c>
      <c r="C7" s="170">
        <v>2015</v>
      </c>
      <c r="D7" s="170">
        <v>2020</v>
      </c>
      <c r="E7" s="170">
        <v>2025</v>
      </c>
      <c r="F7" s="170">
        <v>2030</v>
      </c>
      <c r="G7" s="170">
        <v>2035</v>
      </c>
      <c r="H7" s="170">
        <v>2040</v>
      </c>
      <c r="I7" s="170">
        <v>2045</v>
      </c>
      <c r="J7" s="166">
        <v>2050</v>
      </c>
      <c r="K7" s="192"/>
      <c r="L7" s="201"/>
      <c r="M7" s="211"/>
      <c r="N7" s="200">
        <v>2011</v>
      </c>
      <c r="O7" s="198">
        <v>2015</v>
      </c>
      <c r="P7" s="198">
        <v>2020</v>
      </c>
      <c r="Q7" s="198">
        <v>2025</v>
      </c>
      <c r="R7" s="198">
        <v>2030</v>
      </c>
      <c r="S7" s="198">
        <v>2035</v>
      </c>
      <c r="T7" s="198">
        <v>2040</v>
      </c>
      <c r="U7" s="198">
        <v>2045</v>
      </c>
      <c r="V7" s="199">
        <v>2050</v>
      </c>
    </row>
    <row r="8" spans="1:22" x14ac:dyDescent="0.25">
      <c r="A8" s="172" t="s">
        <v>87</v>
      </c>
      <c r="B8" s="175">
        <f>SUMIF(NEWAGE_reg!$B$2:$B$29,sce_8!$A8,NEWAGE_reg!$C$2:$C$29)</f>
        <v>431.12531818257122</v>
      </c>
      <c r="C8" s="176"/>
      <c r="D8" s="176">
        <f>SUMIF(AP5_Targets!$B$8:$B$35,sce_8!$A8,AP5_Targets!BA$8:BA$35)</f>
        <v>393.01826778999032</v>
      </c>
      <c r="E8" s="176">
        <f>(D8+F8)/2</f>
        <v>298.45418981970465</v>
      </c>
      <c r="F8" s="176">
        <f>SUMIF(AP5_Targets!$B$8:$B$35,sce_8!$A8,AP5_Targets!BC$8:BC$35)</f>
        <v>203.89011184941893</v>
      </c>
      <c r="G8" s="176">
        <f>(F8+H8)/2</f>
        <v>159.28603080815125</v>
      </c>
      <c r="H8" s="176">
        <f>SUMIF(AP5_Targets!$B$8:$B$35,sce_8!$A8,AP5_Targets!BE$8:BE$35)</f>
        <v>114.68194976688358</v>
      </c>
      <c r="I8" s="176">
        <f>(H8+J8)/2</f>
        <v>70.0778687256159</v>
      </c>
      <c r="J8" s="176">
        <f>SUMIF(AP5_Targets!$B$8:$B$35,sce_8!$A8,AP5_Targets!BG$8:BG$35)</f>
        <v>25.473787684348224</v>
      </c>
      <c r="K8" s="193"/>
      <c r="L8" s="202" t="s">
        <v>87</v>
      </c>
      <c r="M8" s="212" t="s">
        <v>112</v>
      </c>
      <c r="N8" s="175">
        <f>B8/$B8</f>
        <v>1</v>
      </c>
      <c r="O8" s="175"/>
      <c r="P8" s="175">
        <f t="shared" ref="P8:V16" si="0">D8/$B8</f>
        <v>0.91161027018032037</v>
      </c>
      <c r="Q8" s="175">
        <f t="shared" si="0"/>
        <v>0.69226783311602325</v>
      </c>
      <c r="R8" s="175">
        <f t="shared" si="0"/>
        <v>0.47292539605172612</v>
      </c>
      <c r="S8" s="175">
        <f t="shared" si="0"/>
        <v>0.36946573093788343</v>
      </c>
      <c r="T8" s="175">
        <f t="shared" si="0"/>
        <v>0.26600606582404079</v>
      </c>
      <c r="U8" s="175">
        <f t="shared" si="0"/>
        <v>0.16254640071019816</v>
      </c>
      <c r="V8" s="177">
        <f t="shared" si="0"/>
        <v>5.9086735596355508E-2</v>
      </c>
    </row>
    <row r="9" spans="1:22" x14ac:dyDescent="0.25">
      <c r="A9" s="173" t="s">
        <v>83</v>
      </c>
      <c r="B9" s="178">
        <f>SUMIF(NEWAGE_reg!$B$2:$B$29,sce_8!$A9,NEWAGE_reg!$C$2:$C$29)</f>
        <v>350.97888858284506</v>
      </c>
      <c r="C9" s="179"/>
      <c r="D9" s="179">
        <f>SUMIF(AP5_Targets!$B$8:$B$35,sce_8!$A9,AP5_Targets!BA$8:BA$35)</f>
        <v>329.56947669999886</v>
      </c>
      <c r="E9" s="179">
        <f t="shared" ref="E9:G16" si="1">(D9+F9)/2</f>
        <v>253.06451770861943</v>
      </c>
      <c r="F9" s="179">
        <f>SUMIF(AP5_Targets!$B$8:$B$35,sce_8!$A9,AP5_Targets!BC$8:BC$35)</f>
        <v>176.55955871724001</v>
      </c>
      <c r="G9" s="179">
        <f t="shared" si="1"/>
        <v>137.93445427151562</v>
      </c>
      <c r="H9" s="179">
        <f>SUMIF(AP5_Targets!$B$8:$B$35,sce_8!$A9,AP5_Targets!BE$8:BE$35)</f>
        <v>99.309349825791244</v>
      </c>
      <c r="I9" s="179">
        <f t="shared" ref="I9" si="2">(H9+J9)/2</f>
        <v>60.684245380066869</v>
      </c>
      <c r="J9" s="179">
        <f>SUMIF(AP5_Targets!$B$8:$B$35,sce_8!$A9,AP5_Targets!BG$8:BG$35)</f>
        <v>22.059140934342491</v>
      </c>
      <c r="K9" s="193"/>
      <c r="L9" s="203" t="s">
        <v>83</v>
      </c>
      <c r="M9" s="213" t="s">
        <v>112</v>
      </c>
      <c r="N9" s="178">
        <f t="shared" ref="N9:N16" si="3">B9/$B9</f>
        <v>1</v>
      </c>
      <c r="O9" s="178"/>
      <c r="P9" s="178">
        <f t="shared" si="0"/>
        <v>0.93900085566601621</v>
      </c>
      <c r="Q9" s="178">
        <f t="shared" si="0"/>
        <v>0.72102489904855371</v>
      </c>
      <c r="R9" s="178">
        <f t="shared" si="0"/>
        <v>0.50304894243109122</v>
      </c>
      <c r="S9" s="178">
        <f t="shared" si="0"/>
        <v>0.39299929072217565</v>
      </c>
      <c r="T9" s="178">
        <f t="shared" si="0"/>
        <v>0.28294963901326009</v>
      </c>
      <c r="U9" s="178">
        <f t="shared" si="0"/>
        <v>0.17289998730434455</v>
      </c>
      <c r="V9" s="180">
        <f t="shared" si="0"/>
        <v>6.2850335595428991E-2</v>
      </c>
    </row>
    <row r="10" spans="1:22" x14ac:dyDescent="0.25">
      <c r="A10" s="172" t="s">
        <v>85</v>
      </c>
      <c r="B10" s="175">
        <f>SUMIF(NEWAGE_reg!$B$2:$B$29,sce_8!$A10,NEWAGE_reg!$C$2:$C$29)</f>
        <v>284.2309775038301</v>
      </c>
      <c r="C10" s="176"/>
      <c r="D10" s="176">
        <f>SUMIF(AP5_Targets!$B$8:$B$35,sce_8!$A10,AP5_Targets!BA$8:BA$35)</f>
        <v>275.89078596824714</v>
      </c>
      <c r="E10" s="176">
        <f t="shared" si="1"/>
        <v>220.24105769906197</v>
      </c>
      <c r="F10" s="176">
        <f>SUMIF(AP5_Targets!$B$8:$B$35,sce_8!$A10,AP5_Targets!BC$8:BC$35)</f>
        <v>164.59132942987682</v>
      </c>
      <c r="G10" s="176">
        <f t="shared" si="1"/>
        <v>128.58445822857911</v>
      </c>
      <c r="H10" s="176">
        <f>SUMIF(AP5_Targets!$B$8:$B$35,sce_8!$A10,AP5_Targets!BE$8:BE$35)</f>
        <v>92.57758702728141</v>
      </c>
      <c r="I10" s="176">
        <f t="shared" ref="I10" si="4">(H10+J10)/2</f>
        <v>56.570715825983697</v>
      </c>
      <c r="J10" s="176">
        <f>SUMIF(AP5_Targets!$B$8:$B$35,sce_8!$A10,AP5_Targets!BG$8:BG$35)</f>
        <v>20.563844624685988</v>
      </c>
      <c r="K10" s="193"/>
      <c r="L10" s="202" t="s">
        <v>85</v>
      </c>
      <c r="M10" s="212" t="s">
        <v>112</v>
      </c>
      <c r="N10" s="175">
        <f t="shared" si="3"/>
        <v>1</v>
      </c>
      <c r="O10" s="175"/>
      <c r="P10" s="175">
        <f t="shared" si="0"/>
        <v>0.97065699309474252</v>
      </c>
      <c r="Q10" s="175">
        <f t="shared" si="0"/>
        <v>0.77486648229992505</v>
      </c>
      <c r="R10" s="175">
        <f t="shared" si="0"/>
        <v>0.5790759715051077</v>
      </c>
      <c r="S10" s="175">
        <f t="shared" si="0"/>
        <v>0.45239424413845386</v>
      </c>
      <c r="T10" s="175">
        <f t="shared" si="0"/>
        <v>0.32571251677180013</v>
      </c>
      <c r="U10" s="175">
        <f t="shared" si="0"/>
        <v>0.19903078940514635</v>
      </c>
      <c r="V10" s="177">
        <f t="shared" si="0"/>
        <v>7.2349062038492562E-2</v>
      </c>
    </row>
    <row r="11" spans="1:22" x14ac:dyDescent="0.25">
      <c r="A11" s="173" t="s">
        <v>91</v>
      </c>
      <c r="B11" s="178">
        <f>SUMIF(NEWAGE_reg!$B$2:$B$29,sce_8!$A11,NEWAGE_reg!$C$2:$C$29)</f>
        <v>184.75146052804283</v>
      </c>
      <c r="C11" s="179"/>
      <c r="D11" s="179">
        <f>SUMIF(AP5_Targets!$B$8:$B$35,sce_8!$A11,AP5_Targets!BA$8:BA$35)</f>
        <v>189.32682156080617</v>
      </c>
      <c r="E11" s="179">
        <f t="shared" si="1"/>
        <v>169.22954575104927</v>
      </c>
      <c r="F11" s="179">
        <f>SUMIF(AP5_Targets!$B$8:$B$35,sce_8!$A11,AP5_Targets!BC$8:BC$35)</f>
        <v>149.13226994129238</v>
      </c>
      <c r="G11" s="179">
        <f t="shared" si="1"/>
        <v>116.50730449303015</v>
      </c>
      <c r="H11" s="179">
        <f>SUMIF(AP5_Targets!$B$8:$B$35,sce_8!$A11,AP5_Targets!BE$8:BE$35)</f>
        <v>83.882339044767932</v>
      </c>
      <c r="I11" s="179">
        <f t="shared" ref="I11" si="5">(H11+J11)/2</f>
        <v>51.257373596505708</v>
      </c>
      <c r="J11" s="179">
        <f>SUMIF(AP5_Targets!$B$8:$B$35,sce_8!$A11,AP5_Targets!BG$8:BG$35)</f>
        <v>18.632408148243488</v>
      </c>
      <c r="K11" s="193"/>
      <c r="L11" s="203" t="s">
        <v>91</v>
      </c>
      <c r="M11" s="213" t="s">
        <v>112</v>
      </c>
      <c r="N11" s="178">
        <f t="shared" si="3"/>
        <v>1</v>
      </c>
      <c r="O11" s="178"/>
      <c r="P11" s="178">
        <f t="shared" si="0"/>
        <v>1.0247649518963822</v>
      </c>
      <c r="Q11" s="178">
        <f t="shared" si="0"/>
        <v>0.91598488730411132</v>
      </c>
      <c r="R11" s="178">
        <f t="shared" si="0"/>
        <v>0.80720482271184035</v>
      </c>
      <c r="S11" s="178">
        <f t="shared" si="0"/>
        <v>0.63061641926963752</v>
      </c>
      <c r="T11" s="178">
        <f t="shared" si="0"/>
        <v>0.45402801582743485</v>
      </c>
      <c r="U11" s="178">
        <f t="shared" si="0"/>
        <v>0.27743961238523207</v>
      </c>
      <c r="V11" s="180">
        <f t="shared" si="0"/>
        <v>0.10085120894302936</v>
      </c>
    </row>
    <row r="12" spans="1:22" x14ac:dyDescent="0.25">
      <c r="A12" s="172" t="s">
        <v>86</v>
      </c>
      <c r="B12" s="175">
        <f>SUMIF(NEWAGE_reg!$B$2:$B$29,sce_8!$A12,NEWAGE_reg!$C$2:$C$29)</f>
        <v>318.03906884435668</v>
      </c>
      <c r="C12" s="176"/>
      <c r="D12" s="176">
        <f>SUMIF(AP5_Targets!$B$8:$B$35,sce_8!$A12,AP5_Targets!BA$8:BA$35)</f>
        <v>311.85526550692305</v>
      </c>
      <c r="E12" s="176">
        <f t="shared" si="1"/>
        <v>241.45133701851518</v>
      </c>
      <c r="F12" s="176">
        <f>SUMIF(AP5_Targets!$B$8:$B$35,sce_8!$A12,AP5_Targets!BC$8:BC$35)</f>
        <v>171.04740853010728</v>
      </c>
      <c r="G12" s="176">
        <f t="shared" si="1"/>
        <v>133.62817126169892</v>
      </c>
      <c r="H12" s="176">
        <f>SUMIF(AP5_Targets!$B$8:$B$35,sce_8!$A12,AP5_Targets!BE$8:BE$35)</f>
        <v>96.208933993290572</v>
      </c>
      <c r="I12" s="176">
        <f t="shared" ref="I12" si="6">(H12+J12)/2</f>
        <v>58.789696724882212</v>
      </c>
      <c r="J12" s="176">
        <f>SUMIF(AP5_Targets!$B$8:$B$35,sce_8!$A12,AP5_Targets!BG$8:BG$35)</f>
        <v>21.370459456473853</v>
      </c>
      <c r="K12" s="193"/>
      <c r="L12" s="202" t="s">
        <v>86</v>
      </c>
      <c r="M12" s="212" t="s">
        <v>112</v>
      </c>
      <c r="N12" s="175">
        <f t="shared" si="3"/>
        <v>1</v>
      </c>
      <c r="O12" s="175"/>
      <c r="P12" s="175">
        <f t="shared" si="0"/>
        <v>0.98055646634891924</v>
      </c>
      <c r="Q12" s="175">
        <f t="shared" si="0"/>
        <v>0.75918766174189012</v>
      </c>
      <c r="R12" s="175">
        <f t="shared" si="0"/>
        <v>0.53781885713486099</v>
      </c>
      <c r="S12" s="175">
        <f t="shared" si="0"/>
        <v>0.42016275468060327</v>
      </c>
      <c r="T12" s="175">
        <f t="shared" si="0"/>
        <v>0.30250665222634554</v>
      </c>
      <c r="U12" s="175">
        <f t="shared" si="0"/>
        <v>0.18485054977208781</v>
      </c>
      <c r="V12" s="177">
        <f t="shared" si="0"/>
        <v>6.7194447317830058E-2</v>
      </c>
    </row>
    <row r="13" spans="1:22" x14ac:dyDescent="0.25">
      <c r="A13" s="173" t="s">
        <v>84</v>
      </c>
      <c r="B13" s="178">
        <f>SUMIF(NEWAGE_reg!$B$2:$B$29,sce_8!$A13,NEWAGE_reg!$C$2:$C$29)</f>
        <v>238.16848497502417</v>
      </c>
      <c r="C13" s="179"/>
      <c r="D13" s="179">
        <f>SUMIF(AP5_Targets!$B$8:$B$35,sce_8!$A13,AP5_Targets!BA$8:BA$35)</f>
        <v>247.99324003019603</v>
      </c>
      <c r="E13" s="179">
        <f t="shared" si="1"/>
        <v>210.6848625062359</v>
      </c>
      <c r="F13" s="179">
        <f>SUMIF(AP5_Targets!$B$8:$B$35,sce_8!$A13,AP5_Targets!BC$8:BC$35)</f>
        <v>173.37648498227577</v>
      </c>
      <c r="G13" s="179">
        <f t="shared" si="1"/>
        <v>135.4477266101635</v>
      </c>
      <c r="H13" s="179">
        <f>SUMIF(AP5_Targets!$B$8:$B$35,sce_8!$A13,AP5_Targets!BE$8:BE$35)</f>
        <v>97.518968238051215</v>
      </c>
      <c r="I13" s="179">
        <f t="shared" ref="I13" si="7">(H13+J13)/2</f>
        <v>59.590209865938938</v>
      </c>
      <c r="J13" s="179">
        <f>SUMIF(AP5_Targets!$B$8:$B$35,sce_8!$A13,AP5_Targets!BG$8:BG$35)</f>
        <v>21.661451493826664</v>
      </c>
      <c r="K13" s="193"/>
      <c r="L13" s="203" t="s">
        <v>84</v>
      </c>
      <c r="M13" s="213" t="s">
        <v>112</v>
      </c>
      <c r="N13" s="178">
        <f t="shared" si="3"/>
        <v>1</v>
      </c>
      <c r="O13" s="178"/>
      <c r="P13" s="178">
        <f t="shared" si="0"/>
        <v>1.0412512808157728</v>
      </c>
      <c r="Q13" s="178">
        <f t="shared" si="0"/>
        <v>0.88460428561037208</v>
      </c>
      <c r="R13" s="178">
        <f t="shared" si="0"/>
        <v>0.72795729040497148</v>
      </c>
      <c r="S13" s="178">
        <f t="shared" si="0"/>
        <v>0.56870549696937189</v>
      </c>
      <c r="T13" s="178">
        <f t="shared" si="0"/>
        <v>0.40945370353377214</v>
      </c>
      <c r="U13" s="178">
        <f t="shared" si="0"/>
        <v>0.25020191009817244</v>
      </c>
      <c r="V13" s="180">
        <f t="shared" si="0"/>
        <v>9.09501166625728E-2</v>
      </c>
    </row>
    <row r="14" spans="1:22" x14ac:dyDescent="0.25">
      <c r="A14" s="172" t="s">
        <v>88</v>
      </c>
      <c r="B14" s="175">
        <f>SUMIF(NEWAGE_reg!$B$2:$B$29,sce_8!$A14,NEWAGE_reg!$C$2:$C$29)</f>
        <v>194.76706877726937</v>
      </c>
      <c r="C14" s="176"/>
      <c r="D14" s="176">
        <f>SUMIF(AP5_Targets!$B$8:$B$35,sce_8!$A14,AP5_Targets!BA$8:BA$35)</f>
        <v>170.79846919044058</v>
      </c>
      <c r="E14" s="176">
        <f t="shared" si="1"/>
        <v>133.88453135204699</v>
      </c>
      <c r="F14" s="176">
        <f>SUMIF(AP5_Targets!$B$8:$B$35,sce_8!$A14,AP5_Targets!BC$8:BC$35)</f>
        <v>96.970593513653398</v>
      </c>
      <c r="G14" s="176">
        <f t="shared" si="1"/>
        <v>75.756792743868061</v>
      </c>
      <c r="H14" s="176">
        <f>SUMIF(AP5_Targets!$B$8:$B$35,sce_8!$A14,AP5_Targets!BE$8:BE$35)</f>
        <v>54.542991974082732</v>
      </c>
      <c r="I14" s="176">
        <f t="shared" ref="I14" si="8">(H14+J14)/2</f>
        <v>33.329191204297388</v>
      </c>
      <c r="J14" s="176">
        <f>SUMIF(AP5_Targets!$B$8:$B$35,sce_8!$A14,AP5_Targets!BG$8:BG$35)</f>
        <v>12.115390434512049</v>
      </c>
      <c r="K14" s="193"/>
      <c r="L14" s="202" t="s">
        <v>88</v>
      </c>
      <c r="M14" s="212" t="s">
        <v>112</v>
      </c>
      <c r="N14" s="175">
        <f t="shared" si="3"/>
        <v>1</v>
      </c>
      <c r="O14" s="175"/>
      <c r="P14" s="175">
        <f t="shared" si="0"/>
        <v>0.87693710370391897</v>
      </c>
      <c r="Q14" s="175">
        <f t="shared" si="0"/>
        <v>0.68740846279898538</v>
      </c>
      <c r="R14" s="175">
        <f t="shared" si="0"/>
        <v>0.49787982189405172</v>
      </c>
      <c r="S14" s="175">
        <f t="shared" si="0"/>
        <v>0.38896099437888848</v>
      </c>
      <c r="T14" s="175">
        <f t="shared" si="0"/>
        <v>0.28004216686372529</v>
      </c>
      <c r="U14" s="175">
        <f t="shared" si="0"/>
        <v>0.17112333934856203</v>
      </c>
      <c r="V14" s="177">
        <f t="shared" si="0"/>
        <v>6.2204511833398791E-2</v>
      </c>
    </row>
    <row r="15" spans="1:22" x14ac:dyDescent="0.25">
      <c r="A15" s="173" t="s">
        <v>90</v>
      </c>
      <c r="B15" s="178">
        <f>SUMIF(NEWAGE_reg!$B$2:$B$29,sce_8!$A15,NEWAGE_reg!$C$2:$C$29)</f>
        <v>168.82381683726044</v>
      </c>
      <c r="C15" s="179"/>
      <c r="D15" s="179">
        <f>SUMIF(AP5_Targets!$B$8:$B$35,sce_8!$A15,AP5_Targets!BA$8:BA$35)</f>
        <v>155.04963103987569</v>
      </c>
      <c r="E15" s="179">
        <f>(D15+F15)/2</f>
        <v>124.30130520865566</v>
      </c>
      <c r="F15" s="179">
        <f>SUMIF(AP5_Targets!$B$8:$B$35,sce_8!$A15,AP5_Targets!BC$8:BC$35)</f>
        <v>93.552979377435648</v>
      </c>
      <c r="G15" s="179">
        <f>(F15+H15)/2</f>
        <v>73.086833981993436</v>
      </c>
      <c r="H15" s="179">
        <f>SUMIF(AP5_Targets!$B$8:$B$35,sce_8!$A15,AP5_Targets!BE$8:BE$35)</f>
        <v>52.620688586551218</v>
      </c>
      <c r="I15" s="179">
        <f>(H15+J15)/2</f>
        <v>32.154543191109006</v>
      </c>
      <c r="J15" s="179">
        <f>SUMIF(AP5_Targets!$B$8:$B$35,sce_8!$A15,AP5_Targets!BG$8:BG$35)</f>
        <v>11.688397795666793</v>
      </c>
      <c r="K15" s="193"/>
      <c r="L15" s="203" t="s">
        <v>90</v>
      </c>
      <c r="M15" s="213" t="s">
        <v>112</v>
      </c>
      <c r="N15" s="178">
        <f t="shared" si="3"/>
        <v>1</v>
      </c>
      <c r="O15" s="178"/>
      <c r="P15" s="178">
        <f t="shared" si="0"/>
        <v>0.91841088505502444</v>
      </c>
      <c r="Q15" s="178">
        <f t="shared" si="0"/>
        <v>0.73627825467586283</v>
      </c>
      <c r="R15" s="178">
        <f t="shared" si="0"/>
        <v>0.55414562429670133</v>
      </c>
      <c r="S15" s="178">
        <f t="shared" si="0"/>
        <v>0.43291779176184775</v>
      </c>
      <c r="T15" s="178">
        <f t="shared" si="0"/>
        <v>0.31168995922699405</v>
      </c>
      <c r="U15" s="178">
        <f t="shared" si="0"/>
        <v>0.19046212669214041</v>
      </c>
      <c r="V15" s="180">
        <f t="shared" si="0"/>
        <v>6.9234294157286769E-2</v>
      </c>
    </row>
    <row r="16" spans="1:22" ht="15.75" thickBot="1" x14ac:dyDescent="0.3">
      <c r="A16" s="185" t="s">
        <v>89</v>
      </c>
      <c r="B16" s="183">
        <f>SUMIF(NEWAGE_reg!$B$2:$B$29,sce_8!$A16,NEWAGE_reg!$C$2:$C$29)</f>
        <v>328.73528516056416</v>
      </c>
      <c r="C16" s="184"/>
      <c r="D16" s="184">
        <f>SUMIF(AP5_Targets!$B$8:$B$35,sce_8!$A16,AP5_Targets!BA$8:BA$35)</f>
        <v>379.17762751196415</v>
      </c>
      <c r="E16" s="184">
        <f t="shared" si="1"/>
        <v>333.9818593320839</v>
      </c>
      <c r="F16" s="184">
        <f>SUMIF(AP5_Targets!$B$8:$B$35,sce_8!$A16,AP5_Targets!BC$8:BC$35)</f>
        <v>288.78609115220365</v>
      </c>
      <c r="G16" s="184">
        <f t="shared" si="1"/>
        <v>225.60971591505154</v>
      </c>
      <c r="H16" s="184">
        <f>SUMIF(AP5_Targets!$B$8:$B$35,sce_8!$A16,AP5_Targets!BE$8:BE$35)</f>
        <v>162.43334067789939</v>
      </c>
      <c r="I16" s="184">
        <f t="shared" ref="I16" si="9">(H16+J16)/2</f>
        <v>99.25696544074728</v>
      </c>
      <c r="J16" s="184">
        <f>SUMIF(AP5_Targets!$B$8:$B$35,sce_8!$A16,AP5_Targets!BG$8:BG$35)</f>
        <v>36.080590203595179</v>
      </c>
      <c r="K16" s="193"/>
      <c r="L16" s="204" t="s">
        <v>89</v>
      </c>
      <c r="M16" s="214" t="s">
        <v>112</v>
      </c>
      <c r="N16" s="195">
        <f t="shared" si="3"/>
        <v>1</v>
      </c>
      <c r="O16" s="195"/>
      <c r="P16" s="195">
        <f t="shared" si="0"/>
        <v>1.1534436509508326</v>
      </c>
      <c r="Q16" s="195">
        <f t="shared" si="0"/>
        <v>1.0159598753415142</v>
      </c>
      <c r="R16" s="195">
        <f t="shared" si="0"/>
        <v>0.87847609973219598</v>
      </c>
      <c r="S16" s="195">
        <f t="shared" si="0"/>
        <v>0.68629601414663166</v>
      </c>
      <c r="T16" s="195">
        <f t="shared" si="0"/>
        <v>0.49411592856106729</v>
      </c>
      <c r="U16" s="195">
        <f t="shared" si="0"/>
        <v>0.30193584297550291</v>
      </c>
      <c r="V16" s="196">
        <f t="shared" si="0"/>
        <v>0.10975575738993865</v>
      </c>
    </row>
    <row r="17" spans="1:22" ht="15.75" thickBot="1" x14ac:dyDescent="0.3">
      <c r="A17" s="162"/>
      <c r="B17" s="163"/>
      <c r="C17" s="163"/>
      <c r="D17" s="163"/>
      <c r="E17" s="163"/>
      <c r="F17" s="163"/>
      <c r="G17" s="163"/>
      <c r="H17" s="163"/>
      <c r="I17" s="163"/>
      <c r="J17" s="164"/>
      <c r="K17" s="163"/>
    </row>
    <row r="18" spans="1:22" x14ac:dyDescent="0.25">
      <c r="A18" s="270" t="s">
        <v>100</v>
      </c>
      <c r="B18" s="271"/>
      <c r="C18" s="271"/>
      <c r="D18" s="271"/>
      <c r="E18" s="271"/>
      <c r="F18" s="271"/>
      <c r="G18" s="271"/>
      <c r="H18" s="271"/>
      <c r="I18" s="271"/>
      <c r="J18" s="272"/>
      <c r="K18" s="189"/>
      <c r="L18" s="273" t="s">
        <v>98</v>
      </c>
      <c r="M18" s="274"/>
      <c r="N18" s="274"/>
      <c r="O18" s="274"/>
      <c r="P18" s="274"/>
      <c r="Q18" s="274"/>
      <c r="R18" s="274"/>
      <c r="S18" s="274"/>
      <c r="T18" s="274"/>
      <c r="U18" s="274"/>
      <c r="V18" s="275"/>
    </row>
    <row r="19" spans="1:22" x14ac:dyDescent="0.25">
      <c r="A19" s="162"/>
      <c r="B19" s="165">
        <v>2011</v>
      </c>
      <c r="C19" s="165">
        <v>2015</v>
      </c>
      <c r="D19" s="165">
        <v>2020</v>
      </c>
      <c r="E19" s="165">
        <v>2025</v>
      </c>
      <c r="F19" s="165">
        <v>2030</v>
      </c>
      <c r="G19" s="165">
        <v>2035</v>
      </c>
      <c r="H19" s="165">
        <v>2040</v>
      </c>
      <c r="I19" s="165">
        <v>2045</v>
      </c>
      <c r="J19" s="166">
        <v>2050</v>
      </c>
      <c r="K19" s="165"/>
      <c r="L19" s="162"/>
      <c r="M19" s="163"/>
      <c r="N19" s="165">
        <v>2011</v>
      </c>
      <c r="O19" s="165">
        <v>2015</v>
      </c>
      <c r="P19" s="165">
        <v>2020</v>
      </c>
      <c r="Q19" s="167">
        <v>2025</v>
      </c>
      <c r="R19" s="165">
        <v>2030</v>
      </c>
      <c r="S19" s="165">
        <v>2035</v>
      </c>
      <c r="T19" s="165">
        <v>2040</v>
      </c>
      <c r="U19" s="165">
        <v>2045</v>
      </c>
      <c r="V19" s="166">
        <v>2050</v>
      </c>
    </row>
    <row r="20" spans="1:22" ht="15.75" thickBot="1" x14ac:dyDescent="0.3">
      <c r="A20" s="185" t="s">
        <v>87</v>
      </c>
      <c r="B20" s="183">
        <f>AP5_Targets!E37</f>
        <v>905.61661818257119</v>
      </c>
      <c r="C20" s="181" t="s">
        <v>102</v>
      </c>
      <c r="D20" s="208">
        <f>AP5_Targets!BA37</f>
        <v>726.69397878383052</v>
      </c>
      <c r="E20" s="205">
        <f t="shared" ref="E20" si="10">(D20+F20)/2</f>
        <v>575.29939987053251</v>
      </c>
      <c r="F20" s="208">
        <f>AP5_Targets!BC37</f>
        <v>423.90482095723445</v>
      </c>
      <c r="G20" s="205">
        <f t="shared" ref="G20" si="11">(F20+H20)/2</f>
        <v>333.06807360925563</v>
      </c>
      <c r="H20" s="208">
        <f>AP5_Targets!BE37</f>
        <v>242.23132626127688</v>
      </c>
      <c r="I20" s="205">
        <f t="shared" ref="I20" si="12">(H20+J20)/2</f>
        <v>151.39457891329806</v>
      </c>
      <c r="J20" s="208">
        <f>AP5_Targets!BG37</f>
        <v>60.557831565319219</v>
      </c>
      <c r="K20" s="190"/>
      <c r="L20" s="174" t="s">
        <v>87</v>
      </c>
      <c r="M20" s="215" t="s">
        <v>113</v>
      </c>
      <c r="N20" s="188">
        <f>IF(B20="-",0,B20/$B20)</f>
        <v>1</v>
      </c>
      <c r="O20" s="171"/>
      <c r="P20" s="195">
        <f t="shared" ref="P20:V20" si="13">IF(D20="-",0,D20/$B20)</f>
        <v>0.80243003959246018</v>
      </c>
      <c r="Q20" s="195">
        <f t="shared" si="13"/>
        <v>0.63525711467736434</v>
      </c>
      <c r="R20" s="195">
        <f t="shared" si="13"/>
        <v>0.46808418976226845</v>
      </c>
      <c r="S20" s="195">
        <f t="shared" si="13"/>
        <v>0.36778043481321093</v>
      </c>
      <c r="T20" s="195">
        <f t="shared" si="13"/>
        <v>0.26747667986415347</v>
      </c>
      <c r="U20" s="195">
        <f t="shared" si="13"/>
        <v>0.16717292491509592</v>
      </c>
      <c r="V20" s="196">
        <f t="shared" si="13"/>
        <v>6.6869169966038366E-2</v>
      </c>
    </row>
    <row r="21" spans="1:22" ht="15.75" thickBot="1" x14ac:dyDescent="0.3">
      <c r="A21" s="162"/>
      <c r="B21" s="163"/>
      <c r="C21" s="163"/>
      <c r="D21" s="163"/>
      <c r="E21" s="163"/>
      <c r="F21" s="163"/>
      <c r="G21" s="163"/>
      <c r="H21" s="163"/>
      <c r="I21" s="163"/>
      <c r="J21" s="164"/>
      <c r="K21" s="163"/>
    </row>
    <row r="22" spans="1:22" x14ac:dyDescent="0.25">
      <c r="A22" s="270" t="s">
        <v>98</v>
      </c>
      <c r="B22" s="271"/>
      <c r="C22" s="271"/>
      <c r="D22" s="271"/>
      <c r="E22" s="271"/>
      <c r="F22" s="271"/>
      <c r="G22" s="271"/>
      <c r="H22" s="271"/>
      <c r="I22" s="271"/>
      <c r="J22" s="272"/>
      <c r="K22" s="189"/>
      <c r="L22" s="273" t="s">
        <v>98</v>
      </c>
      <c r="M22" s="274"/>
      <c r="N22" s="274"/>
      <c r="O22" s="274"/>
      <c r="P22" s="274"/>
      <c r="Q22" s="274"/>
      <c r="R22" s="274"/>
      <c r="S22" s="274"/>
      <c r="T22" s="274"/>
      <c r="U22" s="274"/>
      <c r="V22" s="275"/>
    </row>
    <row r="23" spans="1:22" x14ac:dyDescent="0.25">
      <c r="A23" s="162"/>
      <c r="B23" s="165">
        <v>2011</v>
      </c>
      <c r="C23" s="165">
        <v>2015</v>
      </c>
      <c r="D23" s="165">
        <v>2020</v>
      </c>
      <c r="E23" s="167">
        <v>2025</v>
      </c>
      <c r="F23" s="165">
        <v>2030</v>
      </c>
      <c r="G23" s="165">
        <v>2035</v>
      </c>
      <c r="H23" s="165">
        <v>2040</v>
      </c>
      <c r="I23" s="165">
        <v>2045</v>
      </c>
      <c r="J23" s="166">
        <v>2050</v>
      </c>
      <c r="K23" s="165"/>
      <c r="L23" s="162"/>
      <c r="M23" s="163"/>
      <c r="N23" s="165">
        <v>2011</v>
      </c>
      <c r="O23" s="165">
        <v>2015</v>
      </c>
      <c r="P23" s="165">
        <v>2020</v>
      </c>
      <c r="Q23" s="167">
        <v>2025</v>
      </c>
      <c r="R23" s="165">
        <v>2030</v>
      </c>
      <c r="S23" s="165">
        <v>2035</v>
      </c>
      <c r="T23" s="165">
        <v>2040</v>
      </c>
      <c r="U23" s="165">
        <v>2045</v>
      </c>
      <c r="V23" s="166">
        <v>2050</v>
      </c>
    </row>
    <row r="24" spans="1:22" ht="15.75" thickBot="1" x14ac:dyDescent="0.3">
      <c r="A24" s="174" t="s">
        <v>95</v>
      </c>
      <c r="B24" s="188">
        <f>NEWAGE_reg!$C$32</f>
        <v>1984.4704999999999</v>
      </c>
      <c r="C24" s="171"/>
      <c r="D24" s="188">
        <f>AP5_Targets!BA5</f>
        <v>1848.82041</v>
      </c>
      <c r="E24" s="205">
        <f t="shared" ref="E24" si="14">(D24+F24)/2</f>
        <v>1372.3971885000001</v>
      </c>
      <c r="F24" s="188">
        <f>AP5_Targets!BC5</f>
        <v>895.97396700000013</v>
      </c>
      <c r="G24" s="205">
        <f t="shared" ref="G24" si="15">(F24+H24)/2</f>
        <v>686.6072190000001</v>
      </c>
      <c r="H24" s="188">
        <f>AP5_Targets!BE5</f>
        <v>477.24047100000007</v>
      </c>
      <c r="I24" s="205">
        <f t="shared" ref="I24" si="16">(H24+J24)/2</f>
        <v>267.87372300000004</v>
      </c>
      <c r="J24" s="188">
        <f>AP5_Targets!BG5</f>
        <v>58.506975000000004</v>
      </c>
      <c r="K24" s="191"/>
      <c r="L24" s="174" t="s">
        <v>114</v>
      </c>
      <c r="M24" s="215" t="s">
        <v>96</v>
      </c>
      <c r="N24" s="188">
        <f>B24/$B24</f>
        <v>1</v>
      </c>
      <c r="O24" s="171"/>
      <c r="P24" s="195">
        <f t="shared" ref="P24:V24" si="17">D24/$B24</f>
        <v>0.93164418921823233</v>
      </c>
      <c r="Q24" s="195">
        <f t="shared" si="17"/>
        <v>0.69156845037504977</v>
      </c>
      <c r="R24" s="195">
        <f t="shared" si="17"/>
        <v>0.45149271153186715</v>
      </c>
      <c r="S24" s="195">
        <f t="shared" si="17"/>
        <v>0.34599013641170284</v>
      </c>
      <c r="T24" s="195">
        <f t="shared" si="17"/>
        <v>0.24048756129153853</v>
      </c>
      <c r="U24" s="195">
        <f t="shared" si="17"/>
        <v>0.13498498617137419</v>
      </c>
      <c r="V24" s="196">
        <f t="shared" si="17"/>
        <v>2.9482411051209887E-2</v>
      </c>
    </row>
  </sheetData>
  <mergeCells count="10">
    <mergeCell ref="A18:J18"/>
    <mergeCell ref="A22:J22"/>
    <mergeCell ref="A1:H2"/>
    <mergeCell ref="A4:J4"/>
    <mergeCell ref="L4:V4"/>
    <mergeCell ref="E5:F5"/>
    <mergeCell ref="A6:J6"/>
    <mergeCell ref="L6:V6"/>
    <mergeCell ref="L22:V22"/>
    <mergeCell ref="L18:V18"/>
  </mergeCells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"/>
  <sheetViews>
    <sheetView workbookViewId="0">
      <selection activeCell="J8" sqref="J8:J16"/>
    </sheetView>
  </sheetViews>
  <sheetFormatPr baseColWidth="10" defaultColWidth="8.7109375" defaultRowHeight="15" x14ac:dyDescent="0.25"/>
  <sheetData>
    <row r="1" spans="1:22" x14ac:dyDescent="0.25">
      <c r="A1" s="264" t="s">
        <v>111</v>
      </c>
      <c r="B1" s="265"/>
      <c r="C1" s="265"/>
      <c r="D1" s="265"/>
      <c r="E1" s="265"/>
      <c r="F1" s="265"/>
      <c r="G1" s="265"/>
      <c r="H1" s="266"/>
    </row>
    <row r="2" spans="1:22" ht="15.75" thickBot="1" x14ac:dyDescent="0.3">
      <c r="A2" s="267"/>
      <c r="B2" s="268"/>
      <c r="C2" s="268"/>
      <c r="D2" s="268"/>
      <c r="E2" s="268"/>
      <c r="F2" s="268"/>
      <c r="G2" s="268"/>
      <c r="H2" s="269"/>
    </row>
    <row r="3" spans="1:22" ht="15.75" thickBot="1" x14ac:dyDescent="0.3">
      <c r="L3" t="s">
        <v>103</v>
      </c>
    </row>
    <row r="4" spans="1:22" x14ac:dyDescent="0.25">
      <c r="A4" s="276" t="s">
        <v>101</v>
      </c>
      <c r="B4" s="277"/>
      <c r="C4" s="277"/>
      <c r="D4" s="277"/>
      <c r="E4" s="277"/>
      <c r="F4" s="277"/>
      <c r="G4" s="277"/>
      <c r="H4" s="277"/>
      <c r="I4" s="277"/>
      <c r="J4" s="278"/>
      <c r="K4" s="194"/>
      <c r="L4" s="280" t="s">
        <v>105</v>
      </c>
      <c r="M4" s="281"/>
      <c r="N4" s="281"/>
      <c r="O4" s="281"/>
      <c r="P4" s="281"/>
      <c r="Q4" s="281"/>
      <c r="R4" s="281"/>
      <c r="S4" s="281"/>
      <c r="T4" s="281"/>
      <c r="U4" s="281"/>
      <c r="V4" s="282"/>
    </row>
    <row r="5" spans="1:22" x14ac:dyDescent="0.25">
      <c r="A5" s="162"/>
      <c r="B5" s="163"/>
      <c r="C5" s="163"/>
      <c r="D5" s="163"/>
      <c r="E5" s="279" t="s">
        <v>104</v>
      </c>
      <c r="F5" s="279"/>
      <c r="G5" s="163"/>
      <c r="H5" s="163"/>
      <c r="I5" s="163"/>
      <c r="J5" s="164"/>
      <c r="K5" s="163"/>
      <c r="L5" s="162"/>
      <c r="M5" s="163"/>
      <c r="N5" s="163"/>
      <c r="O5" s="163"/>
      <c r="P5" s="163"/>
      <c r="Q5" s="163"/>
      <c r="R5" s="163"/>
      <c r="S5" s="163"/>
      <c r="T5" s="163"/>
      <c r="U5" s="163"/>
      <c r="V5" s="164"/>
    </row>
    <row r="6" spans="1:22" x14ac:dyDescent="0.25">
      <c r="A6" s="270" t="s">
        <v>99</v>
      </c>
      <c r="B6" s="271"/>
      <c r="C6" s="271"/>
      <c r="D6" s="271"/>
      <c r="E6" s="271"/>
      <c r="F6" s="271"/>
      <c r="G6" s="271"/>
      <c r="H6" s="271"/>
      <c r="I6" s="271"/>
      <c r="J6" s="272"/>
      <c r="K6" s="189"/>
      <c r="L6" s="283" t="s">
        <v>99</v>
      </c>
      <c r="M6" s="284"/>
      <c r="N6" s="284"/>
      <c r="O6" s="284"/>
      <c r="P6" s="284"/>
      <c r="Q6" s="284"/>
      <c r="R6" s="284"/>
      <c r="S6" s="284"/>
      <c r="T6" s="284"/>
      <c r="U6" s="284"/>
      <c r="V6" s="285"/>
    </row>
    <row r="7" spans="1:22" x14ac:dyDescent="0.25">
      <c r="A7" s="169"/>
      <c r="B7" s="167">
        <v>2011</v>
      </c>
      <c r="C7" s="170">
        <v>2015</v>
      </c>
      <c r="D7" s="170">
        <v>2020</v>
      </c>
      <c r="E7" s="170">
        <v>2025</v>
      </c>
      <c r="F7" s="170">
        <v>2030</v>
      </c>
      <c r="G7" s="170">
        <v>2035</v>
      </c>
      <c r="H7" s="170">
        <v>2040</v>
      </c>
      <c r="I7" s="170">
        <v>2045</v>
      </c>
      <c r="J7" s="166">
        <v>2050</v>
      </c>
      <c r="K7" s="192"/>
      <c r="L7" s="201"/>
      <c r="M7" s="211"/>
      <c r="N7" s="200">
        <v>2011</v>
      </c>
      <c r="O7" s="198">
        <v>2015</v>
      </c>
      <c r="P7" s="198">
        <v>2020</v>
      </c>
      <c r="Q7" s="198">
        <v>2025</v>
      </c>
      <c r="R7" s="198">
        <v>2030</v>
      </c>
      <c r="S7" s="198">
        <v>2035</v>
      </c>
      <c r="T7" s="198">
        <v>2040</v>
      </c>
      <c r="U7" s="198">
        <v>2045</v>
      </c>
      <c r="V7" s="199">
        <v>2050</v>
      </c>
    </row>
    <row r="8" spans="1:22" x14ac:dyDescent="0.25">
      <c r="A8" s="172" t="s">
        <v>87</v>
      </c>
      <c r="B8" s="175">
        <f>SUMIF(NEWAGE_reg!$B$2:$B$29,sce_9!$A8,NEWAGE_reg!$C$2:$C$29)</f>
        <v>431.12531818257122</v>
      </c>
      <c r="C8" s="176"/>
      <c r="D8" s="176">
        <f>SUMIF(AP5_Targets!$B$8:$B$35,sce_9!$A8,AP5_Targets!BJ$8:BJ$35)</f>
        <v>393.01826778999032</v>
      </c>
      <c r="E8" s="176">
        <f>(D8+F8)/2</f>
        <v>338.17850949371257</v>
      </c>
      <c r="F8" s="176">
        <f>SUMIF(AP5_Targets!$B$8:$B$35,sce_9!$A8,AP5_Targets!BL$8:BL$35)</f>
        <v>283.33875119743487</v>
      </c>
      <c r="G8" s="176">
        <f>(F8+H8)/2</f>
        <v>235.35396268819187</v>
      </c>
      <c r="H8" s="176">
        <f>SUMIF(AP5_Targets!$B$8:$B$35,sce_9!$A8,AP5_Targets!BN$8:BN$35)</f>
        <v>187.36917417894887</v>
      </c>
      <c r="I8" s="176">
        <f>(H8+J8)/2</f>
        <v>139.38438566970586</v>
      </c>
      <c r="J8" s="176">
        <f>SUMIF(AP5_Targets!$B$8:$B$35,sce_9!$A8,AP5_Targets!BP$8:BP$35)</f>
        <v>91.399597160462847</v>
      </c>
      <c r="K8" s="193"/>
      <c r="L8" s="202" t="s">
        <v>87</v>
      </c>
      <c r="M8" s="212" t="s">
        <v>112</v>
      </c>
      <c r="N8" s="175">
        <f>B8/$B8</f>
        <v>1</v>
      </c>
      <c r="O8" s="175"/>
      <c r="P8" s="175">
        <f t="shared" ref="P8:V16" si="0">D8/$B8</f>
        <v>0.91161027018032037</v>
      </c>
      <c r="Q8" s="175">
        <f t="shared" si="0"/>
        <v>0.78440883713190346</v>
      </c>
      <c r="R8" s="175">
        <f t="shared" si="0"/>
        <v>0.65720740408348677</v>
      </c>
      <c r="S8" s="175">
        <f t="shared" si="0"/>
        <v>0.54590615016612209</v>
      </c>
      <c r="T8" s="175">
        <f t="shared" si="0"/>
        <v>0.43460489624875737</v>
      </c>
      <c r="U8" s="175">
        <f t="shared" si="0"/>
        <v>0.32330364233139264</v>
      </c>
      <c r="V8" s="177">
        <f t="shared" si="0"/>
        <v>0.21200238841402794</v>
      </c>
    </row>
    <row r="9" spans="1:22" x14ac:dyDescent="0.25">
      <c r="A9" s="173" t="s">
        <v>83</v>
      </c>
      <c r="B9" s="178">
        <f>SUMIF(NEWAGE_reg!$B$2:$B$29,sce_9!$A9,NEWAGE_reg!$C$2:$C$29)</f>
        <v>350.97888858284506</v>
      </c>
      <c r="C9" s="179"/>
      <c r="D9" s="179">
        <f>SUMIF(AP5_Targets!$B$8:$B$35,sce_9!$A9,AP5_Targets!BJ$8:BJ$35)</f>
        <v>329.56947669999886</v>
      </c>
      <c r="E9" s="179">
        <f t="shared" ref="E9:E16" si="1">(D9+F9)/2</f>
        <v>285.49913969941764</v>
      </c>
      <c r="F9" s="179">
        <f>SUMIF(AP5_Targets!$B$8:$B$35,sce_9!$A9,AP5_Targets!BL$8:BL$35)</f>
        <v>241.42880269883639</v>
      </c>
      <c r="G9" s="179">
        <f t="shared" ref="G9:G16" si="2">(F9+H9)/2</f>
        <v>200.23261811133654</v>
      </c>
      <c r="H9" s="179">
        <f>SUMIF(AP5_Targets!$B$8:$B$35,sce_9!$A9,AP5_Targets!BN$8:BN$35)</f>
        <v>159.03643352383665</v>
      </c>
      <c r="I9" s="179">
        <f t="shared" ref="I9:I16" si="3">(H9+J9)/2</f>
        <v>117.84024893633679</v>
      </c>
      <c r="J9" s="179">
        <f>SUMIF(AP5_Targets!$B$8:$B$35,sce_9!$A9,AP5_Targets!BP$8:BP$35)</f>
        <v>76.644064348836935</v>
      </c>
      <c r="K9" s="193"/>
      <c r="L9" s="203" t="s">
        <v>83</v>
      </c>
      <c r="M9" s="213" t="s">
        <v>112</v>
      </c>
      <c r="N9" s="178">
        <f t="shared" ref="N9:N16" si="4">B9/$B9</f>
        <v>1</v>
      </c>
      <c r="O9" s="178"/>
      <c r="P9" s="178">
        <f t="shared" si="0"/>
        <v>0.93900085566601621</v>
      </c>
      <c r="Q9" s="178">
        <f t="shared" si="0"/>
        <v>0.81343678775718853</v>
      </c>
      <c r="R9" s="178">
        <f t="shared" si="0"/>
        <v>0.68787271984836074</v>
      </c>
      <c r="S9" s="178">
        <f t="shared" si="0"/>
        <v>0.5704976128901087</v>
      </c>
      <c r="T9" s="178">
        <f t="shared" si="0"/>
        <v>0.4531225059318566</v>
      </c>
      <c r="U9" s="178">
        <f t="shared" si="0"/>
        <v>0.33574739897360456</v>
      </c>
      <c r="V9" s="180">
        <f t="shared" si="0"/>
        <v>0.21837229201535258</v>
      </c>
    </row>
    <row r="10" spans="1:22" x14ac:dyDescent="0.25">
      <c r="A10" s="172" t="s">
        <v>85</v>
      </c>
      <c r="B10" s="175">
        <f>SUMIF(NEWAGE_reg!$B$2:$B$29,sce_9!$A10,NEWAGE_reg!$C$2:$C$29)</f>
        <v>284.2309775038301</v>
      </c>
      <c r="C10" s="176"/>
      <c r="D10" s="176">
        <f>SUMIF(AP5_Targets!$B$8:$B$35,sce_9!$A10,AP5_Targets!BJ$8:BJ$35)</f>
        <v>275.89078596824714</v>
      </c>
      <c r="E10" s="176">
        <f t="shared" si="1"/>
        <v>244.17920137419574</v>
      </c>
      <c r="F10" s="176">
        <f>SUMIF(AP5_Targets!$B$8:$B$35,sce_9!$A10,AP5_Targets!BL$8:BL$35)</f>
        <v>212.46761678014434</v>
      </c>
      <c r="G10" s="176">
        <f t="shared" si="2"/>
        <v>175.20650488213394</v>
      </c>
      <c r="H10" s="176">
        <f>SUMIF(AP5_Targets!$B$8:$B$35,sce_9!$A10,AP5_Targets!BN$8:BN$35)</f>
        <v>137.94539298412354</v>
      </c>
      <c r="I10" s="176">
        <f t="shared" si="3"/>
        <v>100.68428108611316</v>
      </c>
      <c r="J10" s="176">
        <f>SUMIF(AP5_Targets!$B$8:$B$35,sce_9!$A10,AP5_Targets!BP$8:BP$35)</f>
        <v>63.423169188102776</v>
      </c>
      <c r="K10" s="193"/>
      <c r="L10" s="202" t="s">
        <v>85</v>
      </c>
      <c r="M10" s="212" t="s">
        <v>112</v>
      </c>
      <c r="N10" s="175">
        <f t="shared" si="4"/>
        <v>1</v>
      </c>
      <c r="O10" s="175"/>
      <c r="P10" s="175">
        <f t="shared" si="0"/>
        <v>0.97065699309474252</v>
      </c>
      <c r="Q10" s="175">
        <f t="shared" si="0"/>
        <v>0.85908722377350777</v>
      </c>
      <c r="R10" s="175">
        <f t="shared" si="0"/>
        <v>0.74751745445227291</v>
      </c>
      <c r="S10" s="175">
        <f t="shared" si="0"/>
        <v>0.61642297549982206</v>
      </c>
      <c r="T10" s="175">
        <f t="shared" si="0"/>
        <v>0.4853284965473712</v>
      </c>
      <c r="U10" s="175">
        <f t="shared" si="0"/>
        <v>0.35423401759492035</v>
      </c>
      <c r="V10" s="177">
        <f t="shared" si="0"/>
        <v>0.22313953864246949</v>
      </c>
    </row>
    <row r="11" spans="1:22" x14ac:dyDescent="0.25">
      <c r="A11" s="173" t="s">
        <v>91</v>
      </c>
      <c r="B11" s="178">
        <f>SUMIF(NEWAGE_reg!$B$2:$B$29,sce_9!$A11,NEWAGE_reg!$C$2:$C$29)</f>
        <v>184.75146052804283</v>
      </c>
      <c r="C11" s="179"/>
      <c r="D11" s="179">
        <f>SUMIF(AP5_Targets!$B$8:$B$35,sce_9!$A11,AP5_Targets!BJ$8:BJ$35)</f>
        <v>189.32682156080617</v>
      </c>
      <c r="E11" s="179">
        <f t="shared" si="1"/>
        <v>171.88882483810033</v>
      </c>
      <c r="F11" s="179">
        <f>SUMIF(AP5_Targets!$B$8:$B$35,sce_9!$A11,AP5_Targets!BL$8:BL$35)</f>
        <v>154.45082811539447</v>
      </c>
      <c r="G11" s="179">
        <f t="shared" si="2"/>
        <v>136.597640994529</v>
      </c>
      <c r="H11" s="179">
        <f>SUMIF(AP5_Targets!$B$8:$B$35,sce_9!$A11,AP5_Targets!BN$8:BN$35)</f>
        <v>118.7444538736635</v>
      </c>
      <c r="I11" s="179">
        <f t="shared" si="3"/>
        <v>100.891266752798</v>
      </c>
      <c r="J11" s="179">
        <f>SUMIF(AP5_Targets!$B$8:$B$35,sce_9!$A11,AP5_Targets!BP$8:BP$35)</f>
        <v>83.038079631932519</v>
      </c>
      <c r="K11" s="193"/>
      <c r="L11" s="203" t="s">
        <v>91</v>
      </c>
      <c r="M11" s="213" t="s">
        <v>112</v>
      </c>
      <c r="N11" s="178">
        <f t="shared" si="4"/>
        <v>1</v>
      </c>
      <c r="O11" s="178"/>
      <c r="P11" s="178">
        <f t="shared" si="0"/>
        <v>1.0247649518963822</v>
      </c>
      <c r="Q11" s="178">
        <f t="shared" si="0"/>
        <v>0.93037870632697861</v>
      </c>
      <c r="R11" s="178">
        <f t="shared" si="0"/>
        <v>0.83599246075757483</v>
      </c>
      <c r="S11" s="178">
        <f t="shared" si="0"/>
        <v>0.73935892362699507</v>
      </c>
      <c r="T11" s="178">
        <f t="shared" si="0"/>
        <v>0.64272538649641509</v>
      </c>
      <c r="U11" s="178">
        <f t="shared" si="0"/>
        <v>0.5460918493658351</v>
      </c>
      <c r="V11" s="180">
        <f t="shared" si="0"/>
        <v>0.44945831223525529</v>
      </c>
    </row>
    <row r="12" spans="1:22" x14ac:dyDescent="0.25">
      <c r="A12" s="172" t="s">
        <v>86</v>
      </c>
      <c r="B12" s="175">
        <f>SUMIF(NEWAGE_reg!$B$2:$B$29,sce_9!$A12,NEWAGE_reg!$C$2:$C$29)</f>
        <v>318.03906884435668</v>
      </c>
      <c r="C12" s="176"/>
      <c r="D12" s="176">
        <f>SUMIF(AP5_Targets!$B$8:$B$35,sce_9!$A12,AP5_Targets!BJ$8:BJ$35)</f>
        <v>311.85526550692305</v>
      </c>
      <c r="E12" s="176">
        <f t="shared" si="1"/>
        <v>272.87335731855768</v>
      </c>
      <c r="F12" s="176">
        <f>SUMIF(AP5_Targets!$B$8:$B$35,sce_9!$A12,AP5_Targets!BL$8:BL$35)</f>
        <v>233.89144913019229</v>
      </c>
      <c r="G12" s="176">
        <f t="shared" si="2"/>
        <v>193.98140027067535</v>
      </c>
      <c r="H12" s="176">
        <f>SUMIF(AP5_Targets!$B$8:$B$35,sce_9!$A12,AP5_Targets!BN$8:BN$35)</f>
        <v>154.07135141115839</v>
      </c>
      <c r="I12" s="176">
        <f t="shared" si="3"/>
        <v>114.16130255164146</v>
      </c>
      <c r="J12" s="176">
        <f>SUMIF(AP5_Targets!$B$8:$B$35,sce_9!$A12,AP5_Targets!BP$8:BP$35)</f>
        <v>74.251253692124521</v>
      </c>
      <c r="K12" s="193"/>
      <c r="L12" s="202" t="s">
        <v>86</v>
      </c>
      <c r="M12" s="212" t="s">
        <v>112</v>
      </c>
      <c r="N12" s="175">
        <f t="shared" si="4"/>
        <v>1</v>
      </c>
      <c r="O12" s="175"/>
      <c r="P12" s="175">
        <f t="shared" si="0"/>
        <v>0.98055646634891924</v>
      </c>
      <c r="Q12" s="175">
        <f t="shared" si="0"/>
        <v>0.85798690805530442</v>
      </c>
      <c r="R12" s="175">
        <f t="shared" si="0"/>
        <v>0.73541734976168949</v>
      </c>
      <c r="S12" s="175">
        <f t="shared" si="0"/>
        <v>0.60992946865155995</v>
      </c>
      <c r="T12" s="175">
        <f t="shared" si="0"/>
        <v>0.4844415875414303</v>
      </c>
      <c r="U12" s="175">
        <f t="shared" si="0"/>
        <v>0.35895370643130076</v>
      </c>
      <c r="V12" s="177">
        <f t="shared" si="0"/>
        <v>0.23346582532117122</v>
      </c>
    </row>
    <row r="13" spans="1:22" x14ac:dyDescent="0.25">
      <c r="A13" s="173" t="s">
        <v>84</v>
      </c>
      <c r="B13" s="178">
        <f>SUMIF(NEWAGE_reg!$B$2:$B$29,sce_9!$A13,NEWAGE_reg!$C$2:$C$29)</f>
        <v>238.16848497502417</v>
      </c>
      <c r="C13" s="179"/>
      <c r="D13" s="179">
        <f>SUMIF(AP5_Targets!$B$8:$B$35,sce_9!$A13,AP5_Targets!BJ$8:BJ$35)</f>
        <v>247.99324003019603</v>
      </c>
      <c r="E13" s="179">
        <f t="shared" si="1"/>
        <v>225.94036106880532</v>
      </c>
      <c r="F13" s="179">
        <f>SUMIF(AP5_Targets!$B$8:$B$35,sce_9!$A13,AP5_Targets!BL$8:BL$35)</f>
        <v>203.88748210741457</v>
      </c>
      <c r="G13" s="179">
        <f t="shared" si="2"/>
        <v>166.44454021780584</v>
      </c>
      <c r="H13" s="179">
        <f>SUMIF(AP5_Targets!$B$8:$B$35,sce_9!$A13,AP5_Targets!BN$8:BN$35)</f>
        <v>129.0015983281971</v>
      </c>
      <c r="I13" s="179">
        <f t="shared" si="3"/>
        <v>91.558656438588372</v>
      </c>
      <c r="J13" s="179">
        <f>SUMIF(AP5_Targets!$B$8:$B$35,sce_9!$A13,AP5_Targets!BP$8:BP$35)</f>
        <v>54.115714548979632</v>
      </c>
      <c r="K13" s="193"/>
      <c r="L13" s="203" t="s">
        <v>84</v>
      </c>
      <c r="M13" s="213" t="s">
        <v>112</v>
      </c>
      <c r="N13" s="178">
        <f t="shared" si="4"/>
        <v>1</v>
      </c>
      <c r="O13" s="178"/>
      <c r="P13" s="178">
        <f t="shared" si="0"/>
        <v>1.0412512808157728</v>
      </c>
      <c r="Q13" s="178">
        <f t="shared" si="0"/>
        <v>0.94865767438751958</v>
      </c>
      <c r="R13" s="178">
        <f t="shared" si="0"/>
        <v>0.85606406795926626</v>
      </c>
      <c r="S13" s="178">
        <f t="shared" si="0"/>
        <v>0.69885207623191725</v>
      </c>
      <c r="T13" s="178">
        <f t="shared" si="0"/>
        <v>0.54164008450456835</v>
      </c>
      <c r="U13" s="178">
        <f t="shared" si="0"/>
        <v>0.3844280927772194</v>
      </c>
      <c r="V13" s="180">
        <f t="shared" si="0"/>
        <v>0.22721610104987039</v>
      </c>
    </row>
    <row r="14" spans="1:22" x14ac:dyDescent="0.25">
      <c r="A14" s="172" t="s">
        <v>88</v>
      </c>
      <c r="B14" s="175">
        <f>SUMIF(NEWAGE_reg!$B$2:$B$29,sce_9!$A14,NEWAGE_reg!$C$2:$C$29)</f>
        <v>194.76706877726937</v>
      </c>
      <c r="C14" s="176"/>
      <c r="D14" s="176">
        <f>SUMIF(AP5_Targets!$B$8:$B$35,sce_9!$A14,AP5_Targets!BJ$8:BJ$35)</f>
        <v>170.79846919044058</v>
      </c>
      <c r="E14" s="176">
        <f t="shared" si="1"/>
        <v>150.50896744923537</v>
      </c>
      <c r="F14" s="176">
        <f>SUMIF(AP5_Targets!$B$8:$B$35,sce_9!$A14,AP5_Targets!BL$8:BL$35)</f>
        <v>130.21946570803016</v>
      </c>
      <c r="G14" s="176">
        <f t="shared" si="2"/>
        <v>107.80935015162522</v>
      </c>
      <c r="H14" s="176">
        <f>SUMIF(AP5_Targets!$B$8:$B$35,sce_9!$A14,AP5_Targets!BN$8:BN$35)</f>
        <v>85.399234595220292</v>
      </c>
      <c r="I14" s="176">
        <f t="shared" si="3"/>
        <v>62.989119038815353</v>
      </c>
      <c r="J14" s="176">
        <f>SUMIF(AP5_Targets!$B$8:$B$35,sce_9!$A14,AP5_Targets!BP$8:BP$35)</f>
        <v>40.579003482410414</v>
      </c>
      <c r="K14" s="193"/>
      <c r="L14" s="202" t="s">
        <v>88</v>
      </c>
      <c r="M14" s="212" t="s">
        <v>112</v>
      </c>
      <c r="N14" s="175">
        <f t="shared" si="4"/>
        <v>1</v>
      </c>
      <c r="O14" s="175"/>
      <c r="P14" s="175">
        <f t="shared" si="0"/>
        <v>0.87693710370391897</v>
      </c>
      <c r="Q14" s="175">
        <f t="shared" si="0"/>
        <v>0.77276393999312876</v>
      </c>
      <c r="R14" s="175">
        <f t="shared" si="0"/>
        <v>0.66859077628233854</v>
      </c>
      <c r="S14" s="175">
        <f t="shared" si="0"/>
        <v>0.55352966406714899</v>
      </c>
      <c r="T14" s="175">
        <f t="shared" si="0"/>
        <v>0.43846855185195949</v>
      </c>
      <c r="U14" s="175">
        <f t="shared" si="0"/>
        <v>0.32340743963676988</v>
      </c>
      <c r="V14" s="177">
        <f t="shared" si="0"/>
        <v>0.2083463274215803</v>
      </c>
    </row>
    <row r="15" spans="1:22" x14ac:dyDescent="0.25">
      <c r="A15" s="173" t="s">
        <v>90</v>
      </c>
      <c r="B15" s="178">
        <f>SUMIF(NEWAGE_reg!$B$2:$B$29,sce_9!$A15,NEWAGE_reg!$C$2:$C$29)</f>
        <v>168.82381683726044</v>
      </c>
      <c r="C15" s="179"/>
      <c r="D15" s="179">
        <f>SUMIF(AP5_Targets!$B$8:$B$35,sce_9!$A15,AP5_Targets!BJ$8:BJ$35)</f>
        <v>155.04963103987569</v>
      </c>
      <c r="E15" s="179">
        <f>(D15+F15)/2</f>
        <v>137.96434474088545</v>
      </c>
      <c r="F15" s="179">
        <f>SUMIF(AP5_Targets!$B$8:$B$35,sce_9!$A15,AP5_Targets!BL$8:BL$35)</f>
        <v>120.87905844189524</v>
      </c>
      <c r="G15" s="179">
        <f>(F15+H15)/2</f>
        <v>100.85542178710989</v>
      </c>
      <c r="H15" s="179">
        <f>SUMIF(AP5_Targets!$B$8:$B$35,sce_9!$A15,AP5_Targets!BN$8:BN$35)</f>
        <v>80.831785132324541</v>
      </c>
      <c r="I15" s="179">
        <f>(H15+J15)/2</f>
        <v>60.808148477539191</v>
      </c>
      <c r="J15" s="179">
        <f>SUMIF(AP5_Targets!$B$8:$B$35,sce_9!$A15,AP5_Targets!BP$8:BP$35)</f>
        <v>40.784511822753842</v>
      </c>
      <c r="K15" s="193"/>
      <c r="L15" s="203" t="s">
        <v>90</v>
      </c>
      <c r="M15" s="213" t="s">
        <v>112</v>
      </c>
      <c r="N15" s="178">
        <f t="shared" si="4"/>
        <v>1</v>
      </c>
      <c r="O15" s="178"/>
      <c r="P15" s="178">
        <f t="shared" si="0"/>
        <v>0.91841088505502444</v>
      </c>
      <c r="Q15" s="178">
        <f t="shared" si="0"/>
        <v>0.81720901307353855</v>
      </c>
      <c r="R15" s="178">
        <f t="shared" si="0"/>
        <v>0.71600714109205299</v>
      </c>
      <c r="S15" s="178">
        <f t="shared" si="0"/>
        <v>0.59740043600797499</v>
      </c>
      <c r="T15" s="178">
        <f t="shared" si="0"/>
        <v>0.47879373092389699</v>
      </c>
      <c r="U15" s="178">
        <f t="shared" si="0"/>
        <v>0.36018702583981899</v>
      </c>
      <c r="V15" s="180">
        <f t="shared" si="0"/>
        <v>0.24158032075574098</v>
      </c>
    </row>
    <row r="16" spans="1:22" ht="15.75" thickBot="1" x14ac:dyDescent="0.3">
      <c r="A16" s="185" t="s">
        <v>89</v>
      </c>
      <c r="B16" s="183">
        <f>SUMIF(NEWAGE_reg!$B$2:$B$29,sce_9!$A16,NEWAGE_reg!$C$2:$C$29)</f>
        <v>328.73528516056416</v>
      </c>
      <c r="C16" s="184"/>
      <c r="D16" s="184">
        <f>SUMIF(AP5_Targets!$B$8:$B$35,sce_9!$A16,AP5_Targets!BJ$8:BJ$35)</f>
        <v>379.17762751196415</v>
      </c>
      <c r="E16" s="184">
        <f t="shared" si="1"/>
        <v>344.80969391306292</v>
      </c>
      <c r="F16" s="184">
        <f>SUMIF(AP5_Targets!$B$8:$B$35,sce_9!$A16,AP5_Targets!BL$8:BL$35)</f>
        <v>310.44176031416168</v>
      </c>
      <c r="G16" s="184">
        <f t="shared" si="2"/>
        <v>267.36699261211714</v>
      </c>
      <c r="H16" s="184">
        <f>SUMIF(AP5_Targets!$B$8:$B$35,sce_9!$A16,AP5_Targets!BN$8:BN$35)</f>
        <v>224.29222491007263</v>
      </c>
      <c r="I16" s="184">
        <f t="shared" si="3"/>
        <v>181.21745720802812</v>
      </c>
      <c r="J16" s="184">
        <f>SUMIF(AP5_Targets!$B$8:$B$35,sce_9!$A16,AP5_Targets!BP$8:BP$35)</f>
        <v>138.14268950598358</v>
      </c>
      <c r="K16" s="193"/>
      <c r="L16" s="204" t="s">
        <v>89</v>
      </c>
      <c r="M16" s="214" t="s">
        <v>112</v>
      </c>
      <c r="N16" s="195">
        <f t="shared" si="4"/>
        <v>1</v>
      </c>
      <c r="O16" s="195"/>
      <c r="P16" s="195">
        <f t="shared" si="0"/>
        <v>1.1534436509508326</v>
      </c>
      <c r="Q16" s="195">
        <f t="shared" si="0"/>
        <v>1.0488977285923156</v>
      </c>
      <c r="R16" s="195">
        <f t="shared" si="0"/>
        <v>0.94435180623379877</v>
      </c>
      <c r="S16" s="195">
        <f t="shared" si="0"/>
        <v>0.81332003189595881</v>
      </c>
      <c r="T16" s="195">
        <f t="shared" si="0"/>
        <v>0.68228825755811884</v>
      </c>
      <c r="U16" s="195">
        <f t="shared" si="0"/>
        <v>0.55125648322027887</v>
      </c>
      <c r="V16" s="196">
        <f t="shared" si="0"/>
        <v>0.42022470888243879</v>
      </c>
    </row>
    <row r="17" spans="1:22" ht="15.75" thickBot="1" x14ac:dyDescent="0.3">
      <c r="A17" s="162"/>
      <c r="B17" s="163"/>
      <c r="C17" s="163"/>
      <c r="D17" s="163"/>
      <c r="E17" s="163"/>
      <c r="F17" s="163"/>
      <c r="G17" s="163"/>
      <c r="H17" s="163"/>
      <c r="I17" s="163"/>
      <c r="J17" s="164"/>
      <c r="K17" s="163"/>
    </row>
    <row r="18" spans="1:22" x14ac:dyDescent="0.25">
      <c r="A18" s="270" t="s">
        <v>100</v>
      </c>
      <c r="B18" s="271"/>
      <c r="C18" s="271"/>
      <c r="D18" s="271"/>
      <c r="E18" s="271"/>
      <c r="F18" s="271"/>
      <c r="G18" s="271"/>
      <c r="H18" s="271"/>
      <c r="I18" s="271"/>
      <c r="J18" s="272"/>
      <c r="K18" s="189"/>
      <c r="L18" s="273" t="s">
        <v>98</v>
      </c>
      <c r="M18" s="274"/>
      <c r="N18" s="274"/>
      <c r="O18" s="274"/>
      <c r="P18" s="274"/>
      <c r="Q18" s="274"/>
      <c r="R18" s="274"/>
      <c r="S18" s="274"/>
      <c r="T18" s="274"/>
      <c r="U18" s="274"/>
      <c r="V18" s="275"/>
    </row>
    <row r="19" spans="1:22" x14ac:dyDescent="0.25">
      <c r="A19" s="162"/>
      <c r="B19" s="165">
        <v>2011</v>
      </c>
      <c r="C19" s="165">
        <v>2015</v>
      </c>
      <c r="D19" s="165">
        <v>2020</v>
      </c>
      <c r="E19" s="165">
        <v>2025</v>
      </c>
      <c r="F19" s="165">
        <v>2030</v>
      </c>
      <c r="G19" s="165">
        <v>2035</v>
      </c>
      <c r="H19" s="165">
        <v>2040</v>
      </c>
      <c r="I19" s="165">
        <v>2045</v>
      </c>
      <c r="J19" s="166">
        <v>2050</v>
      </c>
      <c r="K19" s="165"/>
      <c r="L19" s="162"/>
      <c r="M19" s="163"/>
      <c r="N19" s="165">
        <v>2011</v>
      </c>
      <c r="O19" s="165">
        <v>2015</v>
      </c>
      <c r="P19" s="165">
        <v>2020</v>
      </c>
      <c r="Q19" s="167">
        <v>2025</v>
      </c>
      <c r="R19" s="165">
        <v>2030</v>
      </c>
      <c r="S19" s="165">
        <v>2035</v>
      </c>
      <c r="T19" s="165">
        <v>2040</v>
      </c>
      <c r="U19" s="165">
        <v>2045</v>
      </c>
      <c r="V19" s="166">
        <v>2050</v>
      </c>
    </row>
    <row r="20" spans="1:22" ht="15.75" thickBot="1" x14ac:dyDescent="0.3">
      <c r="A20" s="185" t="s">
        <v>87</v>
      </c>
      <c r="B20" s="182" t="s">
        <v>102</v>
      </c>
      <c r="C20" s="181" t="s">
        <v>102</v>
      </c>
      <c r="D20" s="181" t="s">
        <v>102</v>
      </c>
      <c r="E20" s="181" t="s">
        <v>102</v>
      </c>
      <c r="F20" s="181" t="s">
        <v>102</v>
      </c>
      <c r="G20" s="181" t="s">
        <v>102</v>
      </c>
      <c r="H20" s="181" t="s">
        <v>102</v>
      </c>
      <c r="I20" s="181" t="s">
        <v>102</v>
      </c>
      <c r="J20" s="187" t="s">
        <v>102</v>
      </c>
      <c r="K20" s="190"/>
      <c r="L20" s="174" t="s">
        <v>87</v>
      </c>
      <c r="M20" s="215" t="s">
        <v>113</v>
      </c>
      <c r="N20" s="188">
        <f>IF(B20="-",0,B20/$B20)</f>
        <v>0</v>
      </c>
      <c r="O20" s="171"/>
      <c r="P20" s="195">
        <f t="shared" ref="P20:V20" si="5">IF(D20="-",0,D20/$B20)</f>
        <v>0</v>
      </c>
      <c r="Q20" s="195">
        <f t="shared" si="5"/>
        <v>0</v>
      </c>
      <c r="R20" s="195">
        <f t="shared" si="5"/>
        <v>0</v>
      </c>
      <c r="S20" s="195">
        <f t="shared" si="5"/>
        <v>0</v>
      </c>
      <c r="T20" s="195">
        <f t="shared" si="5"/>
        <v>0</v>
      </c>
      <c r="U20" s="195">
        <f t="shared" si="5"/>
        <v>0</v>
      </c>
      <c r="V20" s="196">
        <f t="shared" si="5"/>
        <v>0</v>
      </c>
    </row>
    <row r="21" spans="1:22" ht="15.75" thickBot="1" x14ac:dyDescent="0.3">
      <c r="A21" s="162"/>
      <c r="B21" s="163"/>
      <c r="C21" s="163"/>
      <c r="D21" s="163"/>
      <c r="E21" s="163"/>
      <c r="F21" s="163"/>
      <c r="G21" s="163"/>
      <c r="H21" s="163"/>
      <c r="I21" s="163"/>
      <c r="J21" s="164"/>
      <c r="K21" s="163"/>
    </row>
    <row r="22" spans="1:22" x14ac:dyDescent="0.25">
      <c r="A22" s="270" t="s">
        <v>98</v>
      </c>
      <c r="B22" s="271"/>
      <c r="C22" s="271"/>
      <c r="D22" s="271"/>
      <c r="E22" s="271"/>
      <c r="F22" s="271"/>
      <c r="G22" s="271"/>
      <c r="H22" s="271"/>
      <c r="I22" s="271"/>
      <c r="J22" s="272"/>
      <c r="K22" s="189"/>
      <c r="L22" s="273" t="s">
        <v>98</v>
      </c>
      <c r="M22" s="274"/>
      <c r="N22" s="274"/>
      <c r="O22" s="274"/>
      <c r="P22" s="274"/>
      <c r="Q22" s="274"/>
      <c r="R22" s="274"/>
      <c r="S22" s="274"/>
      <c r="T22" s="274"/>
      <c r="U22" s="274"/>
      <c r="V22" s="275"/>
    </row>
    <row r="23" spans="1:22" x14ac:dyDescent="0.25">
      <c r="A23" s="162"/>
      <c r="B23" s="165">
        <v>2011</v>
      </c>
      <c r="C23" s="165">
        <v>2015</v>
      </c>
      <c r="D23" s="165">
        <v>2020</v>
      </c>
      <c r="E23" s="167">
        <v>2025</v>
      </c>
      <c r="F23" s="165">
        <v>2030</v>
      </c>
      <c r="G23" s="165">
        <v>2035</v>
      </c>
      <c r="H23" s="165">
        <v>2040</v>
      </c>
      <c r="I23" s="165">
        <v>2045</v>
      </c>
      <c r="J23" s="166">
        <v>2050</v>
      </c>
      <c r="K23" s="165"/>
      <c r="L23" s="162"/>
      <c r="M23" s="163"/>
      <c r="N23" s="165">
        <v>2011</v>
      </c>
      <c r="O23" s="165">
        <v>2015</v>
      </c>
      <c r="P23" s="165">
        <v>2020</v>
      </c>
      <c r="Q23" s="167">
        <v>2025</v>
      </c>
      <c r="R23" s="165">
        <v>2030</v>
      </c>
      <c r="S23" s="165">
        <v>2035</v>
      </c>
      <c r="T23" s="165">
        <v>2040</v>
      </c>
      <c r="U23" s="165">
        <v>2045</v>
      </c>
      <c r="V23" s="166">
        <v>2050</v>
      </c>
    </row>
    <row r="24" spans="1:22" ht="15.75" thickBot="1" x14ac:dyDescent="0.3">
      <c r="A24" s="174" t="s">
        <v>95</v>
      </c>
      <c r="B24" s="188">
        <f>NEWAGE_reg!$C$32</f>
        <v>1984.4704999999999</v>
      </c>
      <c r="C24" s="171"/>
      <c r="D24" s="188">
        <f>AP5_Targets!BJ5</f>
        <v>1848.82041</v>
      </c>
      <c r="E24" s="205">
        <f t="shared" ref="E24" si="6">(D24+F24)/2</f>
        <v>1591.3897200000001</v>
      </c>
      <c r="F24" s="188">
        <f>AP5_Targets!BL5</f>
        <v>1333.95903</v>
      </c>
      <c r="G24" s="205">
        <f t="shared" ref="G24" si="7">(F24+H24)/2</f>
        <v>1099.9311299999999</v>
      </c>
      <c r="H24" s="188">
        <f>AP5_Targets!BN5</f>
        <v>865.90323000000001</v>
      </c>
      <c r="I24" s="205">
        <f t="shared" ref="I24" si="8">(H24+J24)/2</f>
        <v>631.87533000000008</v>
      </c>
      <c r="J24" s="188">
        <f>AP5_Targets!BP5</f>
        <v>397.84743000000003</v>
      </c>
      <c r="K24" s="191"/>
      <c r="L24" s="174" t="s">
        <v>114</v>
      </c>
      <c r="M24" s="215" t="s">
        <v>96</v>
      </c>
      <c r="N24" s="188">
        <f>B24/$B24</f>
        <v>1</v>
      </c>
      <c r="O24" s="171"/>
      <c r="P24" s="195">
        <f t="shared" ref="P24:V24" si="9">D24/$B24</f>
        <v>0.93164418921823233</v>
      </c>
      <c r="Q24" s="195">
        <f t="shared" si="9"/>
        <v>0.80192158059290886</v>
      </c>
      <c r="R24" s="195">
        <f t="shared" si="9"/>
        <v>0.67219897196758538</v>
      </c>
      <c r="S24" s="195">
        <f t="shared" si="9"/>
        <v>0.55426932776274573</v>
      </c>
      <c r="T24" s="195">
        <f t="shared" si="9"/>
        <v>0.43633968355790625</v>
      </c>
      <c r="U24" s="195">
        <f t="shared" si="9"/>
        <v>0.31841003935306678</v>
      </c>
      <c r="V24" s="196">
        <f t="shared" si="9"/>
        <v>0.20048039514822721</v>
      </c>
    </row>
  </sheetData>
  <mergeCells count="10">
    <mergeCell ref="A18:J18"/>
    <mergeCell ref="A22:J22"/>
    <mergeCell ref="A1:H2"/>
    <mergeCell ref="A4:J4"/>
    <mergeCell ref="L4:V4"/>
    <mergeCell ref="E5:F5"/>
    <mergeCell ref="A6:J6"/>
    <mergeCell ref="L6:V6"/>
    <mergeCell ref="L22:V22"/>
    <mergeCell ref="L18:V18"/>
  </mergeCell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"/>
  <sheetViews>
    <sheetView workbookViewId="0">
      <selection activeCell="J28" sqref="J28"/>
    </sheetView>
  </sheetViews>
  <sheetFormatPr baseColWidth="10" defaultColWidth="8.7109375" defaultRowHeight="15" x14ac:dyDescent="0.25"/>
  <sheetData>
    <row r="1" spans="1:22" x14ac:dyDescent="0.25">
      <c r="A1" s="264" t="s">
        <v>97</v>
      </c>
      <c r="B1" s="265"/>
      <c r="C1" s="265"/>
      <c r="D1" s="265"/>
      <c r="E1" s="265"/>
      <c r="F1" s="265"/>
      <c r="G1" s="265"/>
      <c r="H1" s="266"/>
    </row>
    <row r="2" spans="1:22" ht="15.75" thickBot="1" x14ac:dyDescent="0.3">
      <c r="A2" s="267"/>
      <c r="B2" s="268"/>
      <c r="C2" s="268"/>
      <c r="D2" s="268"/>
      <c r="E2" s="268"/>
      <c r="F2" s="268"/>
      <c r="G2" s="268"/>
      <c r="H2" s="269"/>
    </row>
    <row r="3" spans="1:22" ht="15.75" thickBot="1" x14ac:dyDescent="0.3">
      <c r="L3" t="s">
        <v>103</v>
      </c>
    </row>
    <row r="4" spans="1:22" x14ac:dyDescent="0.25">
      <c r="A4" s="276" t="s">
        <v>101</v>
      </c>
      <c r="B4" s="277"/>
      <c r="C4" s="277"/>
      <c r="D4" s="277"/>
      <c r="E4" s="277"/>
      <c r="F4" s="277"/>
      <c r="G4" s="277"/>
      <c r="H4" s="277"/>
      <c r="I4" s="277"/>
      <c r="J4" s="278"/>
      <c r="K4" s="194"/>
      <c r="L4" s="280" t="s">
        <v>105</v>
      </c>
      <c r="M4" s="281"/>
      <c r="N4" s="281"/>
      <c r="O4" s="281"/>
      <c r="P4" s="281"/>
      <c r="Q4" s="281"/>
      <c r="R4" s="281"/>
      <c r="S4" s="281"/>
      <c r="T4" s="281"/>
      <c r="U4" s="281"/>
      <c r="V4" s="282"/>
    </row>
    <row r="5" spans="1:22" x14ac:dyDescent="0.25">
      <c r="A5" s="162"/>
      <c r="B5" s="163"/>
      <c r="C5" s="163"/>
      <c r="D5" s="163"/>
      <c r="E5" s="279" t="s">
        <v>104</v>
      </c>
      <c r="F5" s="279"/>
      <c r="G5" s="163"/>
      <c r="H5" s="163"/>
      <c r="I5" s="163"/>
      <c r="J5" s="164"/>
      <c r="K5" s="163"/>
      <c r="L5" s="162"/>
      <c r="M5" s="163"/>
      <c r="N5" s="163"/>
      <c r="O5" s="163"/>
      <c r="P5" s="163"/>
      <c r="Q5" s="163"/>
      <c r="R5" s="163"/>
      <c r="S5" s="163"/>
      <c r="T5" s="163"/>
      <c r="U5" s="163"/>
      <c r="V5" s="164"/>
    </row>
    <row r="6" spans="1:22" x14ac:dyDescent="0.25">
      <c r="A6" s="270" t="s">
        <v>99</v>
      </c>
      <c r="B6" s="271"/>
      <c r="C6" s="271"/>
      <c r="D6" s="271"/>
      <c r="E6" s="271"/>
      <c r="F6" s="271"/>
      <c r="G6" s="271"/>
      <c r="H6" s="271"/>
      <c r="I6" s="271"/>
      <c r="J6" s="272"/>
      <c r="K6" s="189"/>
      <c r="L6" s="283" t="s">
        <v>99</v>
      </c>
      <c r="M6" s="284"/>
      <c r="N6" s="284"/>
      <c r="O6" s="284"/>
      <c r="P6" s="284"/>
      <c r="Q6" s="284"/>
      <c r="R6" s="284"/>
      <c r="S6" s="284"/>
      <c r="T6" s="284"/>
      <c r="U6" s="284"/>
      <c r="V6" s="285"/>
    </row>
    <row r="7" spans="1:22" x14ac:dyDescent="0.25">
      <c r="A7" s="169"/>
      <c r="B7" s="167">
        <v>2011</v>
      </c>
      <c r="C7" s="170">
        <v>2015</v>
      </c>
      <c r="D7" s="170">
        <v>2020</v>
      </c>
      <c r="E7" s="170">
        <v>2025</v>
      </c>
      <c r="F7" s="170">
        <v>2030</v>
      </c>
      <c r="G7" s="170">
        <v>2035</v>
      </c>
      <c r="H7" s="170">
        <v>2040</v>
      </c>
      <c r="I7" s="170">
        <v>2045</v>
      </c>
      <c r="J7" s="166">
        <v>2050</v>
      </c>
      <c r="K7" s="192"/>
      <c r="L7" s="201"/>
      <c r="M7" s="211"/>
      <c r="N7" s="200">
        <v>2011</v>
      </c>
      <c r="O7" s="198">
        <v>2015</v>
      </c>
      <c r="P7" s="198">
        <v>2020</v>
      </c>
      <c r="Q7" s="198">
        <v>2025</v>
      </c>
      <c r="R7" s="198">
        <v>2030</v>
      </c>
      <c r="S7" s="198">
        <v>2035</v>
      </c>
      <c r="T7" s="198">
        <v>2040</v>
      </c>
      <c r="U7" s="198">
        <v>2045</v>
      </c>
      <c r="V7" s="199">
        <v>2050</v>
      </c>
    </row>
    <row r="8" spans="1:22" x14ac:dyDescent="0.25">
      <c r="A8" s="172" t="s">
        <v>87</v>
      </c>
      <c r="B8" s="175">
        <f>SUMIF(NEWAGE_reg!$B$2:$B$29,sce_10!$A8,NEWAGE_reg!$C$2:$C$29)</f>
        <v>431.12531818257122</v>
      </c>
      <c r="C8" s="176"/>
      <c r="D8" s="176">
        <f>SUMIF(AP5_Targets!$B$8:$B$35,sce_10!$A8,AP5_Targets!BS$8:BS$35)</f>
        <v>393.01826778999032</v>
      </c>
      <c r="E8" s="176">
        <f>(D8+F8)/2</f>
        <v>338.17850949371257</v>
      </c>
      <c r="F8" s="176">
        <f>SUMIF(AP5_Targets!$B$8:$B$35,sce_10!$A8,AP5_Targets!BU$8:BU$35)</f>
        <v>283.33875119743487</v>
      </c>
      <c r="G8" s="176">
        <f>(F8+H8)/2</f>
        <v>235.35396268819187</v>
      </c>
      <c r="H8" s="176">
        <f>SUMIF(AP5_Targets!$B$8:$B$35,sce_10!$A8,AP5_Targets!BW$8:BW$35)</f>
        <v>187.36917417894884</v>
      </c>
      <c r="I8" s="176">
        <f>(H8+J8)/2</f>
        <v>139.38438566970584</v>
      </c>
      <c r="J8" s="176">
        <f>SUMIF(AP5_Targets!$B$8:$B$35,sce_10!$A8,AP5_Targets!BY$8:BY$35)</f>
        <v>91.399597160462847</v>
      </c>
      <c r="K8" s="193"/>
      <c r="L8" s="202" t="s">
        <v>87</v>
      </c>
      <c r="M8" s="212" t="s">
        <v>112</v>
      </c>
      <c r="N8" s="175">
        <f>B8/$B8</f>
        <v>1</v>
      </c>
      <c r="O8" s="175"/>
      <c r="P8" s="175">
        <f t="shared" ref="P8:V16" si="0">D8/$B8</f>
        <v>0.91161027018032037</v>
      </c>
      <c r="Q8" s="175">
        <f t="shared" si="0"/>
        <v>0.78440883713190346</v>
      </c>
      <c r="R8" s="175">
        <f t="shared" si="0"/>
        <v>0.65720740408348677</v>
      </c>
      <c r="S8" s="175">
        <f t="shared" si="0"/>
        <v>0.54590615016612209</v>
      </c>
      <c r="T8" s="175">
        <f t="shared" si="0"/>
        <v>0.43460489624875731</v>
      </c>
      <c r="U8" s="175">
        <f t="shared" si="0"/>
        <v>0.32330364233139258</v>
      </c>
      <c r="V8" s="177">
        <f t="shared" si="0"/>
        <v>0.21200238841402794</v>
      </c>
    </row>
    <row r="9" spans="1:22" x14ac:dyDescent="0.25">
      <c r="A9" s="173" t="s">
        <v>83</v>
      </c>
      <c r="B9" s="178">
        <f>SUMIF(NEWAGE_reg!$B$2:$B$29,sce_10!$A9,NEWAGE_reg!$C$2:$C$29)</f>
        <v>350.97888858284506</v>
      </c>
      <c r="C9" s="179"/>
      <c r="D9" s="179">
        <f>SUMIF(AP5_Targets!$B$8:$B$35,sce_10!$A9,AP5_Targets!BS$8:BS$35)</f>
        <v>329.56947669999886</v>
      </c>
      <c r="E9" s="179">
        <f t="shared" ref="E9:G16" si="1">(D9+F9)/2</f>
        <v>285.49913969941764</v>
      </c>
      <c r="F9" s="179">
        <f>SUMIF(AP5_Targets!$B$8:$B$35,sce_10!$A9,AP5_Targets!BU$8:BU$35)</f>
        <v>241.42880269883639</v>
      </c>
      <c r="G9" s="179">
        <f t="shared" si="1"/>
        <v>200.23261811133654</v>
      </c>
      <c r="H9" s="179">
        <f>SUMIF(AP5_Targets!$B$8:$B$35,sce_10!$A9,AP5_Targets!BW$8:BW$35)</f>
        <v>159.03643352383668</v>
      </c>
      <c r="I9" s="179">
        <f t="shared" ref="I9" si="2">(H9+J9)/2</f>
        <v>117.84024893633681</v>
      </c>
      <c r="J9" s="179">
        <f>SUMIF(AP5_Targets!$B$8:$B$35,sce_10!$A9,AP5_Targets!BY$8:BY$35)</f>
        <v>76.644064348836935</v>
      </c>
      <c r="K9" s="193"/>
      <c r="L9" s="203" t="s">
        <v>83</v>
      </c>
      <c r="M9" s="213" t="s">
        <v>112</v>
      </c>
      <c r="N9" s="178">
        <f t="shared" ref="N9:N16" si="3">B9/$B9</f>
        <v>1</v>
      </c>
      <c r="O9" s="178"/>
      <c r="P9" s="178">
        <f t="shared" si="0"/>
        <v>0.93900085566601621</v>
      </c>
      <c r="Q9" s="178">
        <f t="shared" si="0"/>
        <v>0.81343678775718853</v>
      </c>
      <c r="R9" s="178">
        <f t="shared" si="0"/>
        <v>0.68787271984836074</v>
      </c>
      <c r="S9" s="178">
        <f t="shared" si="0"/>
        <v>0.5704976128901087</v>
      </c>
      <c r="T9" s="178">
        <f t="shared" si="0"/>
        <v>0.45312250593185671</v>
      </c>
      <c r="U9" s="178">
        <f t="shared" si="0"/>
        <v>0.33574739897360462</v>
      </c>
      <c r="V9" s="180">
        <f t="shared" si="0"/>
        <v>0.21837229201535258</v>
      </c>
    </row>
    <row r="10" spans="1:22" x14ac:dyDescent="0.25">
      <c r="A10" s="172" t="s">
        <v>85</v>
      </c>
      <c r="B10" s="175">
        <f>SUMIF(NEWAGE_reg!$B$2:$B$29,sce_10!$A10,NEWAGE_reg!$C$2:$C$29)</f>
        <v>284.2309775038301</v>
      </c>
      <c r="C10" s="176"/>
      <c r="D10" s="176">
        <f>SUMIF(AP5_Targets!$B$8:$B$35,sce_10!$A10,AP5_Targets!BS$8:BS$35)</f>
        <v>275.89078596824714</v>
      </c>
      <c r="E10" s="176">
        <f t="shared" si="1"/>
        <v>244.17920137419574</v>
      </c>
      <c r="F10" s="176">
        <f>SUMIF(AP5_Targets!$B$8:$B$35,sce_10!$A10,AP5_Targets!BU$8:BU$35)</f>
        <v>212.46761678014434</v>
      </c>
      <c r="G10" s="176">
        <f t="shared" si="1"/>
        <v>175.20650488213394</v>
      </c>
      <c r="H10" s="176">
        <f>SUMIF(AP5_Targets!$B$8:$B$35,sce_10!$A10,AP5_Targets!BW$8:BW$35)</f>
        <v>137.94539298412354</v>
      </c>
      <c r="I10" s="176">
        <f t="shared" ref="I10" si="4">(H10+J10)/2</f>
        <v>100.68428108611316</v>
      </c>
      <c r="J10" s="176">
        <f>SUMIF(AP5_Targets!$B$8:$B$35,sce_10!$A10,AP5_Targets!BY$8:BY$35)</f>
        <v>63.423169188102776</v>
      </c>
      <c r="K10" s="193"/>
      <c r="L10" s="202" t="s">
        <v>85</v>
      </c>
      <c r="M10" s="212" t="s">
        <v>112</v>
      </c>
      <c r="N10" s="175">
        <f t="shared" si="3"/>
        <v>1</v>
      </c>
      <c r="O10" s="175"/>
      <c r="P10" s="175">
        <f t="shared" si="0"/>
        <v>0.97065699309474252</v>
      </c>
      <c r="Q10" s="175">
        <f t="shared" si="0"/>
        <v>0.85908722377350777</v>
      </c>
      <c r="R10" s="175">
        <f t="shared" si="0"/>
        <v>0.74751745445227291</v>
      </c>
      <c r="S10" s="175">
        <f t="shared" si="0"/>
        <v>0.61642297549982206</v>
      </c>
      <c r="T10" s="175">
        <f t="shared" si="0"/>
        <v>0.4853284965473712</v>
      </c>
      <c r="U10" s="175">
        <f t="shared" si="0"/>
        <v>0.35423401759492035</v>
      </c>
      <c r="V10" s="177">
        <f t="shared" si="0"/>
        <v>0.22313953864246949</v>
      </c>
    </row>
    <row r="11" spans="1:22" x14ac:dyDescent="0.25">
      <c r="A11" s="173" t="s">
        <v>91</v>
      </c>
      <c r="B11" s="178">
        <f>SUMIF(NEWAGE_reg!$B$2:$B$29,sce_10!$A11,NEWAGE_reg!$C$2:$C$29)</f>
        <v>184.75146052804283</v>
      </c>
      <c r="C11" s="179"/>
      <c r="D11" s="179">
        <f>SUMIF(AP5_Targets!$B$8:$B$35,sce_10!$A11,AP5_Targets!BS$8:BS$35)</f>
        <v>189.32682156080617</v>
      </c>
      <c r="E11" s="179">
        <f t="shared" si="1"/>
        <v>171.88882483810033</v>
      </c>
      <c r="F11" s="179">
        <f>SUMIF(AP5_Targets!$B$8:$B$35,sce_10!$A11,AP5_Targets!BU$8:BU$35)</f>
        <v>154.45082811539447</v>
      </c>
      <c r="G11" s="179">
        <f t="shared" si="1"/>
        <v>136.597640994529</v>
      </c>
      <c r="H11" s="179">
        <f>SUMIF(AP5_Targets!$B$8:$B$35,sce_10!$A11,AP5_Targets!BW$8:BW$35)</f>
        <v>118.7444538736635</v>
      </c>
      <c r="I11" s="179">
        <f t="shared" ref="I11" si="5">(H11+J11)/2</f>
        <v>100.891266752798</v>
      </c>
      <c r="J11" s="179">
        <f>SUMIF(AP5_Targets!$B$8:$B$35,sce_10!$A11,AP5_Targets!BY$8:BY$35)</f>
        <v>83.038079631932519</v>
      </c>
      <c r="K11" s="193"/>
      <c r="L11" s="203" t="s">
        <v>91</v>
      </c>
      <c r="M11" s="213" t="s">
        <v>112</v>
      </c>
      <c r="N11" s="178">
        <f t="shared" si="3"/>
        <v>1</v>
      </c>
      <c r="O11" s="178"/>
      <c r="P11" s="178">
        <f t="shared" si="0"/>
        <v>1.0247649518963822</v>
      </c>
      <c r="Q11" s="178">
        <f t="shared" si="0"/>
        <v>0.93037870632697861</v>
      </c>
      <c r="R11" s="178">
        <f t="shared" si="0"/>
        <v>0.83599246075757483</v>
      </c>
      <c r="S11" s="178">
        <f t="shared" si="0"/>
        <v>0.73935892362699507</v>
      </c>
      <c r="T11" s="178">
        <f t="shared" si="0"/>
        <v>0.64272538649641509</v>
      </c>
      <c r="U11" s="178">
        <f t="shared" si="0"/>
        <v>0.5460918493658351</v>
      </c>
      <c r="V11" s="180">
        <f t="shared" si="0"/>
        <v>0.44945831223525529</v>
      </c>
    </row>
    <row r="12" spans="1:22" x14ac:dyDescent="0.25">
      <c r="A12" s="172" t="s">
        <v>86</v>
      </c>
      <c r="B12" s="175">
        <f>SUMIF(NEWAGE_reg!$B$2:$B$29,sce_10!$A12,NEWAGE_reg!$C$2:$C$29)</f>
        <v>318.03906884435668</v>
      </c>
      <c r="C12" s="176"/>
      <c r="D12" s="176">
        <f>SUMIF(AP5_Targets!$B$8:$B$35,sce_10!$A12,AP5_Targets!BS$8:BS$35)</f>
        <v>311.85526550692305</v>
      </c>
      <c r="E12" s="176">
        <f t="shared" si="1"/>
        <v>272.87335731855768</v>
      </c>
      <c r="F12" s="176">
        <f>SUMIF(AP5_Targets!$B$8:$B$35,sce_10!$A12,AP5_Targets!BU$8:BU$35)</f>
        <v>233.89144913019229</v>
      </c>
      <c r="G12" s="176">
        <f t="shared" si="1"/>
        <v>193.98140027067535</v>
      </c>
      <c r="H12" s="176">
        <f>SUMIF(AP5_Targets!$B$8:$B$35,sce_10!$A12,AP5_Targets!BW$8:BW$35)</f>
        <v>154.07135141115842</v>
      </c>
      <c r="I12" s="176">
        <f t="shared" ref="I12" si="6">(H12+J12)/2</f>
        <v>114.16130255164147</v>
      </c>
      <c r="J12" s="176">
        <f>SUMIF(AP5_Targets!$B$8:$B$35,sce_10!$A12,AP5_Targets!BY$8:BY$35)</f>
        <v>74.251253692124521</v>
      </c>
      <c r="K12" s="193"/>
      <c r="L12" s="202" t="s">
        <v>86</v>
      </c>
      <c r="M12" s="212" t="s">
        <v>112</v>
      </c>
      <c r="N12" s="175">
        <f t="shared" si="3"/>
        <v>1</v>
      </c>
      <c r="O12" s="175"/>
      <c r="P12" s="175">
        <f t="shared" si="0"/>
        <v>0.98055646634891924</v>
      </c>
      <c r="Q12" s="175">
        <f t="shared" si="0"/>
        <v>0.85798690805530442</v>
      </c>
      <c r="R12" s="175">
        <f t="shared" si="0"/>
        <v>0.73541734976168949</v>
      </c>
      <c r="S12" s="175">
        <f t="shared" si="0"/>
        <v>0.60992946865155995</v>
      </c>
      <c r="T12" s="175">
        <f t="shared" si="0"/>
        <v>0.48444158754143035</v>
      </c>
      <c r="U12" s="175">
        <f t="shared" si="0"/>
        <v>0.35895370643130081</v>
      </c>
      <c r="V12" s="177">
        <f t="shared" si="0"/>
        <v>0.23346582532117122</v>
      </c>
    </row>
    <row r="13" spans="1:22" x14ac:dyDescent="0.25">
      <c r="A13" s="173" t="s">
        <v>84</v>
      </c>
      <c r="B13" s="178">
        <f>SUMIF(NEWAGE_reg!$B$2:$B$29,sce_10!$A13,NEWAGE_reg!$C$2:$C$29)</f>
        <v>238.16848497502417</v>
      </c>
      <c r="C13" s="179"/>
      <c r="D13" s="179">
        <f>SUMIF(AP5_Targets!$B$8:$B$35,sce_10!$A13,AP5_Targets!BS$8:BS$35)</f>
        <v>247.99324003019603</v>
      </c>
      <c r="E13" s="179">
        <f t="shared" si="1"/>
        <v>225.94036106880532</v>
      </c>
      <c r="F13" s="179">
        <f>SUMIF(AP5_Targets!$B$8:$B$35,sce_10!$A13,AP5_Targets!BU$8:BU$35)</f>
        <v>203.88748210741457</v>
      </c>
      <c r="G13" s="179">
        <f t="shared" si="1"/>
        <v>166.44454021780581</v>
      </c>
      <c r="H13" s="179">
        <f>SUMIF(AP5_Targets!$B$8:$B$35,sce_10!$A13,AP5_Targets!BW$8:BW$35)</f>
        <v>129.00159832819708</v>
      </c>
      <c r="I13" s="179">
        <f t="shared" ref="I13" si="7">(H13+J13)/2</f>
        <v>91.558656438588358</v>
      </c>
      <c r="J13" s="179">
        <f>SUMIF(AP5_Targets!$B$8:$B$35,sce_10!$A13,AP5_Targets!BY$8:BY$35)</f>
        <v>54.115714548979632</v>
      </c>
      <c r="K13" s="193"/>
      <c r="L13" s="203" t="s">
        <v>84</v>
      </c>
      <c r="M13" s="213" t="s">
        <v>112</v>
      </c>
      <c r="N13" s="178">
        <f t="shared" si="3"/>
        <v>1</v>
      </c>
      <c r="O13" s="178"/>
      <c r="P13" s="178">
        <f t="shared" si="0"/>
        <v>1.0412512808157728</v>
      </c>
      <c r="Q13" s="178">
        <f t="shared" si="0"/>
        <v>0.94865767438751958</v>
      </c>
      <c r="R13" s="178">
        <f t="shared" si="0"/>
        <v>0.85606406795926626</v>
      </c>
      <c r="S13" s="178">
        <f t="shared" si="0"/>
        <v>0.69885207623191714</v>
      </c>
      <c r="T13" s="178">
        <f t="shared" si="0"/>
        <v>0.54164008450456824</v>
      </c>
      <c r="U13" s="178">
        <f t="shared" si="0"/>
        <v>0.38442809277721934</v>
      </c>
      <c r="V13" s="180">
        <f t="shared" si="0"/>
        <v>0.22721610104987039</v>
      </c>
    </row>
    <row r="14" spans="1:22" x14ac:dyDescent="0.25">
      <c r="A14" s="172" t="s">
        <v>88</v>
      </c>
      <c r="B14" s="175">
        <f>SUMIF(NEWAGE_reg!$B$2:$B$29,sce_10!$A14,NEWAGE_reg!$C$2:$C$29)</f>
        <v>194.76706877726937</v>
      </c>
      <c r="C14" s="176"/>
      <c r="D14" s="176">
        <f>SUMIF(AP5_Targets!$B$8:$B$35,sce_10!$A14,AP5_Targets!BS$8:BS$35)</f>
        <v>170.79846919044058</v>
      </c>
      <c r="E14" s="176">
        <f t="shared" si="1"/>
        <v>150.50896744923537</v>
      </c>
      <c r="F14" s="176">
        <f>SUMIF(AP5_Targets!$B$8:$B$35,sce_10!$A14,AP5_Targets!BU$8:BU$35)</f>
        <v>130.21946570803016</v>
      </c>
      <c r="G14" s="176">
        <f t="shared" si="1"/>
        <v>107.80935015162522</v>
      </c>
      <c r="H14" s="176">
        <f>SUMIF(AP5_Targets!$B$8:$B$35,sce_10!$A14,AP5_Targets!BW$8:BW$35)</f>
        <v>85.399234595220292</v>
      </c>
      <c r="I14" s="176">
        <f t="shared" ref="I14" si="8">(H14+J14)/2</f>
        <v>62.989119038815353</v>
      </c>
      <c r="J14" s="176">
        <f>SUMIF(AP5_Targets!$B$8:$B$35,sce_10!$A14,AP5_Targets!BY$8:BY$35)</f>
        <v>40.579003482410414</v>
      </c>
      <c r="K14" s="193"/>
      <c r="L14" s="202" t="s">
        <v>88</v>
      </c>
      <c r="M14" s="212" t="s">
        <v>112</v>
      </c>
      <c r="N14" s="175">
        <f t="shared" si="3"/>
        <v>1</v>
      </c>
      <c r="O14" s="175"/>
      <c r="P14" s="175">
        <f t="shared" si="0"/>
        <v>0.87693710370391897</v>
      </c>
      <c r="Q14" s="175">
        <f t="shared" si="0"/>
        <v>0.77276393999312876</v>
      </c>
      <c r="R14" s="175">
        <f t="shared" si="0"/>
        <v>0.66859077628233854</v>
      </c>
      <c r="S14" s="175">
        <f t="shared" si="0"/>
        <v>0.55352966406714899</v>
      </c>
      <c r="T14" s="175">
        <f t="shared" si="0"/>
        <v>0.43846855185195949</v>
      </c>
      <c r="U14" s="175">
        <f t="shared" si="0"/>
        <v>0.32340743963676988</v>
      </c>
      <c r="V14" s="177">
        <f t="shared" si="0"/>
        <v>0.2083463274215803</v>
      </c>
    </row>
    <row r="15" spans="1:22" x14ac:dyDescent="0.25">
      <c r="A15" s="173" t="s">
        <v>90</v>
      </c>
      <c r="B15" s="178">
        <f>SUMIF(NEWAGE_reg!$B$2:$B$29,sce_10!$A15,NEWAGE_reg!$C$2:$C$29)</f>
        <v>168.82381683726044</v>
      </c>
      <c r="C15" s="179"/>
      <c r="D15" s="179">
        <f>SUMIF(AP5_Targets!$B$8:$B$35,sce_10!$A15,AP5_Targets!BS$8:BS$35)</f>
        <v>155.04963103987569</v>
      </c>
      <c r="E15" s="179">
        <f>(D15+F15)/2</f>
        <v>137.96434474088545</v>
      </c>
      <c r="F15" s="179">
        <f>SUMIF(AP5_Targets!$B$8:$B$35,sce_10!$A15,AP5_Targets!BU$8:BU$35)</f>
        <v>120.87905844189524</v>
      </c>
      <c r="G15" s="179">
        <f>(F15+H15)/2</f>
        <v>100.85542178710989</v>
      </c>
      <c r="H15" s="179">
        <f>SUMIF(AP5_Targets!$B$8:$B$35,sce_10!$A15,AP5_Targets!BW$8:BW$35)</f>
        <v>80.831785132324555</v>
      </c>
      <c r="I15" s="179">
        <f>(H15+J15)/2</f>
        <v>60.808148477539198</v>
      </c>
      <c r="J15" s="179">
        <f>SUMIF(AP5_Targets!$B$8:$B$35,sce_10!$A15,AP5_Targets!BY$8:BY$35)</f>
        <v>40.784511822753842</v>
      </c>
      <c r="K15" s="193"/>
      <c r="L15" s="203" t="s">
        <v>90</v>
      </c>
      <c r="M15" s="213" t="s">
        <v>112</v>
      </c>
      <c r="N15" s="178">
        <f t="shared" si="3"/>
        <v>1</v>
      </c>
      <c r="O15" s="178"/>
      <c r="P15" s="178">
        <f t="shared" si="0"/>
        <v>0.91841088505502444</v>
      </c>
      <c r="Q15" s="178">
        <f t="shared" si="0"/>
        <v>0.81720901307353855</v>
      </c>
      <c r="R15" s="178">
        <f t="shared" si="0"/>
        <v>0.71600714109205299</v>
      </c>
      <c r="S15" s="178">
        <f t="shared" si="0"/>
        <v>0.59740043600797499</v>
      </c>
      <c r="T15" s="178">
        <f t="shared" si="0"/>
        <v>0.47879373092389704</v>
      </c>
      <c r="U15" s="178">
        <f t="shared" si="0"/>
        <v>0.36018702583981904</v>
      </c>
      <c r="V15" s="180">
        <f t="shared" si="0"/>
        <v>0.24158032075574098</v>
      </c>
    </row>
    <row r="16" spans="1:22" ht="15.75" thickBot="1" x14ac:dyDescent="0.3">
      <c r="A16" s="185" t="s">
        <v>89</v>
      </c>
      <c r="B16" s="183">
        <f>SUMIF(NEWAGE_reg!$B$2:$B$29,sce_10!$A16,NEWAGE_reg!$C$2:$C$29)</f>
        <v>328.73528516056416</v>
      </c>
      <c r="C16" s="184"/>
      <c r="D16" s="184">
        <f>SUMIF(AP5_Targets!$B$8:$B$35,sce_10!$A16,AP5_Targets!BS$8:BS$35)</f>
        <v>379.17762751196415</v>
      </c>
      <c r="E16" s="184">
        <f t="shared" si="1"/>
        <v>344.80969391306292</v>
      </c>
      <c r="F16" s="184">
        <f>SUMIF(AP5_Targets!$B$8:$B$35,sce_10!$A16,AP5_Targets!BU$8:BU$35)</f>
        <v>310.44176031416168</v>
      </c>
      <c r="G16" s="184">
        <f t="shared" si="1"/>
        <v>267.36699261211714</v>
      </c>
      <c r="H16" s="184">
        <f>SUMIF(AP5_Targets!$B$8:$B$35,sce_10!$A16,AP5_Targets!BW$8:BW$35)</f>
        <v>224.29222491007263</v>
      </c>
      <c r="I16" s="184">
        <f t="shared" ref="I16" si="9">(H16+J16)/2</f>
        <v>181.21745720802812</v>
      </c>
      <c r="J16" s="184">
        <f>SUMIF(AP5_Targets!$B$8:$B$35,sce_10!$A16,AP5_Targets!BY$8:BY$35)</f>
        <v>138.14268950598358</v>
      </c>
      <c r="K16" s="193"/>
      <c r="L16" s="204" t="s">
        <v>89</v>
      </c>
      <c r="M16" s="214" t="s">
        <v>112</v>
      </c>
      <c r="N16" s="195">
        <f t="shared" si="3"/>
        <v>1</v>
      </c>
      <c r="O16" s="195"/>
      <c r="P16" s="195">
        <f t="shared" si="0"/>
        <v>1.1534436509508326</v>
      </c>
      <c r="Q16" s="195">
        <f t="shared" si="0"/>
        <v>1.0488977285923156</v>
      </c>
      <c r="R16" s="195">
        <f t="shared" si="0"/>
        <v>0.94435180623379877</v>
      </c>
      <c r="S16" s="195">
        <f t="shared" si="0"/>
        <v>0.81332003189595881</v>
      </c>
      <c r="T16" s="195">
        <f t="shared" si="0"/>
        <v>0.68228825755811884</v>
      </c>
      <c r="U16" s="195">
        <f t="shared" si="0"/>
        <v>0.55125648322027887</v>
      </c>
      <c r="V16" s="196">
        <f t="shared" si="0"/>
        <v>0.42022470888243879</v>
      </c>
    </row>
    <row r="17" spans="1:22" ht="15.75" thickBot="1" x14ac:dyDescent="0.3">
      <c r="A17" s="162"/>
      <c r="B17" s="163"/>
      <c r="C17" s="163"/>
      <c r="D17" s="163"/>
      <c r="E17" s="163"/>
      <c r="F17" s="163"/>
      <c r="G17" s="163"/>
      <c r="H17" s="163"/>
      <c r="I17" s="163"/>
      <c r="J17" s="164"/>
      <c r="K17" s="163"/>
    </row>
    <row r="18" spans="1:22" x14ac:dyDescent="0.25">
      <c r="A18" s="270" t="s">
        <v>100</v>
      </c>
      <c r="B18" s="271"/>
      <c r="C18" s="271"/>
      <c r="D18" s="271"/>
      <c r="E18" s="271"/>
      <c r="F18" s="271"/>
      <c r="G18" s="271"/>
      <c r="H18" s="271"/>
      <c r="I18" s="271"/>
      <c r="J18" s="272"/>
      <c r="K18" s="189"/>
      <c r="L18" s="273" t="s">
        <v>98</v>
      </c>
      <c r="M18" s="274"/>
      <c r="N18" s="274"/>
      <c r="O18" s="274"/>
      <c r="P18" s="274"/>
      <c r="Q18" s="274"/>
      <c r="R18" s="274"/>
      <c r="S18" s="274"/>
      <c r="T18" s="274"/>
      <c r="U18" s="274"/>
      <c r="V18" s="275"/>
    </row>
    <row r="19" spans="1:22" x14ac:dyDescent="0.25">
      <c r="A19" s="162"/>
      <c r="B19" s="165">
        <v>2011</v>
      </c>
      <c r="C19" s="165">
        <v>2015</v>
      </c>
      <c r="D19" s="165">
        <v>2020</v>
      </c>
      <c r="E19" s="165">
        <v>2025</v>
      </c>
      <c r="F19" s="165">
        <v>2030</v>
      </c>
      <c r="G19" s="165">
        <v>2035</v>
      </c>
      <c r="H19" s="165">
        <v>2040</v>
      </c>
      <c r="I19" s="165">
        <v>2045</v>
      </c>
      <c r="J19" s="166">
        <v>2050</v>
      </c>
      <c r="K19" s="165"/>
      <c r="L19" s="162"/>
      <c r="M19" s="163"/>
      <c r="N19" s="165">
        <v>2011</v>
      </c>
      <c r="O19" s="165">
        <v>2015</v>
      </c>
      <c r="P19" s="165">
        <v>2020</v>
      </c>
      <c r="Q19" s="167">
        <v>2025</v>
      </c>
      <c r="R19" s="165">
        <v>2030</v>
      </c>
      <c r="S19" s="165">
        <v>2035</v>
      </c>
      <c r="T19" s="165">
        <v>2040</v>
      </c>
      <c r="U19" s="165">
        <v>2045</v>
      </c>
      <c r="V19" s="166">
        <v>2050</v>
      </c>
    </row>
    <row r="20" spans="1:22" ht="15.75" thickBot="1" x14ac:dyDescent="0.3">
      <c r="A20" s="185" t="s">
        <v>87</v>
      </c>
      <c r="B20" s="182" t="s">
        <v>102</v>
      </c>
      <c r="C20" s="181" t="s">
        <v>102</v>
      </c>
      <c r="D20" s="181" t="s">
        <v>102</v>
      </c>
      <c r="E20" s="181" t="s">
        <v>102</v>
      </c>
      <c r="F20" s="181" t="s">
        <v>102</v>
      </c>
      <c r="G20" s="181" t="s">
        <v>102</v>
      </c>
      <c r="H20" s="181" t="s">
        <v>102</v>
      </c>
      <c r="I20" s="181" t="s">
        <v>102</v>
      </c>
      <c r="J20" s="187" t="s">
        <v>102</v>
      </c>
      <c r="K20" s="190"/>
      <c r="L20" s="174" t="s">
        <v>87</v>
      </c>
      <c r="M20" s="215" t="s">
        <v>113</v>
      </c>
      <c r="N20" s="188">
        <f>IF(B20="-",0,B20/$B20)</f>
        <v>0</v>
      </c>
      <c r="O20" s="171"/>
      <c r="P20" s="195">
        <f t="shared" ref="P20:V20" si="10">IF(D20="-",0,D20/$B20)</f>
        <v>0</v>
      </c>
      <c r="Q20" s="195">
        <f t="shared" si="10"/>
        <v>0</v>
      </c>
      <c r="R20" s="195">
        <f t="shared" si="10"/>
        <v>0</v>
      </c>
      <c r="S20" s="195">
        <f t="shared" si="10"/>
        <v>0</v>
      </c>
      <c r="T20" s="195">
        <f t="shared" si="10"/>
        <v>0</v>
      </c>
      <c r="U20" s="195">
        <f t="shared" si="10"/>
        <v>0</v>
      </c>
      <c r="V20" s="196">
        <f t="shared" si="10"/>
        <v>0</v>
      </c>
    </row>
    <row r="21" spans="1:22" ht="15.75" thickBot="1" x14ac:dyDescent="0.3">
      <c r="A21" s="162"/>
      <c r="B21" s="163"/>
      <c r="C21" s="163"/>
      <c r="D21" s="163"/>
      <c r="E21" s="163"/>
      <c r="F21" s="163"/>
      <c r="G21" s="163"/>
      <c r="H21" s="163"/>
      <c r="I21" s="163"/>
      <c r="J21" s="164"/>
      <c r="K21" s="163"/>
    </row>
    <row r="22" spans="1:22" x14ac:dyDescent="0.25">
      <c r="A22" s="270" t="s">
        <v>98</v>
      </c>
      <c r="B22" s="271"/>
      <c r="C22" s="271"/>
      <c r="D22" s="271"/>
      <c r="E22" s="271"/>
      <c r="F22" s="271"/>
      <c r="G22" s="271"/>
      <c r="H22" s="271"/>
      <c r="I22" s="271"/>
      <c r="J22" s="272"/>
      <c r="K22" s="189"/>
      <c r="L22" s="273" t="s">
        <v>98</v>
      </c>
      <c r="M22" s="274"/>
      <c r="N22" s="274"/>
      <c r="O22" s="274"/>
      <c r="P22" s="274"/>
      <c r="Q22" s="274"/>
      <c r="R22" s="274"/>
      <c r="S22" s="274"/>
      <c r="T22" s="274"/>
      <c r="U22" s="274"/>
      <c r="V22" s="275"/>
    </row>
    <row r="23" spans="1:22" x14ac:dyDescent="0.25">
      <c r="A23" s="162"/>
      <c r="B23" s="165">
        <v>2011</v>
      </c>
      <c r="C23" s="165">
        <v>2015</v>
      </c>
      <c r="D23" s="165">
        <v>2020</v>
      </c>
      <c r="E23" s="167">
        <v>2025</v>
      </c>
      <c r="F23" s="165">
        <v>2030</v>
      </c>
      <c r="G23" s="165">
        <v>2035</v>
      </c>
      <c r="H23" s="165">
        <v>2040</v>
      </c>
      <c r="I23" s="165">
        <v>2045</v>
      </c>
      <c r="J23" s="166">
        <v>2050</v>
      </c>
      <c r="K23" s="165"/>
      <c r="L23" s="162"/>
      <c r="M23" s="163"/>
      <c r="N23" s="165">
        <v>2011</v>
      </c>
      <c r="O23" s="165">
        <v>2015</v>
      </c>
      <c r="P23" s="165">
        <v>2020</v>
      </c>
      <c r="Q23" s="167">
        <v>2025</v>
      </c>
      <c r="R23" s="165">
        <v>2030</v>
      </c>
      <c r="S23" s="165">
        <v>2035</v>
      </c>
      <c r="T23" s="165">
        <v>2040</v>
      </c>
      <c r="U23" s="165">
        <v>2045</v>
      </c>
      <c r="V23" s="166">
        <v>2050</v>
      </c>
    </row>
    <row r="24" spans="1:22" ht="15.75" thickBot="1" x14ac:dyDescent="0.3">
      <c r="A24" s="174" t="s">
        <v>95</v>
      </c>
      <c r="B24" s="188">
        <f>NEWAGE_reg!$C$32</f>
        <v>1984.4704999999999</v>
      </c>
      <c r="C24" s="171"/>
      <c r="D24" s="188">
        <f>AP5_Targets!BS5</f>
        <v>1848.82041</v>
      </c>
      <c r="E24" s="205">
        <f t="shared" ref="E24" si="11">(D24+F24)/2</f>
        <v>1591.3897200000001</v>
      </c>
      <c r="F24" s="188">
        <f>AP5_Targets!BU5</f>
        <v>1333.95903</v>
      </c>
      <c r="G24" s="205">
        <f t="shared" ref="G24" si="12">(F24+H24)/2</f>
        <v>1099.9311299999999</v>
      </c>
      <c r="H24" s="188">
        <f>AP5_Targets!BW5</f>
        <v>865.90323000000001</v>
      </c>
      <c r="I24" s="205">
        <f t="shared" ref="I24" si="13">(H24+J24)/2</f>
        <v>631.87533000000008</v>
      </c>
      <c r="J24" s="197">
        <f>AP5_Targets!BY5</f>
        <v>397.84743000000003</v>
      </c>
      <c r="K24" s="191"/>
      <c r="L24" s="174" t="s">
        <v>114</v>
      </c>
      <c r="M24" s="215" t="s">
        <v>96</v>
      </c>
      <c r="N24" s="188">
        <f>B24/$B24</f>
        <v>1</v>
      </c>
      <c r="O24" s="171"/>
      <c r="P24" s="195">
        <f>D24/$B24</f>
        <v>0.93164418921823233</v>
      </c>
      <c r="Q24" s="195">
        <f t="shared" ref="Q24:V24" si="14">E24/$B24</f>
        <v>0.80192158059290886</v>
      </c>
      <c r="R24" s="195">
        <f t="shared" si="14"/>
        <v>0.67219897196758538</v>
      </c>
      <c r="S24" s="195">
        <f t="shared" si="14"/>
        <v>0.55426932776274573</v>
      </c>
      <c r="T24" s="195">
        <f t="shared" si="14"/>
        <v>0.43633968355790625</v>
      </c>
      <c r="U24" s="195">
        <f t="shared" si="14"/>
        <v>0.31841003935306678</v>
      </c>
      <c r="V24" s="196">
        <f t="shared" si="14"/>
        <v>0.20048039514822721</v>
      </c>
    </row>
  </sheetData>
  <mergeCells count="10">
    <mergeCell ref="A18:J18"/>
    <mergeCell ref="A22:J22"/>
    <mergeCell ref="A1:H2"/>
    <mergeCell ref="A4:J4"/>
    <mergeCell ref="L4:V4"/>
    <mergeCell ref="E5:F5"/>
    <mergeCell ref="A6:J6"/>
    <mergeCell ref="L6:V6"/>
    <mergeCell ref="L22:V22"/>
    <mergeCell ref="L18:V18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1"/>
  <sheetViews>
    <sheetView topLeftCell="AW1" zoomScale="85" zoomScaleNormal="85" workbookViewId="0">
      <selection activeCell="BP8" sqref="BP8:BP35"/>
    </sheetView>
  </sheetViews>
  <sheetFormatPr baseColWidth="10" defaultColWidth="11.42578125" defaultRowHeight="15" x14ac:dyDescent="0.25"/>
  <cols>
    <col min="1" max="2" width="16.42578125" style="1" customWidth="1"/>
    <col min="3" max="5" width="10.28515625" style="1" customWidth="1"/>
    <col min="6" max="6" width="4.7109375" style="1" customWidth="1"/>
    <col min="7" max="14" width="10.28515625" style="11" customWidth="1"/>
    <col min="15" max="15" width="4.7109375" style="1" customWidth="1"/>
    <col min="16" max="23" width="10.28515625" style="11" customWidth="1"/>
    <col min="24" max="24" width="4.7109375" style="1" customWidth="1"/>
    <col min="25" max="32" width="10.28515625" style="11" customWidth="1"/>
    <col min="33" max="33" width="4.7109375" style="11" customWidth="1"/>
    <col min="34" max="41" width="10.28515625" style="11" customWidth="1"/>
    <col min="42" max="42" width="4.7109375" style="1" customWidth="1"/>
    <col min="43" max="50" width="10.28515625" style="11" customWidth="1"/>
    <col min="51" max="51" width="4.7109375" style="1" customWidth="1"/>
    <col min="52" max="59" width="10.28515625" style="11" customWidth="1"/>
    <col min="60" max="60" width="4.7109375" style="1" customWidth="1"/>
    <col min="61" max="68" width="10.28515625" style="11" customWidth="1"/>
    <col min="69" max="69" width="4.7109375" style="1" customWidth="1"/>
    <col min="70" max="77" width="10.28515625" style="11" customWidth="1"/>
    <col min="78" max="16384" width="11.42578125" style="1"/>
  </cols>
  <sheetData>
    <row r="1" spans="1:77" ht="39.950000000000003" customHeight="1" x14ac:dyDescent="0.25">
      <c r="A1" s="66"/>
      <c r="B1" s="66"/>
      <c r="C1" s="218" t="str">
        <f>+All_Targets!B1</f>
        <v>GHG emissions (w/o LULUCF, w/o waste) - Statistics</v>
      </c>
      <c r="D1" s="219"/>
      <c r="E1" s="220"/>
      <c r="G1" s="239" t="s">
        <v>70</v>
      </c>
      <c r="H1" s="240"/>
      <c r="I1" s="240"/>
      <c r="J1" s="240"/>
      <c r="K1" s="240"/>
      <c r="L1" s="240"/>
      <c r="M1" s="240"/>
      <c r="N1" s="240"/>
      <c r="P1" s="239" t="s">
        <v>71</v>
      </c>
      <c r="Q1" s="240"/>
      <c r="R1" s="240"/>
      <c r="S1" s="240"/>
      <c r="T1" s="240"/>
      <c r="U1" s="240"/>
      <c r="V1" s="240"/>
      <c r="W1" s="240"/>
      <c r="Y1" s="239" t="s">
        <v>72</v>
      </c>
      <c r="Z1" s="240"/>
      <c r="AA1" s="240"/>
      <c r="AB1" s="240"/>
      <c r="AC1" s="240"/>
      <c r="AD1" s="240"/>
      <c r="AE1" s="240"/>
      <c r="AF1" s="245"/>
      <c r="AG1" s="1"/>
      <c r="AH1" s="239" t="s">
        <v>73</v>
      </c>
      <c r="AI1" s="240"/>
      <c r="AJ1" s="240"/>
      <c r="AK1" s="240"/>
      <c r="AL1" s="240"/>
      <c r="AM1" s="240"/>
      <c r="AN1" s="240"/>
      <c r="AO1" s="245"/>
      <c r="AQ1" s="239" t="s">
        <v>74</v>
      </c>
      <c r="AR1" s="240"/>
      <c r="AS1" s="240"/>
      <c r="AT1" s="240"/>
      <c r="AU1" s="240"/>
      <c r="AV1" s="240"/>
      <c r="AW1" s="240"/>
      <c r="AX1" s="245"/>
      <c r="AZ1" s="239" t="s">
        <v>75</v>
      </c>
      <c r="BA1" s="240"/>
      <c r="BB1" s="240"/>
      <c r="BC1" s="240"/>
      <c r="BD1" s="240"/>
      <c r="BE1" s="240"/>
      <c r="BF1" s="240"/>
      <c r="BG1" s="245"/>
      <c r="BI1" s="239" t="s">
        <v>69</v>
      </c>
      <c r="BJ1" s="240"/>
      <c r="BK1" s="240"/>
      <c r="BL1" s="240"/>
      <c r="BM1" s="240"/>
      <c r="BN1" s="240"/>
      <c r="BO1" s="240"/>
      <c r="BP1" s="240"/>
      <c r="BR1" s="239" t="s">
        <v>63</v>
      </c>
      <c r="BS1" s="240"/>
      <c r="BT1" s="240"/>
      <c r="BU1" s="240"/>
      <c r="BV1" s="240"/>
      <c r="BW1" s="240"/>
      <c r="BX1" s="240"/>
      <c r="BY1" s="240"/>
    </row>
    <row r="2" spans="1:77" ht="60" customHeight="1" x14ac:dyDescent="0.25">
      <c r="A2" s="67"/>
      <c r="B2" s="67"/>
      <c r="C2" s="94">
        <f>+All_Targets!B2</f>
        <v>1990</v>
      </c>
      <c r="D2" s="133">
        <f>+All_Targets!C2</f>
        <v>2005</v>
      </c>
      <c r="E2" s="124">
        <f>+All_Targets!D2</f>
        <v>2011</v>
      </c>
      <c r="G2" s="246" t="str">
        <f>+All_Targets!AS2</f>
        <v>Targets for 2020 (compared to 1990)</v>
      </c>
      <c r="H2" s="243"/>
      <c r="I2" s="241" t="str">
        <f>+All_Targets!AU2</f>
        <v>Targets for 2030 (compared to 1990) - Proposal</v>
      </c>
      <c r="J2" s="242"/>
      <c r="K2" s="243" t="str">
        <f>+All_Targets!AW2</f>
        <v>Targets for 2040 (compared to 1990) – REEEM clusters</v>
      </c>
      <c r="L2" s="243"/>
      <c r="M2" s="241" t="str">
        <f>+All_Targets!AY2</f>
        <v>Targets for 2050 (compared to 1990) – REEEM clusters</v>
      </c>
      <c r="N2" s="244"/>
      <c r="P2" s="246" t="str">
        <f>+All_Targets!BB2</f>
        <v>Targets for 2020 (compared to 1990)</v>
      </c>
      <c r="Q2" s="243"/>
      <c r="R2" s="241" t="str">
        <f>+All_Targets!BD2</f>
        <v>Targets for 2030 (compared to 1990) - Proposal</v>
      </c>
      <c r="S2" s="242"/>
      <c r="T2" s="243" t="str">
        <f>+All_Targets!BF2</f>
        <v>Targets for 2040 (compared to 1990) – REEEM clusters</v>
      </c>
      <c r="U2" s="243"/>
      <c r="V2" s="241" t="str">
        <f>+All_Targets!BH2</f>
        <v>Targets for 2050 (compared to 1990) – REEEM clusters</v>
      </c>
      <c r="W2" s="244"/>
      <c r="Y2" s="246" t="str">
        <f>+All_Targets!CM2</f>
        <v>Targets for 2020 (compared to 1990)</v>
      </c>
      <c r="Z2" s="243"/>
      <c r="AA2" s="241" t="str">
        <f>+All_Targets!CO2</f>
        <v>Targets for 2030 (compared to 1990) - Proposal</v>
      </c>
      <c r="AB2" s="242"/>
      <c r="AC2" s="243" t="str">
        <f>+All_Targets!CQ2</f>
        <v>Targets for 2040 (compared to 1990) - Proposal</v>
      </c>
      <c r="AD2" s="243"/>
      <c r="AE2" s="241" t="str">
        <f>+All_Targets!CS2</f>
        <v>Target for 2050 (compared to 1990) – REEEM clusters</v>
      </c>
      <c r="AF2" s="244"/>
      <c r="AG2" s="1"/>
      <c r="AH2" s="246" t="str">
        <f>+All_Targets!CV2</f>
        <v>Targets for 2020 (compared to 1990)</v>
      </c>
      <c r="AI2" s="243"/>
      <c r="AJ2" s="241" t="str">
        <f>+All_Targets!CX2</f>
        <v>Targets for 2030 (compared to 1990) - Proposal</v>
      </c>
      <c r="AK2" s="242"/>
      <c r="AL2" s="243" t="str">
        <f>+All_Targets!CZ2</f>
        <v>Targets for 2040 (compared to 1990) - Proposal</v>
      </c>
      <c r="AM2" s="243"/>
      <c r="AN2" s="241" t="str">
        <f>+All_Targets!DB2</f>
        <v>Target for 2050 (compared to 1990) – REEEM clusters</v>
      </c>
      <c r="AO2" s="244"/>
      <c r="AQ2" s="246" t="str">
        <f>+All_Targets!DL2</f>
        <v>Targets for 2020 (compared to 1990)</v>
      </c>
      <c r="AR2" s="243"/>
      <c r="AS2" s="241" t="str">
        <f>+All_Targets!DN2</f>
        <v>Targets for 2030 (compared to 1990) - Proposal</v>
      </c>
      <c r="AT2" s="242"/>
      <c r="AU2" s="243" t="str">
        <f>+All_Targets!DP2</f>
        <v>Targets for 2040 (compared to 1990) - Proposal</v>
      </c>
      <c r="AV2" s="243"/>
      <c r="AW2" s="241" t="str">
        <f>+All_Targets!DR2</f>
        <v>Target for 2050 (compared to 1990) – REEEM clusters</v>
      </c>
      <c r="AX2" s="244"/>
      <c r="AZ2" s="246" t="str">
        <f>+All_Targets!DU2</f>
        <v>Targets for 2020 (compared to 1990)</v>
      </c>
      <c r="BA2" s="243"/>
      <c r="BB2" s="241" t="str">
        <f>+All_Targets!DW2</f>
        <v>Targets for 2030 (compared to 1990) - Proposal</v>
      </c>
      <c r="BC2" s="242"/>
      <c r="BD2" s="243" t="str">
        <f>+All_Targets!DY2</f>
        <v>Targets for 2040 (compared to 1990) - Proposal</v>
      </c>
      <c r="BE2" s="243"/>
      <c r="BF2" s="241" t="str">
        <f>+All_Targets!EA2</f>
        <v>Target for 2050 (compared to 1990) – REEEM clusters</v>
      </c>
      <c r="BG2" s="244"/>
      <c r="BI2" s="246" t="str">
        <f>+All_Targets!F2</f>
        <v>Targets for 2020 (compared to 1990)</v>
      </c>
      <c r="BJ2" s="243"/>
      <c r="BK2" s="241" t="str">
        <f>+All_Targets!H2</f>
        <v>Targets for 2030 (compared to 1990) - Proposal</v>
      </c>
      <c r="BL2" s="242"/>
      <c r="BM2" s="243" t="str">
        <f>+All_Targets!J2</f>
        <v>Targets for 2040 (compared to 1990) - Proposal</v>
      </c>
      <c r="BN2" s="243"/>
      <c r="BO2" s="241" t="str">
        <f>+All_Targets!L2</f>
        <v>Target for 2050 (compared to 1990) – REEEM clusters</v>
      </c>
      <c r="BP2" s="244"/>
      <c r="BR2" s="246" t="str">
        <f>+All_Targets!O2</f>
        <v>Targets for 2020 (compared to 1990)</v>
      </c>
      <c r="BS2" s="243"/>
      <c r="BT2" s="241" t="str">
        <f>+All_Targets!Q2</f>
        <v>Targets for 2030 (compared to 1990) - Proposal</v>
      </c>
      <c r="BU2" s="242"/>
      <c r="BV2" s="243" t="str">
        <f>+All_Targets!S2</f>
        <v>Targets for 2040 (compared to 1990) – REEEM clusters</v>
      </c>
      <c r="BW2" s="243"/>
      <c r="BX2" s="241" t="str">
        <f>+All_Targets!U2</f>
        <v>Targets for 2050 (compared to 1990) – REEEM clusters</v>
      </c>
      <c r="BY2" s="244"/>
    </row>
    <row r="3" spans="1:77" ht="20.100000000000001" customHeight="1" x14ac:dyDescent="0.25">
      <c r="A3" s="68" t="str">
        <f>+All_Targets!A3</f>
        <v>EU-28 Target</v>
      </c>
      <c r="B3" s="68"/>
      <c r="C3" s="83">
        <f>+All_Targets!B3</f>
        <v>5407.223</v>
      </c>
      <c r="D3" s="115">
        <f>+All_Targets!C3</f>
        <v>5037.0798099999993</v>
      </c>
      <c r="E3" s="125">
        <f>+All_Targets!D3</f>
        <v>4473.6959458180554</v>
      </c>
      <c r="G3" s="104">
        <f>+All_Targets!AS3</f>
        <v>-0.2</v>
      </c>
      <c r="H3" s="14">
        <f>+All_Targets!AT3</f>
        <v>4325.7784000000001</v>
      </c>
      <c r="I3" s="106">
        <f>+All_Targets!AU3</f>
        <v>-0.55000000000000004</v>
      </c>
      <c r="J3" s="23">
        <f>+All_Targets!AV3</f>
        <v>2433.2503500000003</v>
      </c>
      <c r="K3" s="105">
        <f>+All_Targets!AW3</f>
        <v>-0.75</v>
      </c>
      <c r="L3" s="14">
        <f>+All_Targets!AX3</f>
        <v>1351.80575</v>
      </c>
      <c r="M3" s="106">
        <f>+All_Targets!AY3</f>
        <v>-0.95</v>
      </c>
      <c r="N3" s="21">
        <f>+All_Targets!AZ3</f>
        <v>270.36115000000001</v>
      </c>
      <c r="P3" s="104">
        <f>+All_Targets!BB3</f>
        <v>-0.2</v>
      </c>
      <c r="Q3" s="14">
        <f>+All_Targets!BC3</f>
        <v>4325.7784000000001</v>
      </c>
      <c r="R3" s="106">
        <f>+All_Targets!BD3</f>
        <v>-0.55000000000000004</v>
      </c>
      <c r="S3" s="23">
        <f>+All_Targets!BE3</f>
        <v>2433.2503500000003</v>
      </c>
      <c r="T3" s="105">
        <f>+All_Targets!BF3</f>
        <v>-0.75</v>
      </c>
      <c r="U3" s="14">
        <f>+All_Targets!BG3</f>
        <v>1351.80575</v>
      </c>
      <c r="V3" s="106">
        <f>+All_Targets!BH3</f>
        <v>-0.95</v>
      </c>
      <c r="W3" s="21">
        <f>+All_Targets!BI3</f>
        <v>270.36115000000001</v>
      </c>
      <c r="Y3" s="104">
        <f>+All_Targets!CM3</f>
        <v>-0.2</v>
      </c>
      <c r="Z3" s="14">
        <f>+All_Targets!CN3</f>
        <v>4325.7784000000001</v>
      </c>
      <c r="AA3" s="106">
        <f>+All_Targets!CO3</f>
        <v>-0.55000000000000004</v>
      </c>
      <c r="AB3" s="23">
        <f>+All_Targets!CP3</f>
        <v>2433.2503500000003</v>
      </c>
      <c r="AC3" s="105">
        <f>+All_Targets!CQ3</f>
        <v>-0.75</v>
      </c>
      <c r="AD3" s="14">
        <f>+All_Targets!CR3</f>
        <v>1351.8057500000002</v>
      </c>
      <c r="AE3" s="106">
        <f>+All_Targets!CS3</f>
        <v>-0.95</v>
      </c>
      <c r="AF3" s="21">
        <f>+All_Targets!CT3</f>
        <v>270.36115000000001</v>
      </c>
      <c r="AG3" s="1"/>
      <c r="AH3" s="104">
        <f>+All_Targets!CV3</f>
        <v>-0.2</v>
      </c>
      <c r="AI3" s="14">
        <f>+All_Targets!CW3</f>
        <v>4325.7784000000001</v>
      </c>
      <c r="AJ3" s="106">
        <f>+All_Targets!CX3</f>
        <v>-0.55000000000000004</v>
      </c>
      <c r="AK3" s="23">
        <f>+All_Targets!CY3</f>
        <v>2433.2503500000003</v>
      </c>
      <c r="AL3" s="105">
        <f>+All_Targets!CZ3</f>
        <v>-0.75</v>
      </c>
      <c r="AM3" s="14">
        <f>+All_Targets!DA3</f>
        <v>1351.8057500000002</v>
      </c>
      <c r="AN3" s="106">
        <f>+All_Targets!DB3</f>
        <v>-0.95</v>
      </c>
      <c r="AO3" s="21">
        <f>+All_Targets!DC3</f>
        <v>270.36115000000001</v>
      </c>
      <c r="AQ3" s="104">
        <f>+All_Targets!DL3</f>
        <v>-0.2</v>
      </c>
      <c r="AR3" s="14">
        <f>+All_Targets!DM3</f>
        <v>4325.7784000000001</v>
      </c>
      <c r="AS3" s="106">
        <f>+All_Targets!DN3</f>
        <v>-0.55000000000000004</v>
      </c>
      <c r="AT3" s="23">
        <f>+All_Targets!DO3</f>
        <v>2433.2503500000003</v>
      </c>
      <c r="AU3" s="105">
        <f>+All_Targets!DP3</f>
        <v>-0.75</v>
      </c>
      <c r="AV3" s="14">
        <f>+All_Targets!DQ3</f>
        <v>1351.8057500000002</v>
      </c>
      <c r="AW3" s="106">
        <f>+All_Targets!DR3</f>
        <v>-0.95</v>
      </c>
      <c r="AX3" s="21">
        <f>+All_Targets!DS3</f>
        <v>270.36115000000001</v>
      </c>
      <c r="AZ3" s="104">
        <f>+All_Targets!DU3</f>
        <v>-0.2</v>
      </c>
      <c r="BA3" s="14">
        <f>+All_Targets!DV3</f>
        <v>4325.7784000000001</v>
      </c>
      <c r="BB3" s="106">
        <f>+All_Targets!DW3</f>
        <v>-0.55000000000000004</v>
      </c>
      <c r="BC3" s="23">
        <f>+All_Targets!DX3</f>
        <v>2433.2503500000003</v>
      </c>
      <c r="BD3" s="105">
        <f>+All_Targets!DY3</f>
        <v>-0.75</v>
      </c>
      <c r="BE3" s="14">
        <f>+All_Targets!DZ3</f>
        <v>1351.8057500000002</v>
      </c>
      <c r="BF3" s="106">
        <f>+All_Targets!EA3</f>
        <v>-0.95</v>
      </c>
      <c r="BG3" s="21">
        <f>+All_Targets!EB3</f>
        <v>270.36115000000001</v>
      </c>
      <c r="BI3" s="104">
        <f>+All_Targets!F3</f>
        <v>-0.2</v>
      </c>
      <c r="BJ3" s="14">
        <f>+All_Targets!G3</f>
        <v>4325.7784000000001</v>
      </c>
      <c r="BK3" s="106">
        <f>+All_Targets!H3</f>
        <v>-0.4</v>
      </c>
      <c r="BL3" s="23">
        <f>+All_Targets!I3</f>
        <v>3244.3337999999999</v>
      </c>
      <c r="BM3" s="105">
        <f>+All_Targets!J3</f>
        <v>-0.60000000000000009</v>
      </c>
      <c r="BN3" s="14">
        <f>+All_Targets!K3</f>
        <v>2162.8892000000001</v>
      </c>
      <c r="BO3" s="106">
        <f>+All_Targets!L3</f>
        <v>-0.8</v>
      </c>
      <c r="BP3" s="21">
        <f>+All_Targets!M3</f>
        <v>1081.4446</v>
      </c>
      <c r="BR3" s="104">
        <f>+All_Targets!O3</f>
        <v>-0.2</v>
      </c>
      <c r="BS3" s="14">
        <f>+All_Targets!P3</f>
        <v>4325.7784000000001</v>
      </c>
      <c r="BT3" s="106">
        <f>+All_Targets!Q3</f>
        <v>-0.4</v>
      </c>
      <c r="BU3" s="23">
        <f>+All_Targets!R3</f>
        <v>3244.3337999999999</v>
      </c>
      <c r="BV3" s="105">
        <f>+All_Targets!S3</f>
        <v>-0.60000000000000009</v>
      </c>
      <c r="BW3" s="14">
        <f>+All_Targets!T3</f>
        <v>2162.8892000000001</v>
      </c>
      <c r="BX3" s="106">
        <f>+All_Targets!U3</f>
        <v>-0.8</v>
      </c>
      <c r="BY3" s="21">
        <f>+All_Targets!V3</f>
        <v>1081.4446</v>
      </c>
    </row>
    <row r="4" spans="1:77" ht="60" customHeight="1" x14ac:dyDescent="0.25">
      <c r="A4" s="69"/>
      <c r="B4" s="69"/>
      <c r="C4" s="92">
        <f>+All_Targets!B4</f>
        <v>1990</v>
      </c>
      <c r="D4" s="116">
        <f>+All_Targets!C4</f>
        <v>2005</v>
      </c>
      <c r="E4" s="126">
        <f>+All_Targets!D4</f>
        <v>2011</v>
      </c>
      <c r="G4" s="246" t="str">
        <f>+All_Targets!AS4</f>
        <v>Targets for 2020 (compared to 2005)</v>
      </c>
      <c r="H4" s="243"/>
      <c r="I4" s="241" t="str">
        <f>+All_Targets!AU4</f>
        <v>Targets for 2030 (compared to 2005) - Proposal</v>
      </c>
      <c r="J4" s="242"/>
      <c r="K4" s="243" t="str">
        <f>+All_Targets!AW4</f>
        <v>Targets for 2040 (compared to 2005) – REEEM clusters</v>
      </c>
      <c r="L4" s="243"/>
      <c r="M4" s="241" t="str">
        <f>+All_Targets!AY4</f>
        <v>Targets for 2050 (compared to 2005) – REEEM clusters</v>
      </c>
      <c r="N4" s="244"/>
      <c r="P4" s="246" t="str">
        <f>+All_Targets!BB4</f>
        <v>Targets for 2020 (compared to 2005)</v>
      </c>
      <c r="Q4" s="243"/>
      <c r="R4" s="241" t="str">
        <f>+All_Targets!BD4</f>
        <v>Targets for 2030 (compared to 2005) - Proposal</v>
      </c>
      <c r="S4" s="242"/>
      <c r="T4" s="243" t="str">
        <f>+All_Targets!BF4</f>
        <v>Targets for 2040 (compared to 2005) – REEEM clusters</v>
      </c>
      <c r="U4" s="243"/>
      <c r="V4" s="241" t="str">
        <f>+All_Targets!BH4</f>
        <v>Targets for 2050 (compared to 2005) – REEEM clusters</v>
      </c>
      <c r="W4" s="244"/>
      <c r="Y4" s="246" t="str">
        <f>+All_Targets!CM4</f>
        <v>Targets for 2020 (compared to 2005)</v>
      </c>
      <c r="Z4" s="243"/>
      <c r="AA4" s="241" t="str">
        <f>+All_Targets!CO4</f>
        <v>Targets for 2030 (compared to 2005) - Proposal</v>
      </c>
      <c r="AB4" s="242"/>
      <c r="AC4" s="243" t="str">
        <f>+All_Targets!CQ4</f>
        <v>Targets for 2040 (compared to 2005) – REEEM clusters</v>
      </c>
      <c r="AD4" s="243"/>
      <c r="AE4" s="241" t="str">
        <f>+All_Targets!CS4</f>
        <v>Target for 2050 (compared to 2005) – REEEM clusters</v>
      </c>
      <c r="AF4" s="244"/>
      <c r="AG4" s="1"/>
      <c r="AH4" s="246" t="str">
        <f>+All_Targets!CV4</f>
        <v>Targets for 2020 (compared to 2005)</v>
      </c>
      <c r="AI4" s="243"/>
      <c r="AJ4" s="241" t="str">
        <f>+All_Targets!CX4</f>
        <v>Targets for 2030 (compared to 2005) - Proposal</v>
      </c>
      <c r="AK4" s="242"/>
      <c r="AL4" s="243" t="str">
        <f>+All_Targets!CZ4</f>
        <v>Targets for 2040 (compared to 2005) – REEEM clusters</v>
      </c>
      <c r="AM4" s="243"/>
      <c r="AN4" s="241" t="str">
        <f>+All_Targets!DB4</f>
        <v>Target for 2050 (compared to 2005) – REEEM clusters</v>
      </c>
      <c r="AO4" s="244"/>
      <c r="AQ4" s="246" t="str">
        <f>+All_Targets!DL4</f>
        <v>Targets for 2020 (compared to 2005)</v>
      </c>
      <c r="AR4" s="243"/>
      <c r="AS4" s="241" t="str">
        <f>+All_Targets!DN4</f>
        <v>Targets for 2030 (compared to 2005) - Proposal</v>
      </c>
      <c r="AT4" s="242"/>
      <c r="AU4" s="243" t="str">
        <f>+All_Targets!DP4</f>
        <v>Targets for 2040 (compared to 2005) – REEEM clusters</v>
      </c>
      <c r="AV4" s="243"/>
      <c r="AW4" s="241" t="str">
        <f>+All_Targets!DR4</f>
        <v>Target for 2050 (compared to 2005) – REEEM clusters</v>
      </c>
      <c r="AX4" s="244"/>
      <c r="AZ4" s="246" t="str">
        <f>+All_Targets!DU4</f>
        <v>Targets for 2020 (compared to 2005)</v>
      </c>
      <c r="BA4" s="243"/>
      <c r="BB4" s="241" t="str">
        <f>+All_Targets!DW4</f>
        <v>Targets for 2030 (compared to 2005) - Proposal</v>
      </c>
      <c r="BC4" s="242"/>
      <c r="BD4" s="243" t="str">
        <f>+All_Targets!DY4</f>
        <v>Targets for 2040 (compared to 2005) – REEEM clusters</v>
      </c>
      <c r="BE4" s="243"/>
      <c r="BF4" s="241" t="str">
        <f>+All_Targets!EA4</f>
        <v>Target for 2050 (compared to 2005) – REEEM clusters</v>
      </c>
      <c r="BG4" s="244"/>
      <c r="BI4" s="246" t="str">
        <f>+All_Targets!F4</f>
        <v>Targets for 2020 (compared to 2005)</v>
      </c>
      <c r="BJ4" s="243"/>
      <c r="BK4" s="241" t="str">
        <f>+All_Targets!H4</f>
        <v>Targets for 2030 (compared to 2005) - Proposal</v>
      </c>
      <c r="BL4" s="242"/>
      <c r="BM4" s="243" t="str">
        <f>+All_Targets!J4</f>
        <v>Targets for 2040 (compared to 2005) - Proposal</v>
      </c>
      <c r="BN4" s="243"/>
      <c r="BO4" s="241" t="str">
        <f>+All_Targets!L4</f>
        <v>Target for 2050 (compared to 2005) – REEEM clusters</v>
      </c>
      <c r="BP4" s="244"/>
      <c r="BR4" s="246" t="str">
        <f>+All_Targets!O4</f>
        <v>Targets for 2020 (compared to 2005)</v>
      </c>
      <c r="BS4" s="243"/>
      <c r="BT4" s="241" t="str">
        <f>+All_Targets!Q4</f>
        <v>Targets for 2030 (compared to 2005) - Proposal</v>
      </c>
      <c r="BU4" s="242"/>
      <c r="BV4" s="243" t="str">
        <f>+All_Targets!S4</f>
        <v>Targets for 2040 (compared to 2005) – REEEM clusters</v>
      </c>
      <c r="BW4" s="243"/>
      <c r="BX4" s="241" t="str">
        <f>+All_Targets!U4</f>
        <v>Targets for 2050 (compared to 2005) – REEEM clusters</v>
      </c>
      <c r="BY4" s="244"/>
    </row>
    <row r="5" spans="1:77" ht="28.5" customHeight="1" x14ac:dyDescent="0.25">
      <c r="A5" s="70" t="str">
        <f>+All_Targets!A5</f>
        <v>EU-28 ETS w/o domestic aviation</v>
      </c>
      <c r="B5" s="70"/>
      <c r="C5" s="85"/>
      <c r="D5" s="117">
        <f>+All_Targets!C5</f>
        <v>2340.279</v>
      </c>
      <c r="E5" s="127">
        <f>+All_Targets!D5</f>
        <v>1984.4704999999999</v>
      </c>
      <c r="G5" s="104">
        <f>+All_Targets!AS5</f>
        <v>-0.21</v>
      </c>
      <c r="H5" s="14">
        <f>+All_Targets!AT5</f>
        <v>1848.82041</v>
      </c>
      <c r="I5" s="106">
        <f>+All_Targets!AU5</f>
        <v>-0.43</v>
      </c>
      <c r="J5" s="23">
        <f>+All_Targets!AV5</f>
        <v>1333.95903</v>
      </c>
      <c r="K5" s="105">
        <f>+All_Targets!AW5</f>
        <v>-0.63</v>
      </c>
      <c r="L5" s="14">
        <f>+All_Targets!AX5</f>
        <v>865.90323000000001</v>
      </c>
      <c r="M5" s="106">
        <f>+All_Targets!AY5</f>
        <v>-0.83</v>
      </c>
      <c r="N5" s="21">
        <f>+All_Targets!AZ5</f>
        <v>397.84743000000003</v>
      </c>
      <c r="P5" s="104">
        <f>+All_Targets!BB5</f>
        <v>-0.21</v>
      </c>
      <c r="Q5" s="14">
        <f>+All_Targets!BC5</f>
        <v>1848.82041</v>
      </c>
      <c r="R5" s="106">
        <f>+All_Targets!BD5</f>
        <v>-0.43</v>
      </c>
      <c r="S5" s="23">
        <f>+All_Targets!BE5</f>
        <v>1333.95903</v>
      </c>
      <c r="T5" s="105">
        <f>+All_Targets!BF5</f>
        <v>-0.63</v>
      </c>
      <c r="U5" s="14">
        <f>+All_Targets!BG5</f>
        <v>865.90323000000001</v>
      </c>
      <c r="V5" s="106">
        <f>+All_Targets!BH5</f>
        <v>-0.83</v>
      </c>
      <c r="W5" s="21">
        <f>+All_Targets!BI5</f>
        <v>397.84743000000003</v>
      </c>
      <c r="Y5" s="104">
        <f>+All_Targets!CM5</f>
        <v>-0.21</v>
      </c>
      <c r="Z5" s="14">
        <f>+All_Targets!CN5</f>
        <v>1848.82041</v>
      </c>
      <c r="AA5" s="106">
        <f>+All_Targets!CO5</f>
        <v>-0.77657553650654454</v>
      </c>
      <c r="AB5" s="23">
        <f>+All_Targets!CP5</f>
        <v>522.87558000000035</v>
      </c>
      <c r="AC5" s="105">
        <f>+All_Targets!CQ5</f>
        <v>-0.8757877682532722</v>
      </c>
      <c r="AD5" s="14">
        <f>+All_Targets!CR5</f>
        <v>290.69127750000018</v>
      </c>
      <c r="AE5" s="106">
        <f>+All_Targets!CS5</f>
        <v>-0.97499999999999998</v>
      </c>
      <c r="AF5" s="21">
        <f>+All_Targets!CT5</f>
        <v>58.506975000000004</v>
      </c>
      <c r="AG5" s="1"/>
      <c r="AH5" s="104">
        <f>+All_Targets!CV5</f>
        <v>-0.21</v>
      </c>
      <c r="AI5" s="14">
        <f>+All_Targets!CW5</f>
        <v>1848.82041</v>
      </c>
      <c r="AJ5" s="106">
        <f>+All_Targets!CX5</f>
        <v>-0.77657553650654454</v>
      </c>
      <c r="AK5" s="23">
        <f>+All_Targets!CY5</f>
        <v>522.87558000000035</v>
      </c>
      <c r="AL5" s="105">
        <f>+All_Targets!CZ5</f>
        <v>-0.8757877682532722</v>
      </c>
      <c r="AM5" s="14">
        <f>+All_Targets!DA5</f>
        <v>290.69127750000018</v>
      </c>
      <c r="AN5" s="106">
        <f>+All_Targets!DB5</f>
        <v>-0.97499999999999998</v>
      </c>
      <c r="AO5" s="21">
        <f>+All_Targets!DC5</f>
        <v>58.506975000000004</v>
      </c>
      <c r="AQ5" s="104">
        <f>+All_Targets!DL5</f>
        <v>-0.21</v>
      </c>
      <c r="AR5" s="14">
        <f>+All_Targets!DM5</f>
        <v>1848.82041</v>
      </c>
      <c r="AS5" s="106">
        <f>+All_Targets!DN5</f>
        <v>-0.6171507897135341</v>
      </c>
      <c r="AT5" s="23">
        <f>+All_Targets!DO5</f>
        <v>895.97396700000013</v>
      </c>
      <c r="AU5" s="105">
        <f>+All_Targets!DP5</f>
        <v>-0.79607539485676704</v>
      </c>
      <c r="AV5" s="14">
        <f>+All_Targets!DQ5</f>
        <v>477.24047100000007</v>
      </c>
      <c r="AW5" s="106">
        <f>+All_Targets!DR5</f>
        <v>-0.97499999999999998</v>
      </c>
      <c r="AX5" s="21">
        <f>+All_Targets!DS5</f>
        <v>58.506975000000004</v>
      </c>
      <c r="AZ5" s="104">
        <f>+All_Targets!DU5</f>
        <v>-0.21</v>
      </c>
      <c r="BA5" s="14">
        <f>+All_Targets!DV5</f>
        <v>1848.82041</v>
      </c>
      <c r="BB5" s="106">
        <f>+All_Targets!DW5</f>
        <v>-0.6171507897135341</v>
      </c>
      <c r="BC5" s="23">
        <f>+All_Targets!DX5</f>
        <v>895.97396700000013</v>
      </c>
      <c r="BD5" s="105">
        <f>+All_Targets!DY5</f>
        <v>-0.79607539485676704</v>
      </c>
      <c r="BE5" s="14">
        <f>+All_Targets!DZ5</f>
        <v>477.24047100000007</v>
      </c>
      <c r="BF5" s="106">
        <f>+All_Targets!EA5</f>
        <v>-0.97499999999999998</v>
      </c>
      <c r="BG5" s="21">
        <f>+All_Targets!EB5</f>
        <v>58.506975000000004</v>
      </c>
      <c r="BI5" s="104">
        <f>+All_Targets!F5</f>
        <v>-0.21</v>
      </c>
      <c r="BJ5" s="14">
        <f>+All_Targets!G5</f>
        <v>1848.82041</v>
      </c>
      <c r="BK5" s="106">
        <f>+All_Targets!H5</f>
        <v>-0.43</v>
      </c>
      <c r="BL5" s="23">
        <f>+All_Targets!I5</f>
        <v>1333.95903</v>
      </c>
      <c r="BM5" s="105">
        <f>+All_Targets!J5</f>
        <v>-0.63</v>
      </c>
      <c r="BN5" s="14">
        <f>+All_Targets!K5</f>
        <v>865.90323000000001</v>
      </c>
      <c r="BO5" s="106">
        <f>+All_Targets!L5</f>
        <v>-0.83</v>
      </c>
      <c r="BP5" s="21">
        <f>+All_Targets!M5</f>
        <v>397.84743000000003</v>
      </c>
      <c r="BR5" s="104">
        <f>+All_Targets!O5</f>
        <v>-0.21</v>
      </c>
      <c r="BS5" s="14">
        <f>+All_Targets!P5</f>
        <v>1848.82041</v>
      </c>
      <c r="BT5" s="106">
        <f>+All_Targets!Q5</f>
        <v>-0.43</v>
      </c>
      <c r="BU5" s="23">
        <f>+All_Targets!R5</f>
        <v>1333.95903</v>
      </c>
      <c r="BV5" s="105">
        <f>+All_Targets!S5</f>
        <v>-0.63</v>
      </c>
      <c r="BW5" s="14">
        <f>+All_Targets!T5</f>
        <v>865.90323000000001</v>
      </c>
      <c r="BX5" s="106">
        <f>+All_Targets!U5</f>
        <v>-0.83</v>
      </c>
      <c r="BY5" s="21">
        <f>+All_Targets!V5</f>
        <v>397.84743000000003</v>
      </c>
    </row>
    <row r="6" spans="1:77" ht="60" customHeight="1" x14ac:dyDescent="0.25">
      <c r="A6" s="69"/>
      <c r="B6" s="69"/>
      <c r="C6" s="92">
        <f>+All_Targets!B6</f>
        <v>1990</v>
      </c>
      <c r="D6" s="116">
        <f>+All_Targets!C6</f>
        <v>2005</v>
      </c>
      <c r="E6" s="126">
        <f>+All_Targets!D6</f>
        <v>2011</v>
      </c>
      <c r="G6" s="246" t="str">
        <f>+All_Targets!AS6</f>
        <v>Effort sharing decision (compared to 2005) (ESD)</v>
      </c>
      <c r="H6" s="243"/>
      <c r="I6" s="241" t="str">
        <f>+All_Targets!AU6</f>
        <v>Effort sharing decision (compared to 2005) (ESD)</v>
      </c>
      <c r="J6" s="242"/>
      <c r="K6" s="243" t="str">
        <f>+All_Targets!AW6</f>
        <v>Effort sharing decision (compared to 2005) (ESD)</v>
      </c>
      <c r="L6" s="243"/>
      <c r="M6" s="241" t="str">
        <f>+All_Targets!AY6</f>
        <v>Effort sharing decision (compared to 2005) (ESD)</v>
      </c>
      <c r="N6" s="244"/>
      <c r="P6" s="246" t="str">
        <f>+All_Targets!BB6</f>
        <v>Effort sharing decision (compared to 2005) (ESD)</v>
      </c>
      <c r="Q6" s="243"/>
      <c r="R6" s="241" t="str">
        <f>+All_Targets!BD6</f>
        <v>Effort sharing decision (compared to 2005) (ESD)</v>
      </c>
      <c r="S6" s="242"/>
      <c r="T6" s="243" t="str">
        <f>+All_Targets!BF6</f>
        <v>Effort sharing decision (compared to 2005) (ESD)</v>
      </c>
      <c r="U6" s="243"/>
      <c r="V6" s="241" t="str">
        <f>+All_Targets!BH6</f>
        <v>Effort sharing decision (compared to 2005) (ESD)</v>
      </c>
      <c r="W6" s="244"/>
      <c r="Y6" s="246" t="str">
        <f>+All_Targets!CM6</f>
        <v>Effort sharing decision (compared to 2005) (ESD)</v>
      </c>
      <c r="Z6" s="243"/>
      <c r="AA6" s="241" t="str">
        <f>+All_Targets!CO6</f>
        <v>Effort sharing decision (compared to 2005) (ESD)</v>
      </c>
      <c r="AB6" s="242"/>
      <c r="AC6" s="243" t="str">
        <f>+All_Targets!CQ6</f>
        <v>Effort sharing decision (compared to 2005) (ESD)</v>
      </c>
      <c r="AD6" s="243"/>
      <c r="AE6" s="241" t="str">
        <f>+All_Targets!CS6</f>
        <v>Effort sharing decision (compared to 2005) (ESD)</v>
      </c>
      <c r="AF6" s="244"/>
      <c r="AG6" s="1"/>
      <c r="AH6" s="246" t="str">
        <f>+All_Targets!CV6</f>
        <v>Effort sharing decision (compared to 2005) (ESD)</v>
      </c>
      <c r="AI6" s="243"/>
      <c r="AJ6" s="241" t="str">
        <f>+All_Targets!CX6</f>
        <v>Effort sharing decision (compared to 2005) (ESD)</v>
      </c>
      <c r="AK6" s="242"/>
      <c r="AL6" s="243" t="str">
        <f>+All_Targets!CZ6</f>
        <v>Effort sharing decision (compared to 2005) (ESD)</v>
      </c>
      <c r="AM6" s="243"/>
      <c r="AN6" s="241" t="str">
        <f>+All_Targets!DB6</f>
        <v>Effort sharing decision (compared to 2005) (ESD)</v>
      </c>
      <c r="AO6" s="244"/>
      <c r="AQ6" s="246" t="str">
        <f>+All_Targets!DL6</f>
        <v>Effort sharing decision (compared to 2005) (ESD)</v>
      </c>
      <c r="AR6" s="243"/>
      <c r="AS6" s="241" t="str">
        <f>+All_Targets!DN6</f>
        <v>Effort sharing decision (compared to 2005) (ESD)</v>
      </c>
      <c r="AT6" s="242"/>
      <c r="AU6" s="243" t="str">
        <f>+All_Targets!DP6</f>
        <v>Effort sharing decision (compared to 2005) (ESD)</v>
      </c>
      <c r="AV6" s="243"/>
      <c r="AW6" s="241" t="str">
        <f>+All_Targets!DR6</f>
        <v>Effort sharing decision (compared to 2005) (ESD)</v>
      </c>
      <c r="AX6" s="244"/>
      <c r="AZ6" s="246" t="str">
        <f>+All_Targets!DU6</f>
        <v>Effort sharing decision (compared to 2005) (ESD)</v>
      </c>
      <c r="BA6" s="243"/>
      <c r="BB6" s="241" t="str">
        <f>+All_Targets!DW6</f>
        <v>Effort sharing decision (compared to 2005) (ESD)</v>
      </c>
      <c r="BC6" s="242"/>
      <c r="BD6" s="243" t="str">
        <f>+All_Targets!DY6</f>
        <v>Effort sharing decision (compared to 2005) (ESD)</v>
      </c>
      <c r="BE6" s="243"/>
      <c r="BF6" s="241" t="str">
        <f>+All_Targets!EA6</f>
        <v>Effort sharing decision (compared to 2005) (ESD)</v>
      </c>
      <c r="BG6" s="244"/>
      <c r="BI6" s="246" t="str">
        <f>+All_Targets!F6</f>
        <v>Effort sharing decision (compared to 2005) (ESD)</v>
      </c>
      <c r="BJ6" s="243"/>
      <c r="BK6" s="241" t="str">
        <f>+All_Targets!H6</f>
        <v>Effort sharing decision (compared to 2005) (ESD)</v>
      </c>
      <c r="BL6" s="242"/>
      <c r="BM6" s="243" t="str">
        <f>+All_Targets!J6</f>
        <v>Effort sharing decision (compared to 2005) (ESD)</v>
      </c>
      <c r="BN6" s="243"/>
      <c r="BO6" s="241" t="str">
        <f>+All_Targets!L6</f>
        <v>Effort sharing decision (compared to 2005) (ESD)</v>
      </c>
      <c r="BP6" s="244"/>
      <c r="BR6" s="246" t="str">
        <f>+All_Targets!O6</f>
        <v>Effort sharing decision (compared to 2005) (ESD)</v>
      </c>
      <c r="BS6" s="243"/>
      <c r="BT6" s="241" t="str">
        <f>+All_Targets!Q6</f>
        <v>Effort sharing decision (compared to 2005) (ESD)</v>
      </c>
      <c r="BU6" s="242"/>
      <c r="BV6" s="243" t="str">
        <f>+All_Targets!S6</f>
        <v>Effort sharing decision (compared to 2005) (ESD)</v>
      </c>
      <c r="BW6" s="243"/>
      <c r="BX6" s="241" t="str">
        <f>+All_Targets!U6</f>
        <v>Effort sharing decision (compared to 2005) (ESD)</v>
      </c>
      <c r="BY6" s="244"/>
    </row>
    <row r="7" spans="1:77" ht="20.100000000000001" customHeight="1" x14ac:dyDescent="0.25">
      <c r="A7" s="70" t="str">
        <f>+All_Targets!A7</f>
        <v>EU-28 Non-ETS</v>
      </c>
      <c r="B7" s="70"/>
      <c r="C7" s="86"/>
      <c r="D7" s="118">
        <f>+All_Targets!C7</f>
        <v>2696.8008099999993</v>
      </c>
      <c r="E7" s="128">
        <f>+All_Targets!D7</f>
        <v>2489.2254458180555</v>
      </c>
      <c r="G7" s="104">
        <f>+All_Targets!AS7</f>
        <v>-0.09</v>
      </c>
      <c r="H7" s="14">
        <f>+All_Targets!AT7</f>
        <v>2454.0889099999999</v>
      </c>
      <c r="I7" s="106">
        <f>+All_Targets!AU7</f>
        <v>-0.3</v>
      </c>
      <c r="J7" s="23">
        <f>+All_Targets!AV7</f>
        <v>1887.7606999999998</v>
      </c>
      <c r="K7" s="105">
        <f>+All_Targets!AW7</f>
        <v>-0.52500000000000002</v>
      </c>
      <c r="L7" s="14">
        <f>+All_Targets!AX7</f>
        <v>1280.9804749999998</v>
      </c>
      <c r="M7" s="106">
        <f>+All_Targets!AY7</f>
        <v>-0.75</v>
      </c>
      <c r="N7" s="21">
        <f>+All_Targets!AZ7</f>
        <v>674.20024999999998</v>
      </c>
      <c r="P7" s="104">
        <f>+All_Targets!BB7</f>
        <v>-0.09</v>
      </c>
      <c r="Q7" s="14">
        <f>+All_Targets!BC7</f>
        <v>2454.0889099999999</v>
      </c>
      <c r="R7" s="106">
        <f>+All_Targets!BD7</f>
        <v>-0.3</v>
      </c>
      <c r="S7" s="23">
        <f>+All_Targets!BE7</f>
        <v>1887.7606999999998</v>
      </c>
      <c r="T7" s="105">
        <f>+All_Targets!BF7</f>
        <v>-0.52500000000000002</v>
      </c>
      <c r="U7" s="14">
        <f>+All_Targets!BG7</f>
        <v>1280.9804749999998</v>
      </c>
      <c r="V7" s="106">
        <f>+All_Targets!BH7</f>
        <v>-0.75</v>
      </c>
      <c r="W7" s="21">
        <f>+All_Targets!BI7</f>
        <v>674.20024999999998</v>
      </c>
      <c r="Y7" s="104">
        <f>+All_Targets!CM7</f>
        <v>-0.09</v>
      </c>
      <c r="Z7" s="14">
        <f>+All_Targets!CN7</f>
        <v>2454.0889099999999</v>
      </c>
      <c r="AA7" s="106">
        <f>+All_Targets!CO7</f>
        <v>-0.30000000000000004</v>
      </c>
      <c r="AB7" s="23">
        <f>+All_Targets!CP7</f>
        <v>1887.7606999999998</v>
      </c>
      <c r="AC7" s="105">
        <f>+All_Targets!CQ7</f>
        <v>-0.61491396318588321</v>
      </c>
      <c r="AD7" s="14">
        <f>+All_Targets!CR7</f>
        <v>1038.5004024999998</v>
      </c>
      <c r="AE7" s="106">
        <f>+All_Targets!CS7</f>
        <v>-0.92982792637176637</v>
      </c>
      <c r="AF7" s="21">
        <f>+All_Targets!CT7</f>
        <v>189.24010500000009</v>
      </c>
      <c r="AG7" s="1"/>
      <c r="AH7" s="104">
        <f>+All_Targets!CV7</f>
        <v>-0.09</v>
      </c>
      <c r="AI7" s="14">
        <f>+All_Targets!CW7</f>
        <v>2454.0889099999999</v>
      </c>
      <c r="AJ7" s="106">
        <f>+All_Targets!CX7</f>
        <v>-0.30000000000000004</v>
      </c>
      <c r="AK7" s="23">
        <f>+All_Targets!CY7</f>
        <v>1887.7606999999998</v>
      </c>
      <c r="AL7" s="105">
        <f>+All_Targets!CZ7</f>
        <v>-0.61491396318588321</v>
      </c>
      <c r="AM7" s="14">
        <f>+All_Targets!DA7</f>
        <v>1038.5004024999998</v>
      </c>
      <c r="AN7" s="106">
        <f>+All_Targets!DB7</f>
        <v>-0.92982792637176637</v>
      </c>
      <c r="AO7" s="21">
        <f>+All_Targets!DC7</f>
        <v>189.24010500000009</v>
      </c>
      <c r="AQ7" s="104">
        <f>+All_Targets!DL7</f>
        <v>-0.09</v>
      </c>
      <c r="AR7" s="14">
        <f>+All_Targets!DM7</f>
        <v>2454.0889099999999</v>
      </c>
      <c r="AS7" s="106">
        <f>+All_Targets!DN7</f>
        <v>-0.43834850513627066</v>
      </c>
      <c r="AT7" s="23">
        <f>+All_Targets!DO7</f>
        <v>1514.662313</v>
      </c>
      <c r="AU7" s="105">
        <f>+All_Targets!DP7</f>
        <v>-0.68408821575401846</v>
      </c>
      <c r="AV7" s="14">
        <f>+All_Targets!DQ7</f>
        <v>851.95120900000006</v>
      </c>
      <c r="AW7" s="106">
        <f>+All_Targets!DR7</f>
        <v>-0.92982792637176637</v>
      </c>
      <c r="AX7" s="21">
        <f>+All_Targets!DS7</f>
        <v>189.24010500000009</v>
      </c>
      <c r="AZ7" s="104">
        <f>+All_Targets!DU7</f>
        <v>-0.09</v>
      </c>
      <c r="BA7" s="14">
        <f>+All_Targets!DV7</f>
        <v>2454.0889099999999</v>
      </c>
      <c r="BB7" s="106">
        <f>+All_Targets!DW7</f>
        <v>-0.43834850513627066</v>
      </c>
      <c r="BC7" s="23">
        <f>+All_Targets!DX7</f>
        <v>1514.662313</v>
      </c>
      <c r="BD7" s="105">
        <f>+All_Targets!DY7</f>
        <v>-0.68408821575401846</v>
      </c>
      <c r="BE7" s="14">
        <f>+All_Targets!DZ7</f>
        <v>851.95120900000006</v>
      </c>
      <c r="BF7" s="106">
        <f>+All_Targets!EA7</f>
        <v>-0.92982792637176637</v>
      </c>
      <c r="BG7" s="21">
        <f>+All_Targets!EB7</f>
        <v>189.24010500000009</v>
      </c>
      <c r="BI7" s="104">
        <f>+All_Targets!F7</f>
        <v>-0.09</v>
      </c>
      <c r="BJ7" s="14">
        <f>+All_Targets!G7</f>
        <v>2454.0889099999999</v>
      </c>
      <c r="BK7" s="106">
        <f>+All_Targets!H7</f>
        <v>-0.3</v>
      </c>
      <c r="BL7" s="23">
        <f>+All_Targets!I7</f>
        <v>1887.7606999999998</v>
      </c>
      <c r="BM7" s="105">
        <f>+All_Targets!J7</f>
        <v>-0.52500000000000002</v>
      </c>
      <c r="BN7" s="14">
        <f>+All_Targets!K7</f>
        <v>1280.9804749999998</v>
      </c>
      <c r="BO7" s="106">
        <f>+All_Targets!L7</f>
        <v>-0.75</v>
      </c>
      <c r="BP7" s="21">
        <f>+All_Targets!M7</f>
        <v>674.20024999999998</v>
      </c>
      <c r="BR7" s="104">
        <f>+All_Targets!O7</f>
        <v>-0.09</v>
      </c>
      <c r="BS7" s="14">
        <f>+All_Targets!P7</f>
        <v>2454.0889099999999</v>
      </c>
      <c r="BT7" s="106">
        <f>+All_Targets!Q7</f>
        <v>-0.3</v>
      </c>
      <c r="BU7" s="23">
        <f>+All_Targets!R7</f>
        <v>1887.7606999999998</v>
      </c>
      <c r="BV7" s="105">
        <f>+All_Targets!S7</f>
        <v>-0.52500000000000002</v>
      </c>
      <c r="BW7" s="14">
        <f>+All_Targets!T7</f>
        <v>1280.9804749999998</v>
      </c>
      <c r="BX7" s="106">
        <f>+All_Targets!U7</f>
        <v>-0.75</v>
      </c>
      <c r="BY7" s="21">
        <f>+All_Targets!V7</f>
        <v>674.20024999999998</v>
      </c>
    </row>
    <row r="8" spans="1:77" ht="20.100000000000001" customHeight="1" x14ac:dyDescent="0.25">
      <c r="A8" s="140" t="str">
        <f>+All_Targets!A8</f>
        <v>France</v>
      </c>
      <c r="B8" s="84" t="str">
        <f>VLOOKUP($A8,NEWAGE_reg!$A$2:$B$29,2,FALSE)</f>
        <v>FRA</v>
      </c>
      <c r="C8" s="84"/>
      <c r="D8" s="120">
        <f>+All_Targets!C8</f>
        <v>383.22032174418473</v>
      </c>
      <c r="E8" s="129">
        <f>+All_Targets!D8</f>
        <v>350.97888858284506</v>
      </c>
      <c r="G8" s="8">
        <f>+All_Targets!AS8</f>
        <v>-0.14000000000000001</v>
      </c>
      <c r="H8" s="79">
        <f>+All_Targets!AT8</f>
        <v>329.56947669999886</v>
      </c>
      <c r="I8" s="107">
        <f>+All_Targets!AU8</f>
        <v>-0.37</v>
      </c>
      <c r="J8" s="37">
        <f>+All_Targets!AV8</f>
        <v>241.42880269883639</v>
      </c>
      <c r="K8" s="103">
        <f>+All_Targets!AW8</f>
        <v>-0.58499999999999996</v>
      </c>
      <c r="L8" s="79">
        <f>+All_Targets!AX8</f>
        <v>159.03643352383668</v>
      </c>
      <c r="M8" s="107">
        <f>+All_Targets!AY8</f>
        <v>-0.8</v>
      </c>
      <c r="N8" s="63">
        <f>+All_Targets!AZ8</f>
        <v>76.644064348836935</v>
      </c>
      <c r="P8" s="8">
        <f>+All_Targets!BB8</f>
        <v>-0.14000000000000001</v>
      </c>
      <c r="Q8" s="79">
        <f>+All_Targets!BC8</f>
        <v>329.56947669999886</v>
      </c>
      <c r="R8" s="107">
        <f>+All_Targets!BD8</f>
        <v>-0.37</v>
      </c>
      <c r="S8" s="37">
        <f>+All_Targets!BE8</f>
        <v>241.42880269883639</v>
      </c>
      <c r="T8" s="103">
        <f>+All_Targets!BF8</f>
        <v>-0.58499999999999996</v>
      </c>
      <c r="U8" s="79">
        <f>+All_Targets!BG8</f>
        <v>159.03643352383668</v>
      </c>
      <c r="V8" s="107">
        <f>+All_Targets!BH8</f>
        <v>-0.8</v>
      </c>
      <c r="W8" s="63">
        <f>+All_Targets!BI8</f>
        <v>76.644064348836935</v>
      </c>
      <c r="Y8" s="8">
        <f>+All_Targets!CM8</f>
        <v>-0.14000000000000001</v>
      </c>
      <c r="Z8" s="79">
        <f>+All_Targets!CN8</f>
        <v>329.56947669999886</v>
      </c>
      <c r="AA8" s="107">
        <f>+All_Targets!CO8</f>
        <v>-0.37</v>
      </c>
      <c r="AB8" s="37">
        <f>+All_Targets!CP8</f>
        <v>241.42880269883639</v>
      </c>
      <c r="AC8" s="103">
        <f>+All_Targets!CQ8</f>
        <v>-0.65342256909204643</v>
      </c>
      <c r="AD8" s="79">
        <f>+All_Targets!CR8</f>
        <v>132.81551458181892</v>
      </c>
      <c r="AE8" s="107">
        <f>+All_Targets!CS8</f>
        <v>-0.93684513818409287</v>
      </c>
      <c r="AF8" s="63">
        <f>+All_Targets!CT8</f>
        <v>24.202226464801452</v>
      </c>
      <c r="AG8" s="1"/>
      <c r="AH8" s="8">
        <f>+All_Targets!CV8</f>
        <v>-0.14000000000000001</v>
      </c>
      <c r="AI8" s="79">
        <f>+All_Targets!CW8</f>
        <v>329.56947669999886</v>
      </c>
      <c r="AJ8" s="107">
        <f>+All_Targets!CX8</f>
        <v>-0.37</v>
      </c>
      <c r="AK8" s="37">
        <f>+All_Targets!CY8</f>
        <v>241.42880269883639</v>
      </c>
      <c r="AL8" s="103">
        <f>+All_Targets!CZ8</f>
        <v>-0.65342256909204643</v>
      </c>
      <c r="AM8" s="79">
        <f>+All_Targets!DA8</f>
        <v>132.81551458181892</v>
      </c>
      <c r="AN8" s="107">
        <f>+All_Targets!DB8</f>
        <v>-0.93684513818409287</v>
      </c>
      <c r="AO8" s="63">
        <f>+All_Targets!DC8</f>
        <v>24.202226464801452</v>
      </c>
      <c r="AQ8" s="8">
        <f>+All_Targets!DL8</f>
        <v>-0.14000000000000001</v>
      </c>
      <c r="AR8" s="79">
        <f>+All_Targets!DM8</f>
        <v>329.56947669999886</v>
      </c>
      <c r="AS8" s="107">
        <f>+All_Targets!DN8</f>
        <v>-0.53927401888905901</v>
      </c>
      <c r="AT8" s="37">
        <f>+All_Targets!DO8</f>
        <v>176.55955871724001</v>
      </c>
      <c r="AU8" s="103">
        <f>+All_Targets!DP8</f>
        <v>-0.74085573183124587</v>
      </c>
      <c r="AV8" s="79">
        <f>+All_Targets!DQ8</f>
        <v>99.309349825791244</v>
      </c>
      <c r="AW8" s="107">
        <f>+All_Targets!DR8</f>
        <v>-0.94243744477343283</v>
      </c>
      <c r="AX8" s="63">
        <f>+All_Targets!DS8</f>
        <v>22.059140934342491</v>
      </c>
      <c r="AZ8" s="8">
        <f>+All_Targets!DU8</f>
        <v>-0.14000000000000001</v>
      </c>
      <c r="BA8" s="79">
        <f>+All_Targets!DV8</f>
        <v>329.56947669999886</v>
      </c>
      <c r="BB8" s="107">
        <f>+All_Targets!DW8</f>
        <v>-0.53927401888905901</v>
      </c>
      <c r="BC8" s="37">
        <f>+All_Targets!DX8</f>
        <v>176.55955871724001</v>
      </c>
      <c r="BD8" s="103">
        <f>+All_Targets!DY8</f>
        <v>-0.74085573183124587</v>
      </c>
      <c r="BE8" s="79">
        <f>+All_Targets!DZ8</f>
        <v>99.309349825791244</v>
      </c>
      <c r="BF8" s="107">
        <f>+All_Targets!EA8</f>
        <v>-0.94243744477343283</v>
      </c>
      <c r="BG8" s="63">
        <f>+All_Targets!EB8</f>
        <v>22.059140934342491</v>
      </c>
      <c r="BI8" s="8">
        <f>+All_Targets!F8</f>
        <v>-0.14000000000000001</v>
      </c>
      <c r="BJ8" s="79">
        <f>+All_Targets!G8</f>
        <v>329.56947669999886</v>
      </c>
      <c r="BK8" s="107">
        <f>+All_Targets!H8</f>
        <v>-0.37</v>
      </c>
      <c r="BL8" s="37">
        <f>+All_Targets!I8</f>
        <v>241.42880269883639</v>
      </c>
      <c r="BM8" s="103">
        <f>+All_Targets!J8</f>
        <v>-0.58499999999999996</v>
      </c>
      <c r="BN8" s="79">
        <f>+All_Targets!K8</f>
        <v>159.03643352383665</v>
      </c>
      <c r="BO8" s="107">
        <f>+All_Targets!L8</f>
        <v>-0.8</v>
      </c>
      <c r="BP8" s="63">
        <f>+All_Targets!M8</f>
        <v>76.644064348836935</v>
      </c>
      <c r="BR8" s="8">
        <f>+All_Targets!O8</f>
        <v>-0.14000000000000001</v>
      </c>
      <c r="BS8" s="79">
        <f>+All_Targets!P8</f>
        <v>329.56947669999886</v>
      </c>
      <c r="BT8" s="107">
        <f>+All_Targets!Q8</f>
        <v>-0.37</v>
      </c>
      <c r="BU8" s="37">
        <f>+All_Targets!R8</f>
        <v>241.42880269883639</v>
      </c>
      <c r="BV8" s="103">
        <f>+All_Targets!S8</f>
        <v>-0.58499999999999996</v>
      </c>
      <c r="BW8" s="79">
        <f>+All_Targets!T8</f>
        <v>159.03643352383668</v>
      </c>
      <c r="BX8" s="107">
        <f>+All_Targets!U8</f>
        <v>-0.8</v>
      </c>
      <c r="BY8" s="63">
        <f>+All_Targets!V8</f>
        <v>76.644064348836935</v>
      </c>
    </row>
    <row r="9" spans="1:77" ht="20.100000000000001" customHeight="1" x14ac:dyDescent="0.25">
      <c r="A9" s="141" t="str">
        <f>+All_Targets!A9</f>
        <v>Portugal</v>
      </c>
      <c r="B9" s="84" t="str">
        <f>VLOOKUP($A9,NEWAGE_reg!$A$2:$B$29,2,FALSE)</f>
        <v>ESP</v>
      </c>
      <c r="C9" s="84"/>
      <c r="D9" s="119">
        <f>+All_Targets!C9</f>
        <v>40.659314179887438</v>
      </c>
      <c r="E9" s="130">
        <f>+All_Targets!D9</f>
        <v>35.957529814029442</v>
      </c>
      <c r="G9" s="3">
        <f>+All_Targets!AS9</f>
        <v>0.01</v>
      </c>
      <c r="H9" s="18">
        <f>+All_Targets!AT9</f>
        <v>41.065907321686311</v>
      </c>
      <c r="I9" s="108">
        <f>+All_Targets!AU9</f>
        <v>-0.17</v>
      </c>
      <c r="J9" s="36">
        <f>+All_Targets!AV9</f>
        <v>33.747230769306576</v>
      </c>
      <c r="K9" s="109">
        <f>+All_Targets!AW9</f>
        <v>-0.48500000000000004</v>
      </c>
      <c r="L9" s="18">
        <f>+All_Targets!AX9</f>
        <v>20.939546802642028</v>
      </c>
      <c r="M9" s="108">
        <f>+All_Targets!AY9</f>
        <v>-0.8</v>
      </c>
      <c r="N9" s="34">
        <f>+All_Targets!AZ9</f>
        <v>8.1318628359774863</v>
      </c>
      <c r="P9" s="3">
        <f>+All_Targets!BB9</f>
        <v>0.01</v>
      </c>
      <c r="Q9" s="18">
        <f>+All_Targets!BC9</f>
        <v>41.065907321686311</v>
      </c>
      <c r="R9" s="108">
        <f>+All_Targets!BD9</f>
        <v>-0.17</v>
      </c>
      <c r="S9" s="36">
        <f>+All_Targets!BE9</f>
        <v>33.747230769306576</v>
      </c>
      <c r="T9" s="109">
        <f>+All_Targets!BF9</f>
        <v>-0.48500000000000004</v>
      </c>
      <c r="U9" s="18">
        <f>+All_Targets!BG9</f>
        <v>20.939546802642028</v>
      </c>
      <c r="V9" s="108">
        <f>+All_Targets!BH9</f>
        <v>-0.8</v>
      </c>
      <c r="W9" s="34">
        <f>+All_Targets!BI9</f>
        <v>8.1318628359774863</v>
      </c>
      <c r="Y9" s="3">
        <f>+All_Targets!CM9</f>
        <v>0.01</v>
      </c>
      <c r="Z9" s="18">
        <f>+All_Targets!CN9</f>
        <v>41.065907321686311</v>
      </c>
      <c r="AA9" s="108">
        <f>+All_Targets!CO9</f>
        <v>-0.16999999999999993</v>
      </c>
      <c r="AB9" s="36">
        <f>+All_Targets!CP9</f>
        <v>33.747230769306576</v>
      </c>
      <c r="AC9" s="109">
        <f>+All_Targets!CQ9</f>
        <v>-0.54339798785142623</v>
      </c>
      <c r="AD9" s="18">
        <f>+All_Targets!CR9</f>
        <v>18.56512466711764</v>
      </c>
      <c r="AE9" s="108">
        <f>+All_Targets!CS9</f>
        <v>-0.91679597570285254</v>
      </c>
      <c r="AF9" s="34">
        <f>+All_Targets!CT9</f>
        <v>3.3830185649287063</v>
      </c>
      <c r="AG9" s="1"/>
      <c r="AH9" s="3">
        <f>+All_Targets!CV9</f>
        <v>0.01</v>
      </c>
      <c r="AI9" s="18">
        <f>+All_Targets!CW9</f>
        <v>41.065907321686311</v>
      </c>
      <c r="AJ9" s="108">
        <f>+All_Targets!CX9</f>
        <v>-0.16999999999999993</v>
      </c>
      <c r="AK9" s="36">
        <f>+All_Targets!CY9</f>
        <v>33.747230769306576</v>
      </c>
      <c r="AL9" s="109">
        <f>+All_Targets!CZ9</f>
        <v>-0.54339798785142623</v>
      </c>
      <c r="AM9" s="18">
        <f>+All_Targets!DA9</f>
        <v>18.56512466711764</v>
      </c>
      <c r="AN9" s="108">
        <f>+All_Targets!DB9</f>
        <v>-0.91679597570285254</v>
      </c>
      <c r="AO9" s="34">
        <f>+All_Targets!DC9</f>
        <v>3.3830185649287063</v>
      </c>
      <c r="AQ9" s="3">
        <f>+All_Targets!DL9</f>
        <v>0.01</v>
      </c>
      <c r="AR9" s="18">
        <f>+All_Targets!DM9</f>
        <v>41.065907321686311</v>
      </c>
      <c r="AS9" s="108">
        <f>+All_Targets!DN9</f>
        <v>-0.24777454921929731</v>
      </c>
      <c r="AT9" s="36">
        <f>+All_Targets!DO9</f>
        <v>30.584970937400044</v>
      </c>
      <c r="AU9" s="109">
        <f>+All_Targets!DP9</f>
        <v>-0.57689619875477183</v>
      </c>
      <c r="AV9" s="18">
        <f>+All_Targets!DQ9</f>
        <v>17.203110385534384</v>
      </c>
      <c r="AW9" s="108">
        <f>+All_Targets!DR9</f>
        <v>-0.90601784829024623</v>
      </c>
      <c r="AX9" s="34">
        <f>+All_Targets!DS9</f>
        <v>3.8212498336687242</v>
      </c>
      <c r="AZ9" s="3">
        <f>+All_Targets!DU9</f>
        <v>0.01</v>
      </c>
      <c r="BA9" s="18">
        <f>+All_Targets!DV9</f>
        <v>41.065907321686311</v>
      </c>
      <c r="BB9" s="108">
        <f>+All_Targets!DW9</f>
        <v>-0.24777454921929731</v>
      </c>
      <c r="BC9" s="36">
        <f>+All_Targets!DX9</f>
        <v>30.584970937400044</v>
      </c>
      <c r="BD9" s="109">
        <f>+All_Targets!DY9</f>
        <v>-0.57689619875477183</v>
      </c>
      <c r="BE9" s="18">
        <f>+All_Targets!DZ9</f>
        <v>17.203110385534384</v>
      </c>
      <c r="BF9" s="108">
        <f>+All_Targets!EA9</f>
        <v>-0.90601784829024623</v>
      </c>
      <c r="BG9" s="34">
        <f>+All_Targets!EB9</f>
        <v>3.8212498336687242</v>
      </c>
      <c r="BI9" s="3">
        <f>+All_Targets!F9</f>
        <v>0.01</v>
      </c>
      <c r="BJ9" s="18">
        <f>+All_Targets!G9</f>
        <v>41.065907321686311</v>
      </c>
      <c r="BK9" s="108">
        <f>+All_Targets!H9</f>
        <v>-0.17</v>
      </c>
      <c r="BL9" s="36">
        <f>+All_Targets!I9</f>
        <v>33.747230769306576</v>
      </c>
      <c r="BM9" s="109">
        <f>+All_Targets!J9</f>
        <v>-0.48500000000000004</v>
      </c>
      <c r="BN9" s="18">
        <f>+All_Targets!K9</f>
        <v>20.939546802642031</v>
      </c>
      <c r="BO9" s="108">
        <f>+All_Targets!L9</f>
        <v>-0.8</v>
      </c>
      <c r="BP9" s="34">
        <f>+All_Targets!M9</f>
        <v>8.1318628359774863</v>
      </c>
      <c r="BR9" s="3">
        <f>+All_Targets!O9</f>
        <v>0.01</v>
      </c>
      <c r="BS9" s="18">
        <f>+All_Targets!P9</f>
        <v>41.065907321686311</v>
      </c>
      <c r="BT9" s="108">
        <f>+All_Targets!Q9</f>
        <v>-0.17</v>
      </c>
      <c r="BU9" s="36">
        <f>+All_Targets!R9</f>
        <v>33.747230769306576</v>
      </c>
      <c r="BV9" s="109">
        <f>+All_Targets!S9</f>
        <v>-0.48500000000000004</v>
      </c>
      <c r="BW9" s="18">
        <f>+All_Targets!T9</f>
        <v>20.939546802642028</v>
      </c>
      <c r="BX9" s="108">
        <f>+All_Targets!U9</f>
        <v>-0.8</v>
      </c>
      <c r="BY9" s="34">
        <f>+All_Targets!V9</f>
        <v>8.1318628359774863</v>
      </c>
    </row>
    <row r="10" spans="1:77" ht="20.100000000000001" customHeight="1" x14ac:dyDescent="0.25">
      <c r="A10" s="141" t="str">
        <f>+All_Targets!A10</f>
        <v>Spain</v>
      </c>
      <c r="B10" s="87" t="str">
        <f>VLOOKUP($A10,NEWAGE_reg!$A$2:$B$29,2,FALSE)</f>
        <v>ESP</v>
      </c>
      <c r="C10" s="87"/>
      <c r="D10" s="119">
        <f>+All_Targets!C10</f>
        <v>229.91925856501078</v>
      </c>
      <c r="E10" s="130">
        <f>+All_Targets!D10</f>
        <v>202.21095516099473</v>
      </c>
      <c r="G10" s="3">
        <f>+All_Targets!AS10</f>
        <v>-0.1</v>
      </c>
      <c r="H10" s="18">
        <f>+All_Targets!AT10</f>
        <v>206.92733270850971</v>
      </c>
      <c r="I10" s="108">
        <f>+All_Targets!AU10</f>
        <v>-0.26</v>
      </c>
      <c r="J10" s="36">
        <f>+All_Targets!AV10</f>
        <v>170.14025133810799</v>
      </c>
      <c r="K10" s="109">
        <f>+All_Targets!AW10</f>
        <v>-0.53</v>
      </c>
      <c r="L10" s="18">
        <f>+All_Targets!AX10</f>
        <v>108.06205152555506</v>
      </c>
      <c r="M10" s="108">
        <f>+All_Targets!AY10</f>
        <v>-0.8</v>
      </c>
      <c r="N10" s="34">
        <f>+All_Targets!AZ10</f>
        <v>45.983851713002146</v>
      </c>
      <c r="P10" s="3">
        <f>+All_Targets!BB10</f>
        <v>-0.1</v>
      </c>
      <c r="Q10" s="18">
        <f>+All_Targets!BC10</f>
        <v>206.92733270850971</v>
      </c>
      <c r="R10" s="108">
        <f>+All_Targets!BD10</f>
        <v>-0.26</v>
      </c>
      <c r="S10" s="36">
        <f>+All_Targets!BE10</f>
        <v>170.14025133810799</v>
      </c>
      <c r="T10" s="109">
        <f>+All_Targets!BF10</f>
        <v>-0.53</v>
      </c>
      <c r="U10" s="18">
        <f>+All_Targets!BG10</f>
        <v>108.06205152555506</v>
      </c>
      <c r="V10" s="108">
        <f>+All_Targets!BH10</f>
        <v>-0.8</v>
      </c>
      <c r="W10" s="34">
        <f>+All_Targets!BI10</f>
        <v>45.983851713002146</v>
      </c>
      <c r="Y10" s="3">
        <f>+All_Targets!CM10</f>
        <v>-0.1</v>
      </c>
      <c r="Z10" s="18">
        <f>+All_Targets!CN10</f>
        <v>206.92733270850971</v>
      </c>
      <c r="AA10" s="108">
        <f>+All_Targets!CO10</f>
        <v>-0.2599999999999999</v>
      </c>
      <c r="AB10" s="36">
        <f>+All_Targets!CP10</f>
        <v>170.14025133810799</v>
      </c>
      <c r="AC10" s="109">
        <f>+All_Targets!CQ10</f>
        <v>-0.59290904940970535</v>
      </c>
      <c r="AD10" s="18">
        <f>+All_Targets!CR10</f>
        <v>93.59804952824598</v>
      </c>
      <c r="AE10" s="108">
        <f>+All_Targets!CS10</f>
        <v>-0.92581809881941068</v>
      </c>
      <c r="AF10" s="34">
        <f>+All_Targets!CT10</f>
        <v>17.055847718383987</v>
      </c>
      <c r="AG10" s="1"/>
      <c r="AH10" s="3">
        <f>+All_Targets!CV10</f>
        <v>-0.1</v>
      </c>
      <c r="AI10" s="18">
        <f>+All_Targets!CW10</f>
        <v>206.92733270850971</v>
      </c>
      <c r="AJ10" s="108">
        <f>+All_Targets!CX10</f>
        <v>-0.2599999999999999</v>
      </c>
      <c r="AK10" s="36">
        <f>+All_Targets!CY10</f>
        <v>170.14025133810799</v>
      </c>
      <c r="AL10" s="109">
        <f>+All_Targets!CZ10</f>
        <v>-0.59290904940970535</v>
      </c>
      <c r="AM10" s="18">
        <f>+All_Targets!DA10</f>
        <v>93.59804952824598</v>
      </c>
      <c r="AN10" s="108">
        <f>+All_Targets!DB10</f>
        <v>-0.92581809881941068</v>
      </c>
      <c r="AO10" s="34">
        <f>+All_Targets!DC10</f>
        <v>17.055847718383987</v>
      </c>
      <c r="AQ10" s="3">
        <f>+All_Targets!DL10</f>
        <v>-0.1</v>
      </c>
      <c r="AR10" s="18">
        <f>+All_Targets!DM10</f>
        <v>206.92733270850971</v>
      </c>
      <c r="AS10" s="108">
        <f>+All_Targets!DN10</f>
        <v>-0.37894931057069003</v>
      </c>
      <c r="AT10" s="36">
        <f>+All_Targets!DO10</f>
        <v>142.79151404487573</v>
      </c>
      <c r="AU10" s="109">
        <f>+All_Targets!DP10</f>
        <v>-0.65067798863918513</v>
      </c>
      <c r="AV10" s="18">
        <f>+All_Targets!DQ10</f>
        <v>80.315857852516828</v>
      </c>
      <c r="AW10" s="108">
        <f>+All_Targets!DR10</f>
        <v>-0.92240666670768023</v>
      </c>
      <c r="AX10" s="34">
        <f>+All_Targets!DS10</f>
        <v>17.840201660157941</v>
      </c>
      <c r="AZ10" s="3">
        <f>+All_Targets!DU10</f>
        <v>-0.1</v>
      </c>
      <c r="BA10" s="18">
        <f>+All_Targets!DV10</f>
        <v>206.92733270850971</v>
      </c>
      <c r="BB10" s="108">
        <f>+All_Targets!DW10</f>
        <v>-0.37894931057069003</v>
      </c>
      <c r="BC10" s="36">
        <f>+All_Targets!DX10</f>
        <v>142.79151404487573</v>
      </c>
      <c r="BD10" s="109">
        <f>+All_Targets!DY10</f>
        <v>-0.65067798863918513</v>
      </c>
      <c r="BE10" s="18">
        <f>+All_Targets!DZ10</f>
        <v>80.315857852516828</v>
      </c>
      <c r="BF10" s="108">
        <f>+All_Targets!EA10</f>
        <v>-0.92240666670768023</v>
      </c>
      <c r="BG10" s="34">
        <f>+All_Targets!EB10</f>
        <v>17.840201660157941</v>
      </c>
      <c r="BI10" s="3">
        <f>+All_Targets!F10</f>
        <v>-0.1</v>
      </c>
      <c r="BJ10" s="18">
        <f>+All_Targets!G10</f>
        <v>206.92733270850971</v>
      </c>
      <c r="BK10" s="108">
        <f>+All_Targets!H10</f>
        <v>-0.26</v>
      </c>
      <c r="BL10" s="36">
        <f>+All_Targets!I10</f>
        <v>170.14025133810799</v>
      </c>
      <c r="BM10" s="109">
        <f>+All_Targets!J10</f>
        <v>-0.53</v>
      </c>
      <c r="BN10" s="18">
        <f>+All_Targets!K10</f>
        <v>108.06205152555506</v>
      </c>
      <c r="BO10" s="108">
        <f>+All_Targets!L10</f>
        <v>-0.8</v>
      </c>
      <c r="BP10" s="34">
        <f>+All_Targets!M10</f>
        <v>45.983851713002146</v>
      </c>
      <c r="BR10" s="3">
        <f>+All_Targets!O10</f>
        <v>-0.1</v>
      </c>
      <c r="BS10" s="18">
        <f>+All_Targets!P10</f>
        <v>206.92733270850971</v>
      </c>
      <c r="BT10" s="108">
        <f>+All_Targets!Q10</f>
        <v>-0.26</v>
      </c>
      <c r="BU10" s="36">
        <f>+All_Targets!R10</f>
        <v>170.14025133810799</v>
      </c>
      <c r="BV10" s="109">
        <f>+All_Targets!S10</f>
        <v>-0.53</v>
      </c>
      <c r="BW10" s="18">
        <f>+All_Targets!T10</f>
        <v>108.06205152555506</v>
      </c>
      <c r="BX10" s="108">
        <f>+All_Targets!U10</f>
        <v>-0.8</v>
      </c>
      <c r="BY10" s="34">
        <f>+All_Targets!V10</f>
        <v>45.983851713002146</v>
      </c>
    </row>
    <row r="11" spans="1:77" ht="20.100000000000001" customHeight="1" x14ac:dyDescent="0.25">
      <c r="A11" s="141" t="str">
        <f>+All_Targets!A11</f>
        <v>Italy</v>
      </c>
      <c r="B11" s="87" t="str">
        <f>VLOOKUP($A11,NEWAGE_reg!$A$2:$B$29,2,FALSE)</f>
        <v>ITA</v>
      </c>
      <c r="C11" s="87"/>
      <c r="D11" s="119">
        <f>+All_Targets!C11</f>
        <v>317.11584594051396</v>
      </c>
      <c r="E11" s="130">
        <f>+All_Targets!D11</f>
        <v>284.2309775038301</v>
      </c>
      <c r="G11" s="3">
        <f>+All_Targets!AS11</f>
        <v>-0.13</v>
      </c>
      <c r="H11" s="18">
        <f>+All_Targets!AT11</f>
        <v>275.89078596824714</v>
      </c>
      <c r="I11" s="108">
        <f>+All_Targets!AU11</f>
        <v>-0.33</v>
      </c>
      <c r="J11" s="36">
        <f>+All_Targets!AV11</f>
        <v>212.46761678014434</v>
      </c>
      <c r="K11" s="109">
        <f>+All_Targets!AW11</f>
        <v>-0.56500000000000006</v>
      </c>
      <c r="L11" s="18">
        <f>+All_Targets!AX11</f>
        <v>137.94539298412354</v>
      </c>
      <c r="M11" s="108">
        <f>+All_Targets!AY11</f>
        <v>-0.8</v>
      </c>
      <c r="N11" s="34">
        <f>+All_Targets!AZ11</f>
        <v>63.423169188102776</v>
      </c>
      <c r="P11" s="3">
        <f>+All_Targets!BB11</f>
        <v>-0.13</v>
      </c>
      <c r="Q11" s="18">
        <f>+All_Targets!BC11</f>
        <v>275.89078596824714</v>
      </c>
      <c r="R11" s="108">
        <f>+All_Targets!BD11</f>
        <v>-0.33</v>
      </c>
      <c r="S11" s="36">
        <f>+All_Targets!BE11</f>
        <v>212.46761678014434</v>
      </c>
      <c r="T11" s="109">
        <f>+All_Targets!BF11</f>
        <v>-0.56500000000000006</v>
      </c>
      <c r="U11" s="18">
        <f>+All_Targets!BG11</f>
        <v>137.94539298412354</v>
      </c>
      <c r="V11" s="108">
        <f>+All_Targets!BH11</f>
        <v>-0.8</v>
      </c>
      <c r="W11" s="34">
        <f>+All_Targets!BI11</f>
        <v>63.423169188102776</v>
      </c>
      <c r="Y11" s="3">
        <f>+All_Targets!CM11</f>
        <v>-0.13</v>
      </c>
      <c r="Z11" s="18">
        <f>+All_Targets!CN11</f>
        <v>275.89078596824714</v>
      </c>
      <c r="AA11" s="108">
        <f>+All_Targets!CO11</f>
        <v>-0.33000000000000007</v>
      </c>
      <c r="AB11" s="36">
        <f>+All_Targets!CP11</f>
        <v>212.46761678014434</v>
      </c>
      <c r="AC11" s="109">
        <f>+All_Targets!CQ11</f>
        <v>-0.63141765284392248</v>
      </c>
      <c r="AD11" s="18">
        <f>+All_Targets!CR11</f>
        <v>116.88330281713972</v>
      </c>
      <c r="AE11" s="108">
        <f>+All_Targets!CS11</f>
        <v>-0.9328353056878449</v>
      </c>
      <c r="AF11" s="34">
        <f>+All_Targets!CT11</f>
        <v>21.298988854135111</v>
      </c>
      <c r="AG11" s="1"/>
      <c r="AH11" s="3">
        <f>+All_Targets!CV11</f>
        <v>-0.13</v>
      </c>
      <c r="AI11" s="18">
        <f>+All_Targets!CW11</f>
        <v>275.89078596824714</v>
      </c>
      <c r="AJ11" s="108">
        <f>+All_Targets!CX11</f>
        <v>-0.33000000000000007</v>
      </c>
      <c r="AK11" s="36">
        <f>+All_Targets!CY11</f>
        <v>212.46761678014434</v>
      </c>
      <c r="AL11" s="109">
        <f>+All_Targets!CZ11</f>
        <v>-0.63141765284392248</v>
      </c>
      <c r="AM11" s="18">
        <f>+All_Targets!DA11</f>
        <v>116.88330281713972</v>
      </c>
      <c r="AN11" s="108">
        <f>+All_Targets!DB11</f>
        <v>-0.9328353056878449</v>
      </c>
      <c r="AO11" s="34">
        <f>+All_Targets!DC11</f>
        <v>21.298988854135111</v>
      </c>
      <c r="AQ11" s="3">
        <f>+All_Targets!DL11</f>
        <v>-0.13</v>
      </c>
      <c r="AR11" s="18">
        <f>+All_Targets!DM11</f>
        <v>275.89078596824714</v>
      </c>
      <c r="AS11" s="108">
        <f>+All_Targets!DN11</f>
        <v>-0.48097412495510672</v>
      </c>
      <c r="AT11" s="36">
        <f>+All_Targets!DO11</f>
        <v>164.59132942987682</v>
      </c>
      <c r="AU11" s="109">
        <f>+All_Targets!DP11</f>
        <v>-0.70806382521595113</v>
      </c>
      <c r="AV11" s="18">
        <f>+All_Targets!DQ11</f>
        <v>92.57758702728141</v>
      </c>
      <c r="AW11" s="108">
        <f>+All_Targets!DR11</f>
        <v>-0.93515352547679553</v>
      </c>
      <c r="AX11" s="34">
        <f>+All_Targets!DS11</f>
        <v>20.563844624685988</v>
      </c>
      <c r="AZ11" s="3">
        <f>+All_Targets!DU11</f>
        <v>-0.13</v>
      </c>
      <c r="BA11" s="18">
        <f>+All_Targets!DV11</f>
        <v>275.89078596824714</v>
      </c>
      <c r="BB11" s="108">
        <f>+All_Targets!DW11</f>
        <v>-0.48097412495510672</v>
      </c>
      <c r="BC11" s="36">
        <f>+All_Targets!DX11</f>
        <v>164.59132942987682</v>
      </c>
      <c r="BD11" s="109">
        <f>+All_Targets!DY11</f>
        <v>-0.70806382521595113</v>
      </c>
      <c r="BE11" s="18">
        <f>+All_Targets!DZ11</f>
        <v>92.57758702728141</v>
      </c>
      <c r="BF11" s="108">
        <f>+All_Targets!EA11</f>
        <v>-0.93515352547679553</v>
      </c>
      <c r="BG11" s="34">
        <f>+All_Targets!EB11</f>
        <v>20.563844624685988</v>
      </c>
      <c r="BI11" s="3">
        <f>+All_Targets!F11</f>
        <v>-0.13</v>
      </c>
      <c r="BJ11" s="18">
        <f>+All_Targets!G11</f>
        <v>275.89078596824714</v>
      </c>
      <c r="BK11" s="108">
        <f>+All_Targets!H11</f>
        <v>-0.33</v>
      </c>
      <c r="BL11" s="36">
        <f>+All_Targets!I11</f>
        <v>212.46761678014434</v>
      </c>
      <c r="BM11" s="109">
        <f>+All_Targets!J11</f>
        <v>-0.56500000000000006</v>
      </c>
      <c r="BN11" s="18">
        <f>+All_Targets!K11</f>
        <v>137.94539298412354</v>
      </c>
      <c r="BO11" s="108">
        <f>+All_Targets!L11</f>
        <v>-0.8</v>
      </c>
      <c r="BP11" s="34">
        <f>+All_Targets!M11</f>
        <v>63.423169188102776</v>
      </c>
      <c r="BR11" s="3">
        <f>+All_Targets!O11</f>
        <v>-0.13</v>
      </c>
      <c r="BS11" s="18">
        <f>+All_Targets!P11</f>
        <v>275.89078596824714</v>
      </c>
      <c r="BT11" s="108">
        <f>+All_Targets!Q11</f>
        <v>-0.33</v>
      </c>
      <c r="BU11" s="36">
        <f>+All_Targets!R11</f>
        <v>212.46761678014434</v>
      </c>
      <c r="BV11" s="109">
        <f>+All_Targets!S11</f>
        <v>-0.56500000000000006</v>
      </c>
      <c r="BW11" s="18">
        <f>+All_Targets!T11</f>
        <v>137.94539298412354</v>
      </c>
      <c r="BX11" s="108">
        <f>+All_Targets!U11</f>
        <v>-0.8</v>
      </c>
      <c r="BY11" s="34">
        <f>+All_Targets!V11</f>
        <v>63.423169188102776</v>
      </c>
    </row>
    <row r="12" spans="1:77" ht="20.100000000000001" customHeight="1" x14ac:dyDescent="0.25">
      <c r="A12" s="142" t="str">
        <f>+All_Targets!A12</f>
        <v>United Kingdom</v>
      </c>
      <c r="B12" s="84" t="str">
        <f>VLOOKUP($A12,NEWAGE_reg!$A$2:$B$29,2,FALSE)</f>
        <v>UKI</v>
      </c>
      <c r="C12" s="84"/>
      <c r="D12" s="121">
        <f>+All_Targets!C12</f>
        <v>371.25626846062266</v>
      </c>
      <c r="E12" s="131">
        <f>+All_Targets!D12</f>
        <v>318.03906884435668</v>
      </c>
      <c r="G12" s="9">
        <f>+All_Targets!AS12</f>
        <v>-0.16</v>
      </c>
      <c r="H12" s="80">
        <f>+All_Targets!AT12</f>
        <v>311.85526550692305</v>
      </c>
      <c r="I12" s="110">
        <f>+All_Targets!AU12</f>
        <v>-0.37</v>
      </c>
      <c r="J12" s="38">
        <f>+All_Targets!AV12</f>
        <v>233.89144913019229</v>
      </c>
      <c r="K12" s="111">
        <f>+All_Targets!AW12</f>
        <v>-0.58499999999999996</v>
      </c>
      <c r="L12" s="80">
        <f>+All_Targets!AX12</f>
        <v>154.07135141115842</v>
      </c>
      <c r="M12" s="110">
        <f>+All_Targets!AY12</f>
        <v>-0.8</v>
      </c>
      <c r="N12" s="35">
        <f>+All_Targets!AZ12</f>
        <v>74.251253692124521</v>
      </c>
      <c r="P12" s="9">
        <f>+All_Targets!BB12</f>
        <v>-0.16</v>
      </c>
      <c r="Q12" s="80">
        <f>+All_Targets!BC12</f>
        <v>311.85526550692305</v>
      </c>
      <c r="R12" s="110">
        <f>+All_Targets!BD12</f>
        <v>-0.37</v>
      </c>
      <c r="S12" s="38">
        <f>+All_Targets!BE12</f>
        <v>233.89144913019229</v>
      </c>
      <c r="T12" s="111">
        <f>+All_Targets!BF12</f>
        <v>-0.58499999999999996</v>
      </c>
      <c r="U12" s="80">
        <f>+All_Targets!BG12</f>
        <v>154.07135141115842</v>
      </c>
      <c r="V12" s="110">
        <f>+All_Targets!BH12</f>
        <v>-0.8</v>
      </c>
      <c r="W12" s="35">
        <f>+All_Targets!BI12</f>
        <v>74.251253692124521</v>
      </c>
      <c r="Y12" s="9">
        <f>+All_Targets!CM12</f>
        <v>-0.16</v>
      </c>
      <c r="Z12" s="80">
        <f>+All_Targets!CN12</f>
        <v>311.85526550692305</v>
      </c>
      <c r="AA12" s="110">
        <f>+All_Targets!CO12</f>
        <v>-0.37</v>
      </c>
      <c r="AB12" s="38">
        <f>+All_Targets!CP12</f>
        <v>233.89144913019229</v>
      </c>
      <c r="AC12" s="111">
        <f>+All_Targets!CQ12</f>
        <v>-0.65342256909204643</v>
      </c>
      <c r="AD12" s="80">
        <f>+All_Targets!CR12</f>
        <v>128.66904373155612</v>
      </c>
      <c r="AE12" s="110">
        <f>+All_Targets!CS12</f>
        <v>-0.93684513818409287</v>
      </c>
      <c r="AF12" s="35">
        <f>+All_Targets!CT12</f>
        <v>23.446638332919935</v>
      </c>
      <c r="AG12" s="1"/>
      <c r="AH12" s="9">
        <f>+All_Targets!CV12</f>
        <v>-0.16</v>
      </c>
      <c r="AI12" s="80">
        <f>+All_Targets!CW12</f>
        <v>311.85526550692305</v>
      </c>
      <c r="AJ12" s="110">
        <f>+All_Targets!CX12</f>
        <v>-0.37</v>
      </c>
      <c r="AK12" s="38">
        <f>+All_Targets!CY12</f>
        <v>233.89144913019229</v>
      </c>
      <c r="AL12" s="111">
        <f>+All_Targets!CZ12</f>
        <v>-0.65342256909204643</v>
      </c>
      <c r="AM12" s="80">
        <f>+All_Targets!DA12</f>
        <v>128.66904373155612</v>
      </c>
      <c r="AN12" s="110">
        <f>+All_Targets!DB12</f>
        <v>-0.93684513818409287</v>
      </c>
      <c r="AO12" s="35">
        <f>+All_Targets!DC12</f>
        <v>23.446638332919935</v>
      </c>
      <c r="AQ12" s="9">
        <f>+All_Targets!DL12</f>
        <v>-0.16</v>
      </c>
      <c r="AR12" s="80">
        <f>+All_Targets!DM12</f>
        <v>311.85526550692305</v>
      </c>
      <c r="AS12" s="110">
        <f>+All_Targets!DN12</f>
        <v>-0.53927401888905901</v>
      </c>
      <c r="AT12" s="38">
        <f>+All_Targets!DO12</f>
        <v>171.04740853010728</v>
      </c>
      <c r="AU12" s="111">
        <f>+All_Targets!DP12</f>
        <v>-0.74085573183124587</v>
      </c>
      <c r="AV12" s="80">
        <f>+All_Targets!DQ12</f>
        <v>96.208933993290572</v>
      </c>
      <c r="AW12" s="110">
        <f>+All_Targets!DR12</f>
        <v>-0.94243744477343283</v>
      </c>
      <c r="AX12" s="35">
        <f>+All_Targets!DS12</f>
        <v>21.370459456473853</v>
      </c>
      <c r="AZ12" s="9">
        <f>+All_Targets!DU12</f>
        <v>-0.16</v>
      </c>
      <c r="BA12" s="80">
        <f>+All_Targets!DV12</f>
        <v>311.85526550692305</v>
      </c>
      <c r="BB12" s="110">
        <f>+All_Targets!DW12</f>
        <v>-0.53927401888905901</v>
      </c>
      <c r="BC12" s="38">
        <f>+All_Targets!DX12</f>
        <v>171.04740853010728</v>
      </c>
      <c r="BD12" s="111">
        <f>+All_Targets!DY12</f>
        <v>-0.74085573183124587</v>
      </c>
      <c r="BE12" s="80">
        <f>+All_Targets!DZ12</f>
        <v>96.208933993290572</v>
      </c>
      <c r="BF12" s="110">
        <f>+All_Targets!EA12</f>
        <v>-0.94243744477343283</v>
      </c>
      <c r="BG12" s="35">
        <f>+All_Targets!EB12</f>
        <v>21.370459456473853</v>
      </c>
      <c r="BI12" s="9">
        <f>+All_Targets!F12</f>
        <v>-0.16</v>
      </c>
      <c r="BJ12" s="80">
        <f>+All_Targets!G12</f>
        <v>311.85526550692305</v>
      </c>
      <c r="BK12" s="110">
        <f>+All_Targets!H12</f>
        <v>-0.37</v>
      </c>
      <c r="BL12" s="38">
        <f>+All_Targets!I12</f>
        <v>233.89144913019229</v>
      </c>
      <c r="BM12" s="111">
        <f>+All_Targets!J12</f>
        <v>-0.58499999999999996</v>
      </c>
      <c r="BN12" s="80">
        <f>+All_Targets!K12</f>
        <v>154.07135141115839</v>
      </c>
      <c r="BO12" s="110">
        <f>+All_Targets!L12</f>
        <v>-0.8</v>
      </c>
      <c r="BP12" s="35">
        <f>+All_Targets!M12</f>
        <v>74.251253692124521</v>
      </c>
      <c r="BR12" s="9">
        <f>+All_Targets!O12</f>
        <v>-0.16</v>
      </c>
      <c r="BS12" s="80">
        <f>+All_Targets!P12</f>
        <v>311.85526550692305</v>
      </c>
      <c r="BT12" s="110">
        <f>+All_Targets!Q12</f>
        <v>-0.37</v>
      </c>
      <c r="BU12" s="38">
        <f>+All_Targets!R12</f>
        <v>233.89144913019229</v>
      </c>
      <c r="BV12" s="111">
        <f>+All_Targets!S12</f>
        <v>-0.58499999999999996</v>
      </c>
      <c r="BW12" s="80">
        <f>+All_Targets!T12</f>
        <v>154.07135141115842</v>
      </c>
      <c r="BX12" s="110">
        <f>+All_Targets!U12</f>
        <v>-0.8</v>
      </c>
      <c r="BY12" s="35">
        <f>+All_Targets!V12</f>
        <v>74.251253692124521</v>
      </c>
    </row>
    <row r="13" spans="1:77" ht="20.100000000000001" customHeight="1" x14ac:dyDescent="0.25">
      <c r="A13" s="140" t="str">
        <f>+All_Targets!A13</f>
        <v>Germany</v>
      </c>
      <c r="B13" s="88" t="str">
        <f>VLOOKUP($A13,NEWAGE_reg!$A$2:$B$29,2,FALSE)</f>
        <v>DEU</v>
      </c>
      <c r="C13" s="88"/>
      <c r="D13" s="120">
        <f>+All_Targets!C13</f>
        <v>456.99798580231436</v>
      </c>
      <c r="E13" s="129">
        <f>+All_Targets!D13</f>
        <v>431.12531818257122</v>
      </c>
      <c r="G13" s="8">
        <f>+All_Targets!AS13</f>
        <v>-0.14000000000000001</v>
      </c>
      <c r="H13" s="79">
        <f>+All_Targets!AT13</f>
        <v>393.01826778999032</v>
      </c>
      <c r="I13" s="107">
        <f>+All_Targets!AU13</f>
        <v>-0.38</v>
      </c>
      <c r="J13" s="37">
        <f>+All_Targets!AV13</f>
        <v>283.33875119743487</v>
      </c>
      <c r="K13" s="103">
        <f>+All_Targets!AW13</f>
        <v>-0.59000000000000008</v>
      </c>
      <c r="L13" s="79">
        <f>+All_Targets!AX13</f>
        <v>187.36917417894884</v>
      </c>
      <c r="M13" s="107">
        <f>+All_Targets!AY13</f>
        <v>-0.8</v>
      </c>
      <c r="N13" s="63">
        <f>+All_Targets!AZ13</f>
        <v>91.399597160462847</v>
      </c>
      <c r="P13" s="8">
        <f>+All_Targets!BB13</f>
        <v>-0.14000000000000001</v>
      </c>
      <c r="Q13" s="79">
        <f>+All_Targets!BC13</f>
        <v>393.01826778999032</v>
      </c>
      <c r="R13" s="107">
        <f>+All_Targets!BD13</f>
        <v>-0.38</v>
      </c>
      <c r="S13" s="37">
        <f>+All_Targets!BE13</f>
        <v>283.33875119743487</v>
      </c>
      <c r="T13" s="103">
        <f>+All_Targets!BF13</f>
        <v>-0.59000000000000008</v>
      </c>
      <c r="U13" s="79">
        <f>+All_Targets!BG13</f>
        <v>187.36917417894884</v>
      </c>
      <c r="V13" s="107">
        <f>+All_Targets!BH13</f>
        <v>-0.8</v>
      </c>
      <c r="W13" s="63">
        <f>+All_Targets!BI13</f>
        <v>91.399597160462847</v>
      </c>
      <c r="Y13" s="8">
        <f>+All_Targets!CM13</f>
        <v>-0.14000000000000001</v>
      </c>
      <c r="Z13" s="79">
        <f>+All_Targets!CN13</f>
        <v>393.01826778999032</v>
      </c>
      <c r="AA13" s="107">
        <f>+All_Targets!CO13</f>
        <v>-0.38000000000000012</v>
      </c>
      <c r="AB13" s="37">
        <f>+All_Targets!CP13</f>
        <v>283.33875119743487</v>
      </c>
      <c r="AC13" s="103">
        <f>+All_Targets!CQ13</f>
        <v>-0.65892379815407753</v>
      </c>
      <c r="AD13" s="79">
        <f>+All_Targets!CR13</f>
        <v>155.87113724869019</v>
      </c>
      <c r="AE13" s="107">
        <f>+All_Targets!CS13</f>
        <v>-0.93784759630815495</v>
      </c>
      <c r="AF13" s="63">
        <f>+All_Targets!CT13</f>
        <v>28.403523299945526</v>
      </c>
      <c r="AG13" s="1"/>
      <c r="AH13" s="8">
        <f>+All_Targets!CV13</f>
        <v>-0.14000000000000001</v>
      </c>
      <c r="AI13" s="79">
        <f>+All_Targets!CW13</f>
        <v>393.01826778999032</v>
      </c>
      <c r="AJ13" s="107">
        <f>+All_Targets!CX13</f>
        <v>-0.38000000000000012</v>
      </c>
      <c r="AK13" s="37">
        <f>+All_Targets!CY13</f>
        <v>283.33875119743487</v>
      </c>
      <c r="AL13" s="103">
        <f>+All_Targets!CZ13</f>
        <v>-0.65892379815407753</v>
      </c>
      <c r="AM13" s="79">
        <f>+All_Targets!DA13</f>
        <v>155.87113724869019</v>
      </c>
      <c r="AN13" s="107">
        <f>+All_Targets!DB13</f>
        <v>-0.93784759630815495</v>
      </c>
      <c r="AO13" s="63">
        <f>+All_Targets!DC13</f>
        <v>28.403523299945526</v>
      </c>
      <c r="AQ13" s="8">
        <f>+All_Targets!DL13</f>
        <v>-0.14000000000000001</v>
      </c>
      <c r="AR13" s="79">
        <f>+All_Targets!DM13</f>
        <v>393.01826778999032</v>
      </c>
      <c r="AS13" s="107">
        <f>+All_Targets!DN13</f>
        <v>-0.55384899237254714</v>
      </c>
      <c r="AT13" s="37">
        <f>+All_Targets!DO13</f>
        <v>203.89011184941893</v>
      </c>
      <c r="AU13" s="103">
        <f>+All_Targets!DP13</f>
        <v>-0.74905370848506969</v>
      </c>
      <c r="AV13" s="79">
        <f>+All_Targets!DQ13</f>
        <v>114.68194976688358</v>
      </c>
      <c r="AW13" s="107">
        <f>+All_Targets!DR13</f>
        <v>-0.94425842459759213</v>
      </c>
      <c r="AX13" s="63">
        <f>+All_Targets!DS13</f>
        <v>25.473787684348224</v>
      </c>
      <c r="AZ13" s="8">
        <f>+All_Targets!DU13</f>
        <v>-0.14000000000000001</v>
      </c>
      <c r="BA13" s="79">
        <f>+All_Targets!DV13</f>
        <v>393.01826778999032</v>
      </c>
      <c r="BB13" s="107">
        <f>+All_Targets!DW13</f>
        <v>-0.55384899237254714</v>
      </c>
      <c r="BC13" s="37">
        <f>+All_Targets!DX13</f>
        <v>203.89011184941893</v>
      </c>
      <c r="BD13" s="103">
        <f>+All_Targets!DY13</f>
        <v>-0.74905370848506969</v>
      </c>
      <c r="BE13" s="79">
        <f>+All_Targets!DZ13</f>
        <v>114.68194976688358</v>
      </c>
      <c r="BF13" s="107">
        <f>+All_Targets!EA13</f>
        <v>-0.94425842459759213</v>
      </c>
      <c r="BG13" s="63">
        <f>+All_Targets!EB13</f>
        <v>25.473787684348224</v>
      </c>
      <c r="BI13" s="8">
        <f>+All_Targets!F13</f>
        <v>-0.14000000000000001</v>
      </c>
      <c r="BJ13" s="79">
        <f>+All_Targets!G13</f>
        <v>393.01826778999032</v>
      </c>
      <c r="BK13" s="107">
        <f>+All_Targets!H13</f>
        <v>-0.38</v>
      </c>
      <c r="BL13" s="37">
        <f>+All_Targets!I13</f>
        <v>283.33875119743487</v>
      </c>
      <c r="BM13" s="103">
        <f>+All_Targets!J13</f>
        <v>-0.59000000000000008</v>
      </c>
      <c r="BN13" s="79">
        <f>+All_Targets!K13</f>
        <v>187.36917417894887</v>
      </c>
      <c r="BO13" s="107">
        <f>+All_Targets!L13</f>
        <v>-0.8</v>
      </c>
      <c r="BP13" s="63">
        <f>+All_Targets!M13</f>
        <v>91.399597160462847</v>
      </c>
      <c r="BR13" s="8">
        <f>+All_Targets!O13</f>
        <v>-0.14000000000000001</v>
      </c>
      <c r="BS13" s="79">
        <f>+All_Targets!P13</f>
        <v>393.01826778999032</v>
      </c>
      <c r="BT13" s="107">
        <f>+All_Targets!Q13</f>
        <v>-0.38</v>
      </c>
      <c r="BU13" s="37">
        <f>+All_Targets!R13</f>
        <v>283.33875119743487</v>
      </c>
      <c r="BV13" s="103">
        <f>+All_Targets!S13</f>
        <v>-0.59000000000000008</v>
      </c>
      <c r="BW13" s="79">
        <f>+All_Targets!T13</f>
        <v>187.36917417894884</v>
      </c>
      <c r="BX13" s="107">
        <f>+All_Targets!U13</f>
        <v>-0.8</v>
      </c>
      <c r="BY13" s="63">
        <f>+All_Targets!V13</f>
        <v>91.399597160462847</v>
      </c>
    </row>
    <row r="14" spans="1:77" ht="20.100000000000001" customHeight="1" x14ac:dyDescent="0.25">
      <c r="A14" s="141" t="str">
        <f>+All_Targets!A14</f>
        <v>Netherlands</v>
      </c>
      <c r="B14" s="87" t="str">
        <f>VLOOKUP($A14,NEWAGE_reg!$A$2:$B$29,2,FALSE)</f>
        <v>BNL</v>
      </c>
      <c r="C14" s="87"/>
      <c r="D14" s="119">
        <f>+All_Targets!C14</f>
        <v>116.30256458529367</v>
      </c>
      <c r="E14" s="130">
        <f>+All_Targets!D14</f>
        <v>113.25331740070762</v>
      </c>
      <c r="G14" s="3">
        <f>+All_Targets!AS14</f>
        <v>-0.16</v>
      </c>
      <c r="H14" s="18">
        <f>+All_Targets!AT14</f>
        <v>97.69415425164668</v>
      </c>
      <c r="I14" s="108">
        <f>+All_Targets!AU14</f>
        <v>-0.36</v>
      </c>
      <c r="J14" s="36">
        <f>+All_Targets!AV14</f>
        <v>74.433641334587946</v>
      </c>
      <c r="K14" s="109">
        <f>+All_Targets!AW14</f>
        <v>-0.58000000000000007</v>
      </c>
      <c r="L14" s="18">
        <f>+All_Targets!AX14</f>
        <v>48.847077125823333</v>
      </c>
      <c r="M14" s="108">
        <f>+All_Targets!AY14</f>
        <v>-0.8</v>
      </c>
      <c r="N14" s="34">
        <f>+All_Targets!AZ14</f>
        <v>23.26051291705873</v>
      </c>
      <c r="P14" s="3">
        <f>+All_Targets!BB14</f>
        <v>-0.16</v>
      </c>
      <c r="Q14" s="18">
        <f>+All_Targets!BC14</f>
        <v>97.69415425164668</v>
      </c>
      <c r="R14" s="108">
        <f>+All_Targets!BD14</f>
        <v>-0.36</v>
      </c>
      <c r="S14" s="36">
        <f>+All_Targets!BE14</f>
        <v>74.433641334587946</v>
      </c>
      <c r="T14" s="109">
        <f>+All_Targets!BF14</f>
        <v>-0.58000000000000007</v>
      </c>
      <c r="U14" s="18">
        <f>+All_Targets!BG14</f>
        <v>48.847077125823333</v>
      </c>
      <c r="V14" s="108">
        <f>+All_Targets!BH14</f>
        <v>-0.8</v>
      </c>
      <c r="W14" s="34">
        <f>+All_Targets!BI14</f>
        <v>23.26051291705873</v>
      </c>
      <c r="Y14" s="3">
        <f>+All_Targets!CM14</f>
        <v>-0.16</v>
      </c>
      <c r="Z14" s="18">
        <f>+All_Targets!CN14</f>
        <v>97.69415425164668</v>
      </c>
      <c r="AA14" s="108">
        <f>+All_Targets!CO14</f>
        <v>-0.36</v>
      </c>
      <c r="AB14" s="36">
        <f>+All_Targets!CP14</f>
        <v>74.433641334587946</v>
      </c>
      <c r="AC14" s="109">
        <f>+All_Targets!CQ14</f>
        <v>-0.64792134003001545</v>
      </c>
      <c r="AD14" s="18">
        <f>+All_Targets!CR14</f>
        <v>40.947651090262774</v>
      </c>
      <c r="AE14" s="108">
        <f>+All_Targets!CS14</f>
        <v>-0.93584268006003091</v>
      </c>
      <c r="AF14" s="34">
        <f>+All_Targets!CT14</f>
        <v>7.4616608459376073</v>
      </c>
      <c r="AG14" s="1"/>
      <c r="AH14" s="3">
        <f>+All_Targets!CV14</f>
        <v>-0.16</v>
      </c>
      <c r="AI14" s="18">
        <f>+All_Targets!CW14</f>
        <v>97.69415425164668</v>
      </c>
      <c r="AJ14" s="108">
        <f>+All_Targets!CX14</f>
        <v>-0.36</v>
      </c>
      <c r="AK14" s="36">
        <f>+All_Targets!CY14</f>
        <v>74.433641334587946</v>
      </c>
      <c r="AL14" s="109">
        <f>+All_Targets!CZ14</f>
        <v>-0.64792134003001545</v>
      </c>
      <c r="AM14" s="18">
        <f>+All_Targets!DA14</f>
        <v>40.947651090262774</v>
      </c>
      <c r="AN14" s="108">
        <f>+All_Targets!DB14</f>
        <v>-0.93584268006003091</v>
      </c>
      <c r="AO14" s="34">
        <f>+All_Targets!DC14</f>
        <v>7.4616608459376073</v>
      </c>
      <c r="AQ14" s="3">
        <f>+All_Targets!DL14</f>
        <v>-0.16</v>
      </c>
      <c r="AR14" s="18">
        <f>+All_Targets!DM14</f>
        <v>97.69415425164668</v>
      </c>
      <c r="AS14" s="108">
        <f>+All_Targets!DN14</f>
        <v>-0.52469904540557089</v>
      </c>
      <c r="AT14" s="36">
        <f>+All_Targets!DO14</f>
        <v>55.278719969170325</v>
      </c>
      <c r="AU14" s="109">
        <f>+All_Targets!DP14</f>
        <v>-0.73265775517742215</v>
      </c>
      <c r="AV14" s="18">
        <f>+All_Targets!DQ14</f>
        <v>31.092588694855252</v>
      </c>
      <c r="AW14" s="108">
        <f>+All_Targets!DR14</f>
        <v>-0.94061646494927342</v>
      </c>
      <c r="AX14" s="34">
        <f>+All_Targets!DS14</f>
        <v>6.9064574205401748</v>
      </c>
      <c r="AZ14" s="3">
        <f>+All_Targets!DU14</f>
        <v>-0.16</v>
      </c>
      <c r="BA14" s="18">
        <f>+All_Targets!DV14</f>
        <v>97.69415425164668</v>
      </c>
      <c r="BB14" s="108">
        <f>+All_Targets!DW14</f>
        <v>-0.52469904540557089</v>
      </c>
      <c r="BC14" s="36">
        <f>+All_Targets!DX14</f>
        <v>55.278719969170325</v>
      </c>
      <c r="BD14" s="109">
        <f>+All_Targets!DY14</f>
        <v>-0.73265775517742215</v>
      </c>
      <c r="BE14" s="18">
        <f>+All_Targets!DZ14</f>
        <v>31.092588694855252</v>
      </c>
      <c r="BF14" s="108">
        <f>+All_Targets!EA14</f>
        <v>-0.94061646494927342</v>
      </c>
      <c r="BG14" s="34">
        <f>+All_Targets!EB14</f>
        <v>6.9064574205401748</v>
      </c>
      <c r="BI14" s="3">
        <f>+All_Targets!F14</f>
        <v>-0.16</v>
      </c>
      <c r="BJ14" s="18">
        <f>+All_Targets!G14</f>
        <v>97.69415425164668</v>
      </c>
      <c r="BK14" s="108">
        <f>+All_Targets!H14</f>
        <v>-0.36</v>
      </c>
      <c r="BL14" s="36">
        <f>+All_Targets!I14</f>
        <v>74.433641334587946</v>
      </c>
      <c r="BM14" s="109">
        <f>+All_Targets!J14</f>
        <v>-0.58000000000000007</v>
      </c>
      <c r="BN14" s="18">
        <f>+All_Targets!K14</f>
        <v>48.84707712582334</v>
      </c>
      <c r="BO14" s="108">
        <f>+All_Targets!L14</f>
        <v>-0.8</v>
      </c>
      <c r="BP14" s="34">
        <f>+All_Targets!M14</f>
        <v>23.26051291705873</v>
      </c>
      <c r="BR14" s="3">
        <f>+All_Targets!O14</f>
        <v>-0.16</v>
      </c>
      <c r="BS14" s="18">
        <f>+All_Targets!P14</f>
        <v>97.69415425164668</v>
      </c>
      <c r="BT14" s="108">
        <f>+All_Targets!Q14</f>
        <v>-0.36</v>
      </c>
      <c r="BU14" s="36">
        <f>+All_Targets!R14</f>
        <v>74.433641334587946</v>
      </c>
      <c r="BV14" s="109">
        <f>+All_Targets!S14</f>
        <v>-0.58000000000000007</v>
      </c>
      <c r="BW14" s="18">
        <f>+All_Targets!T14</f>
        <v>48.847077125823333</v>
      </c>
      <c r="BX14" s="108">
        <f>+All_Targets!U14</f>
        <v>-0.8</v>
      </c>
      <c r="BY14" s="34">
        <f>+All_Targets!V14</f>
        <v>23.26051291705873</v>
      </c>
    </row>
    <row r="15" spans="1:77" ht="20.100000000000001" customHeight="1" x14ac:dyDescent="0.25">
      <c r="A15" s="141" t="str">
        <f>+All_Targets!A15</f>
        <v>Belgium</v>
      </c>
      <c r="B15" s="84" t="str">
        <f>VLOOKUP($A15,NEWAGE_reg!$A$2:$B$29,2,FALSE)</f>
        <v>BNL</v>
      </c>
      <c r="C15" s="84"/>
      <c r="D15" s="119">
        <f>+All_Targets!C15</f>
        <v>76.607053547742652</v>
      </c>
      <c r="E15" s="130">
        <f>+All_Targets!D15</f>
        <v>71.89596836154935</v>
      </c>
      <c r="G15" s="3">
        <f>+All_Targets!AS15</f>
        <v>-0.15</v>
      </c>
      <c r="H15" s="18">
        <f>+All_Targets!AT15</f>
        <v>65.115995515581247</v>
      </c>
      <c r="I15" s="108">
        <f>+All_Targets!AU15</f>
        <v>-0.35</v>
      </c>
      <c r="J15" s="36">
        <f>+All_Targets!AV15</f>
        <v>49.794584806032724</v>
      </c>
      <c r="K15" s="109">
        <f>+All_Targets!AW15</f>
        <v>-0.57499999999999996</v>
      </c>
      <c r="L15" s="18">
        <f>+All_Targets!AX15</f>
        <v>32.557997757790631</v>
      </c>
      <c r="M15" s="108">
        <f>+All_Targets!AY15</f>
        <v>-0.8</v>
      </c>
      <c r="N15" s="34">
        <f>+All_Targets!AZ15</f>
        <v>15.321410709548527</v>
      </c>
      <c r="P15" s="3">
        <f>+All_Targets!BB15</f>
        <v>-0.15</v>
      </c>
      <c r="Q15" s="18">
        <f>+All_Targets!BC15</f>
        <v>65.115995515581247</v>
      </c>
      <c r="R15" s="108">
        <f>+All_Targets!BD15</f>
        <v>-0.35</v>
      </c>
      <c r="S15" s="36">
        <f>+All_Targets!BE15</f>
        <v>49.794584806032724</v>
      </c>
      <c r="T15" s="109">
        <f>+All_Targets!BF15</f>
        <v>-0.57499999999999996</v>
      </c>
      <c r="U15" s="18">
        <f>+All_Targets!BG15</f>
        <v>32.557997757790631</v>
      </c>
      <c r="V15" s="108">
        <f>+All_Targets!BH15</f>
        <v>-0.8</v>
      </c>
      <c r="W15" s="34">
        <f>+All_Targets!BI15</f>
        <v>15.321410709548527</v>
      </c>
      <c r="Y15" s="3">
        <f>+All_Targets!CM15</f>
        <v>-0.15</v>
      </c>
      <c r="Z15" s="18">
        <f>+All_Targets!CN15</f>
        <v>65.115995515581247</v>
      </c>
      <c r="AA15" s="108">
        <f>+All_Targets!CO15</f>
        <v>-0.35</v>
      </c>
      <c r="AB15" s="36">
        <f>+All_Targets!CP15</f>
        <v>49.794584806032724</v>
      </c>
      <c r="AC15" s="109">
        <f>+All_Targets!CQ15</f>
        <v>-0.64242011096798435</v>
      </c>
      <c r="AD15" s="18">
        <f>+All_Targets!CR15</f>
        <v>27.393141706671493</v>
      </c>
      <c r="AE15" s="108">
        <f>+All_Targets!CS15</f>
        <v>-0.93484022193596883</v>
      </c>
      <c r="AF15" s="34">
        <f>+All_Targets!CT15</f>
        <v>4.9916986073102603</v>
      </c>
      <c r="AG15" s="1"/>
      <c r="AH15" s="3">
        <f>+All_Targets!CV15</f>
        <v>-0.15</v>
      </c>
      <c r="AI15" s="18">
        <f>+All_Targets!CW15</f>
        <v>65.115995515581247</v>
      </c>
      <c r="AJ15" s="108">
        <f>+All_Targets!CX15</f>
        <v>-0.35</v>
      </c>
      <c r="AK15" s="36">
        <f>+All_Targets!CY15</f>
        <v>49.794584806032724</v>
      </c>
      <c r="AL15" s="109">
        <f>+All_Targets!CZ15</f>
        <v>-0.64242011096798435</v>
      </c>
      <c r="AM15" s="18">
        <f>+All_Targets!DA15</f>
        <v>27.393141706671493</v>
      </c>
      <c r="AN15" s="108">
        <f>+All_Targets!DB15</f>
        <v>-0.93484022193596883</v>
      </c>
      <c r="AO15" s="34">
        <f>+All_Targets!DC15</f>
        <v>4.9916986073102603</v>
      </c>
      <c r="AQ15" s="3">
        <f>+All_Targets!DL15</f>
        <v>-0.15</v>
      </c>
      <c r="AR15" s="18">
        <f>+All_Targets!DM15</f>
        <v>65.115995515581247</v>
      </c>
      <c r="AS15" s="108">
        <f>+All_Targets!DN15</f>
        <v>-0.51012407192208287</v>
      </c>
      <c r="AT15" s="36">
        <f>+All_Targets!DO15</f>
        <v>37.527951454015124</v>
      </c>
      <c r="AU15" s="109">
        <f>+All_Targets!DP15</f>
        <v>-0.72445977852359844</v>
      </c>
      <c r="AV15" s="18">
        <f>+All_Targets!DQ15</f>
        <v>21.108324501199558</v>
      </c>
      <c r="AW15" s="108">
        <f>+All_Targets!DR15</f>
        <v>-0.93879548512511413</v>
      </c>
      <c r="AX15" s="34">
        <f>+All_Targets!DS15</f>
        <v>4.6886975483839928</v>
      </c>
      <c r="AZ15" s="3">
        <f>+All_Targets!DU15</f>
        <v>-0.15</v>
      </c>
      <c r="BA15" s="18">
        <f>+All_Targets!DV15</f>
        <v>65.115995515581247</v>
      </c>
      <c r="BB15" s="108">
        <f>+All_Targets!DW15</f>
        <v>-0.51012407192208287</v>
      </c>
      <c r="BC15" s="36">
        <f>+All_Targets!DX15</f>
        <v>37.527951454015124</v>
      </c>
      <c r="BD15" s="109">
        <f>+All_Targets!DY15</f>
        <v>-0.72445977852359844</v>
      </c>
      <c r="BE15" s="18">
        <f>+All_Targets!DZ15</f>
        <v>21.108324501199558</v>
      </c>
      <c r="BF15" s="108">
        <f>+All_Targets!EA15</f>
        <v>-0.93879548512511413</v>
      </c>
      <c r="BG15" s="34">
        <f>+All_Targets!EB15</f>
        <v>4.6886975483839928</v>
      </c>
      <c r="BI15" s="3">
        <f>+All_Targets!F15</f>
        <v>-0.15</v>
      </c>
      <c r="BJ15" s="18">
        <f>+All_Targets!G15</f>
        <v>65.115995515581247</v>
      </c>
      <c r="BK15" s="108">
        <f>+All_Targets!H15</f>
        <v>-0.35</v>
      </c>
      <c r="BL15" s="36">
        <f>+All_Targets!I15</f>
        <v>49.794584806032724</v>
      </c>
      <c r="BM15" s="109">
        <f>+All_Targets!J15</f>
        <v>-0.57499999999999996</v>
      </c>
      <c r="BN15" s="18">
        <f>+All_Targets!K15</f>
        <v>32.557997757790623</v>
      </c>
      <c r="BO15" s="108">
        <f>+All_Targets!L15</f>
        <v>-0.8</v>
      </c>
      <c r="BP15" s="34">
        <f>+All_Targets!M15</f>
        <v>15.321410709548527</v>
      </c>
      <c r="BR15" s="3">
        <f>+All_Targets!O15</f>
        <v>-0.15</v>
      </c>
      <c r="BS15" s="18">
        <f>+All_Targets!P15</f>
        <v>65.115995515581247</v>
      </c>
      <c r="BT15" s="108">
        <f>+All_Targets!Q15</f>
        <v>-0.35</v>
      </c>
      <c r="BU15" s="36">
        <f>+All_Targets!R15</f>
        <v>49.794584806032724</v>
      </c>
      <c r="BV15" s="109">
        <f>+All_Targets!S15</f>
        <v>-0.57499999999999996</v>
      </c>
      <c r="BW15" s="18">
        <f>+All_Targets!T15</f>
        <v>32.557997757790631</v>
      </c>
      <c r="BX15" s="108">
        <f>+All_Targets!U15</f>
        <v>-0.8</v>
      </c>
      <c r="BY15" s="34">
        <f>+All_Targets!V15</f>
        <v>15.321410709548527</v>
      </c>
    </row>
    <row r="16" spans="1:77" ht="20.100000000000001" customHeight="1" x14ac:dyDescent="0.25">
      <c r="A16" s="141" t="str">
        <f>+All_Targets!A16</f>
        <v>Luxembourg</v>
      </c>
      <c r="B16" s="87" t="str">
        <f>VLOOKUP($A16,NEWAGE_reg!$A$2:$B$29,2,FALSE)</f>
        <v>BNL</v>
      </c>
      <c r="C16" s="87"/>
      <c r="D16" s="119">
        <f>+All_Targets!C16</f>
        <v>9.985399279015807</v>
      </c>
      <c r="E16" s="130">
        <f>+All_Targets!D16</f>
        <v>9.6177830150124066</v>
      </c>
      <c r="G16" s="3">
        <f>+All_Targets!AS16</f>
        <v>-0.2</v>
      </c>
      <c r="H16" s="18">
        <f>+All_Targets!AT16</f>
        <v>7.988319423212646</v>
      </c>
      <c r="I16" s="108">
        <f>+All_Targets!AU16</f>
        <v>-0.4</v>
      </c>
      <c r="J16" s="36">
        <f>+All_Targets!AV16</f>
        <v>5.991239567409484</v>
      </c>
      <c r="K16" s="109">
        <f>+All_Targets!AW16</f>
        <v>-0.60000000000000009</v>
      </c>
      <c r="L16" s="18">
        <f>+All_Targets!AX16</f>
        <v>3.9941597116063221</v>
      </c>
      <c r="M16" s="108">
        <f>+All_Targets!AY16</f>
        <v>-0.8</v>
      </c>
      <c r="N16" s="34">
        <f>+All_Targets!AZ16</f>
        <v>1.9970798558031611</v>
      </c>
      <c r="P16" s="3">
        <f>+All_Targets!BB16</f>
        <v>-0.2</v>
      </c>
      <c r="Q16" s="18">
        <f>+All_Targets!BC16</f>
        <v>7.988319423212646</v>
      </c>
      <c r="R16" s="108">
        <f>+All_Targets!BD16</f>
        <v>-0.4</v>
      </c>
      <c r="S16" s="36">
        <f>+All_Targets!BE16</f>
        <v>5.991239567409484</v>
      </c>
      <c r="T16" s="109">
        <f>+All_Targets!BF16</f>
        <v>-0.60000000000000009</v>
      </c>
      <c r="U16" s="18">
        <f>+All_Targets!BG16</f>
        <v>3.9941597116063221</v>
      </c>
      <c r="V16" s="108">
        <f>+All_Targets!BH16</f>
        <v>-0.8</v>
      </c>
      <c r="W16" s="34">
        <f>+All_Targets!BI16</f>
        <v>1.9970798558031611</v>
      </c>
      <c r="Y16" s="3">
        <f>+All_Targets!CM16</f>
        <v>-0.2</v>
      </c>
      <c r="Z16" s="18">
        <f>+All_Targets!CN16</f>
        <v>7.988319423212646</v>
      </c>
      <c r="AA16" s="108">
        <f>+All_Targets!CO16</f>
        <v>-0.4</v>
      </c>
      <c r="AB16" s="36">
        <f>+All_Targets!CP16</f>
        <v>5.991239567409484</v>
      </c>
      <c r="AC16" s="109">
        <f>+All_Targets!CQ16</f>
        <v>-0.66992625627813951</v>
      </c>
      <c r="AD16" s="18">
        <f>+All_Targets!CR16</f>
        <v>3.2959181225823144</v>
      </c>
      <c r="AE16" s="108">
        <f>+All_Targets!CS16</f>
        <v>-0.939852512556279</v>
      </c>
      <c r="AF16" s="34">
        <f>+All_Targets!CT16</f>
        <v>0.60059667775514447</v>
      </c>
      <c r="AG16" s="1"/>
      <c r="AH16" s="3">
        <f>+All_Targets!CV16</f>
        <v>-0.2</v>
      </c>
      <c r="AI16" s="18">
        <f>+All_Targets!CW16</f>
        <v>7.988319423212646</v>
      </c>
      <c r="AJ16" s="108">
        <f>+All_Targets!CX16</f>
        <v>-0.4</v>
      </c>
      <c r="AK16" s="36">
        <f>+All_Targets!CY16</f>
        <v>5.991239567409484</v>
      </c>
      <c r="AL16" s="109">
        <f>+All_Targets!CZ16</f>
        <v>-0.66992625627813951</v>
      </c>
      <c r="AM16" s="18">
        <f>+All_Targets!DA16</f>
        <v>3.2959181225823144</v>
      </c>
      <c r="AN16" s="108">
        <f>+All_Targets!DB16</f>
        <v>-0.939852512556279</v>
      </c>
      <c r="AO16" s="34">
        <f>+All_Targets!DC16</f>
        <v>0.60059667775514447</v>
      </c>
      <c r="AQ16" s="3">
        <f>+All_Targets!DL16</f>
        <v>-0.2</v>
      </c>
      <c r="AR16" s="18">
        <f>+All_Targets!DM16</f>
        <v>7.988319423212646</v>
      </c>
      <c r="AS16" s="108">
        <f>+All_Targets!DN16</f>
        <v>-0.58299893933952329</v>
      </c>
      <c r="AT16" s="36">
        <f>+All_Targets!DO16</f>
        <v>4.1639220904679508</v>
      </c>
      <c r="AU16" s="109">
        <f>+All_Targets!DP16</f>
        <v>-0.76544966179271712</v>
      </c>
      <c r="AV16" s="18">
        <f>+All_Targets!DQ16</f>
        <v>2.3420787780279171</v>
      </c>
      <c r="AW16" s="108">
        <f>+All_Targets!DR16</f>
        <v>-0.94790038424591083</v>
      </c>
      <c r="AX16" s="34">
        <f>+All_Targets!DS16</f>
        <v>0.52023546558788303</v>
      </c>
      <c r="AZ16" s="3">
        <f>+All_Targets!DU16</f>
        <v>-0.2</v>
      </c>
      <c r="BA16" s="18">
        <f>+All_Targets!DV16</f>
        <v>7.988319423212646</v>
      </c>
      <c r="BB16" s="108">
        <f>+All_Targets!DW16</f>
        <v>-0.58299893933952329</v>
      </c>
      <c r="BC16" s="36">
        <f>+All_Targets!DX16</f>
        <v>4.1639220904679508</v>
      </c>
      <c r="BD16" s="109">
        <f>+All_Targets!DY16</f>
        <v>-0.76544966179271712</v>
      </c>
      <c r="BE16" s="18">
        <f>+All_Targets!DZ16</f>
        <v>2.3420787780279171</v>
      </c>
      <c r="BF16" s="108">
        <f>+All_Targets!EA16</f>
        <v>-0.94790038424591083</v>
      </c>
      <c r="BG16" s="34">
        <f>+All_Targets!EB16</f>
        <v>0.52023546558788303</v>
      </c>
      <c r="BI16" s="3">
        <f>+All_Targets!F16</f>
        <v>-0.2</v>
      </c>
      <c r="BJ16" s="18">
        <f>+All_Targets!G16</f>
        <v>7.988319423212646</v>
      </c>
      <c r="BK16" s="108">
        <f>+All_Targets!H16</f>
        <v>-0.4</v>
      </c>
      <c r="BL16" s="36">
        <f>+All_Targets!I16</f>
        <v>5.991239567409484</v>
      </c>
      <c r="BM16" s="109">
        <f>+All_Targets!J16</f>
        <v>-0.60000000000000009</v>
      </c>
      <c r="BN16" s="18">
        <f>+All_Targets!K16</f>
        <v>3.9941597116063225</v>
      </c>
      <c r="BO16" s="108">
        <f>+All_Targets!L16</f>
        <v>-0.8</v>
      </c>
      <c r="BP16" s="34">
        <f>+All_Targets!M16</f>
        <v>1.9970798558031611</v>
      </c>
      <c r="BR16" s="3">
        <f>+All_Targets!O16</f>
        <v>-0.2</v>
      </c>
      <c r="BS16" s="18">
        <f>+All_Targets!P16</f>
        <v>7.988319423212646</v>
      </c>
      <c r="BT16" s="108">
        <f>+All_Targets!Q16</f>
        <v>-0.4</v>
      </c>
      <c r="BU16" s="36">
        <f>+All_Targets!R16</f>
        <v>5.991239567409484</v>
      </c>
      <c r="BV16" s="109">
        <f>+All_Targets!S16</f>
        <v>-0.60000000000000009</v>
      </c>
      <c r="BW16" s="18">
        <f>+All_Targets!T16</f>
        <v>3.9941597116063221</v>
      </c>
      <c r="BX16" s="108">
        <f>+All_Targets!U16</f>
        <v>-0.8</v>
      </c>
      <c r="BY16" s="34">
        <f>+All_Targets!V16</f>
        <v>1.9970798558031611</v>
      </c>
    </row>
    <row r="17" spans="1:77" ht="20.100000000000001" customHeight="1" x14ac:dyDescent="0.25">
      <c r="A17" s="142" t="str">
        <f>+All_Targets!A17</f>
        <v>Austria</v>
      </c>
      <c r="B17" s="89" t="str">
        <f>VLOOKUP($A17,NEWAGE_reg!$A$2:$B$29,2,FALSE)</f>
        <v>EUS</v>
      </c>
      <c r="C17" s="89"/>
      <c r="D17" s="121">
        <f>+All_Targets!C17</f>
        <v>53.582328793524319</v>
      </c>
      <c r="E17" s="131">
        <f>+All_Targets!D17</f>
        <v>47.777780236196705</v>
      </c>
      <c r="G17" s="9">
        <f>+All_Targets!AS17</f>
        <v>-0.16</v>
      </c>
      <c r="H17" s="80">
        <f>+All_Targets!AT17</f>
        <v>45.009156186560425</v>
      </c>
      <c r="I17" s="110">
        <f>+All_Targets!AU17</f>
        <v>-0.36</v>
      </c>
      <c r="J17" s="38">
        <f>+All_Targets!AV17</f>
        <v>34.292690427855568</v>
      </c>
      <c r="K17" s="111">
        <f>+All_Targets!AW17</f>
        <v>-0.58000000000000007</v>
      </c>
      <c r="L17" s="80">
        <f>+All_Targets!AX17</f>
        <v>22.504578093280209</v>
      </c>
      <c r="M17" s="110">
        <f>+All_Targets!AY17</f>
        <v>-0.8</v>
      </c>
      <c r="N17" s="35">
        <f>+All_Targets!AZ17</f>
        <v>10.716465758704862</v>
      </c>
      <c r="P17" s="9">
        <f>+All_Targets!BB17</f>
        <v>-0.16</v>
      </c>
      <c r="Q17" s="80">
        <f>+All_Targets!BC17</f>
        <v>45.009156186560425</v>
      </c>
      <c r="R17" s="110">
        <f>+All_Targets!BD17</f>
        <v>-0.36</v>
      </c>
      <c r="S17" s="38">
        <f>+All_Targets!BE17</f>
        <v>34.292690427855568</v>
      </c>
      <c r="T17" s="111">
        <f>+All_Targets!BF17</f>
        <v>-0.58000000000000007</v>
      </c>
      <c r="U17" s="80">
        <f>+All_Targets!BG17</f>
        <v>22.504578093280209</v>
      </c>
      <c r="V17" s="110">
        <f>+All_Targets!BH17</f>
        <v>-0.8</v>
      </c>
      <c r="W17" s="35">
        <f>+All_Targets!BI17</f>
        <v>10.716465758704862</v>
      </c>
      <c r="Y17" s="9">
        <f>+All_Targets!CM17</f>
        <v>-0.16</v>
      </c>
      <c r="Z17" s="80">
        <f>+All_Targets!CN17</f>
        <v>45.009156186560425</v>
      </c>
      <c r="AA17" s="110">
        <f>+All_Targets!CO17</f>
        <v>-0.35999999999999988</v>
      </c>
      <c r="AB17" s="38">
        <f>+All_Targets!CP17</f>
        <v>34.292690427855568</v>
      </c>
      <c r="AC17" s="111">
        <f>+All_Targets!CQ17</f>
        <v>-0.64792134003001545</v>
      </c>
      <c r="AD17" s="80">
        <f>+All_Targets!CR17</f>
        <v>18.865194519695162</v>
      </c>
      <c r="AE17" s="110">
        <f>+All_Targets!CS17</f>
        <v>-0.93584268006003091</v>
      </c>
      <c r="AF17" s="35">
        <f>+All_Targets!CT17</f>
        <v>3.4376986115347594</v>
      </c>
      <c r="AG17" s="1"/>
      <c r="AH17" s="9">
        <f>+All_Targets!CV17</f>
        <v>-0.16</v>
      </c>
      <c r="AI17" s="80">
        <f>+All_Targets!CW17</f>
        <v>45.009156186560425</v>
      </c>
      <c r="AJ17" s="110">
        <f>+All_Targets!CX17</f>
        <v>-0.35999999999999988</v>
      </c>
      <c r="AK17" s="38">
        <f>+All_Targets!CY17</f>
        <v>34.292690427855568</v>
      </c>
      <c r="AL17" s="111">
        <f>+All_Targets!CZ17</f>
        <v>-0.64792134003001545</v>
      </c>
      <c r="AM17" s="80">
        <f>+All_Targets!DA17</f>
        <v>18.865194519695162</v>
      </c>
      <c r="AN17" s="110">
        <f>+All_Targets!DB17</f>
        <v>-0.93584268006003091</v>
      </c>
      <c r="AO17" s="35">
        <f>+All_Targets!DC17</f>
        <v>3.4376986115347594</v>
      </c>
      <c r="AQ17" s="9">
        <f>+All_Targets!DL17</f>
        <v>-0.16</v>
      </c>
      <c r="AR17" s="80">
        <f>+All_Targets!DM17</f>
        <v>45.009156186560425</v>
      </c>
      <c r="AS17" s="110">
        <f>+All_Targets!DN17</f>
        <v>-0.52469904540557089</v>
      </c>
      <c r="AT17" s="38">
        <f>+All_Targets!DO17</f>
        <v>25.467732024954678</v>
      </c>
      <c r="AU17" s="111">
        <f>+All_Targets!DP17</f>
        <v>-0.73265775517742215</v>
      </c>
      <c r="AV17" s="80">
        <f>+All_Targets!DQ17</f>
        <v>14.324820062482242</v>
      </c>
      <c r="AW17" s="110">
        <f>+All_Targets!DR17</f>
        <v>-0.94061646494927342</v>
      </c>
      <c r="AX17" s="35">
        <f>+All_Targets!DS17</f>
        <v>3.1819081000098062</v>
      </c>
      <c r="AZ17" s="9">
        <f>+All_Targets!DU17</f>
        <v>-0.16</v>
      </c>
      <c r="BA17" s="80">
        <f>+All_Targets!DV17</f>
        <v>45.009156186560425</v>
      </c>
      <c r="BB17" s="110">
        <f>+All_Targets!DW17</f>
        <v>-0.52469904540557089</v>
      </c>
      <c r="BC17" s="38">
        <f>+All_Targets!DX17</f>
        <v>25.467732024954678</v>
      </c>
      <c r="BD17" s="111">
        <f>+All_Targets!DY17</f>
        <v>-0.73265775517742215</v>
      </c>
      <c r="BE17" s="80">
        <f>+All_Targets!DZ17</f>
        <v>14.324820062482242</v>
      </c>
      <c r="BF17" s="110">
        <f>+All_Targets!EA17</f>
        <v>-0.94061646494927342</v>
      </c>
      <c r="BG17" s="35">
        <f>+All_Targets!EB17</f>
        <v>3.1819081000098062</v>
      </c>
      <c r="BI17" s="9">
        <f>+All_Targets!F17</f>
        <v>-0.16</v>
      </c>
      <c r="BJ17" s="80">
        <f>+All_Targets!G17</f>
        <v>45.009156186560425</v>
      </c>
      <c r="BK17" s="110">
        <f>+All_Targets!H17</f>
        <v>-0.36</v>
      </c>
      <c r="BL17" s="38">
        <f>+All_Targets!I17</f>
        <v>34.292690427855568</v>
      </c>
      <c r="BM17" s="111">
        <f>+All_Targets!J17</f>
        <v>-0.58000000000000007</v>
      </c>
      <c r="BN17" s="80">
        <f>+All_Targets!K17</f>
        <v>22.504578093280216</v>
      </c>
      <c r="BO17" s="110">
        <f>+All_Targets!L17</f>
        <v>-0.8</v>
      </c>
      <c r="BP17" s="35">
        <f>+All_Targets!M17</f>
        <v>10.716465758704862</v>
      </c>
      <c r="BR17" s="9">
        <f>+All_Targets!O17</f>
        <v>-0.16</v>
      </c>
      <c r="BS17" s="80">
        <f>+All_Targets!P17</f>
        <v>45.009156186560425</v>
      </c>
      <c r="BT17" s="110">
        <f>+All_Targets!Q17</f>
        <v>-0.36</v>
      </c>
      <c r="BU17" s="38">
        <f>+All_Targets!R17</f>
        <v>34.292690427855568</v>
      </c>
      <c r="BV17" s="111">
        <f>+All_Targets!S17</f>
        <v>-0.58000000000000007</v>
      </c>
      <c r="BW17" s="80">
        <f>+All_Targets!T17</f>
        <v>22.504578093280209</v>
      </c>
      <c r="BX17" s="110">
        <f>+All_Targets!U17</f>
        <v>-0.8</v>
      </c>
      <c r="BY17" s="35">
        <f>+All_Targets!V17</f>
        <v>10.716465758704862</v>
      </c>
    </row>
    <row r="18" spans="1:77" ht="20.100000000000001" customHeight="1" x14ac:dyDescent="0.25">
      <c r="A18" s="140" t="str">
        <f>+All_Targets!A18</f>
        <v>Denmark</v>
      </c>
      <c r="B18" s="84" t="str">
        <f>VLOOKUP($A18,NEWAGE_reg!$A$2:$B$29,2,FALSE)</f>
        <v>EUN</v>
      </c>
      <c r="C18" s="84"/>
      <c r="D18" s="120">
        <f>+All_Targets!C18</f>
        <v>39.801665551912635</v>
      </c>
      <c r="E18" s="129">
        <f>+All_Targets!D18</f>
        <v>36.801632903157156</v>
      </c>
      <c r="G18" s="8">
        <f>+All_Targets!AS18</f>
        <v>-0.2</v>
      </c>
      <c r="H18" s="79">
        <f>+All_Targets!AT18</f>
        <v>31.84133244153011</v>
      </c>
      <c r="I18" s="107">
        <f>+All_Targets!AU18</f>
        <v>-0.39</v>
      </c>
      <c r="J18" s="37">
        <f>+All_Targets!AV18</f>
        <v>24.279015986666707</v>
      </c>
      <c r="K18" s="103">
        <f>+All_Targets!AW18</f>
        <v>-0.59499999999999997</v>
      </c>
      <c r="L18" s="79">
        <f>+All_Targets!AX18</f>
        <v>16.119674548524618</v>
      </c>
      <c r="M18" s="107">
        <f>+All_Targets!AY18</f>
        <v>-0.8</v>
      </c>
      <c r="N18" s="63">
        <f>+All_Targets!AZ18</f>
        <v>7.9603331103825248</v>
      </c>
      <c r="P18" s="8">
        <f>+All_Targets!BB18</f>
        <v>-0.2</v>
      </c>
      <c r="Q18" s="79">
        <f>+All_Targets!BC18</f>
        <v>31.84133244153011</v>
      </c>
      <c r="R18" s="107">
        <f>+All_Targets!BD18</f>
        <v>-0.39</v>
      </c>
      <c r="S18" s="37">
        <f>+All_Targets!BE18</f>
        <v>24.279015986666707</v>
      </c>
      <c r="T18" s="103">
        <f>+All_Targets!BF18</f>
        <v>-0.59499999999999997</v>
      </c>
      <c r="U18" s="79">
        <f>+All_Targets!BG18</f>
        <v>16.119674548524618</v>
      </c>
      <c r="V18" s="107">
        <f>+All_Targets!BH18</f>
        <v>-0.8</v>
      </c>
      <c r="W18" s="63">
        <f>+All_Targets!BI18</f>
        <v>7.9603331103825248</v>
      </c>
      <c r="Y18" s="8">
        <f>+All_Targets!CM18</f>
        <v>-0.2</v>
      </c>
      <c r="Z18" s="79">
        <f>+All_Targets!CN18</f>
        <v>31.84133244153011</v>
      </c>
      <c r="AA18" s="107">
        <f>+All_Targets!CO18</f>
        <v>-0.39</v>
      </c>
      <c r="AB18" s="37">
        <f>+All_Targets!CP18</f>
        <v>24.279015986666707</v>
      </c>
      <c r="AC18" s="103">
        <f>+All_Targets!CQ18</f>
        <v>-0.66442502721610852</v>
      </c>
      <c r="AD18" s="79">
        <f>+All_Targets!CR18</f>
        <v>13.356442834336635</v>
      </c>
      <c r="AE18" s="107">
        <f>+All_Targets!CS18</f>
        <v>-0.93885005443221692</v>
      </c>
      <c r="AF18" s="63">
        <f>+All_Targets!CT18</f>
        <v>2.4338696820065642</v>
      </c>
      <c r="AG18" s="1"/>
      <c r="AH18" s="8">
        <f>+All_Targets!CV18</f>
        <v>-0.2</v>
      </c>
      <c r="AI18" s="79">
        <f>+All_Targets!CW18</f>
        <v>31.84133244153011</v>
      </c>
      <c r="AJ18" s="107">
        <f>+All_Targets!CX18</f>
        <v>-0.39</v>
      </c>
      <c r="AK18" s="37">
        <f>+All_Targets!CY18</f>
        <v>24.279015986666707</v>
      </c>
      <c r="AL18" s="103">
        <f>+All_Targets!CZ18</f>
        <v>-0.66442502721610852</v>
      </c>
      <c r="AM18" s="79">
        <f>+All_Targets!DA18</f>
        <v>13.356442834336635</v>
      </c>
      <c r="AN18" s="107">
        <f>+All_Targets!DB18</f>
        <v>-0.93885005443221692</v>
      </c>
      <c r="AO18" s="63">
        <f>+All_Targets!DC18</f>
        <v>2.4338696820065642</v>
      </c>
      <c r="AQ18" s="8">
        <f>+All_Targets!DL18</f>
        <v>-0.2</v>
      </c>
      <c r="AR18" s="79">
        <f>+All_Targets!DM18</f>
        <v>31.84133244153011</v>
      </c>
      <c r="AS18" s="107">
        <f>+All_Targets!DN18</f>
        <v>-0.56842396585603527</v>
      </c>
      <c r="AT18" s="37">
        <f>+All_Targets!DO18</f>
        <v>17.177444971218915</v>
      </c>
      <c r="AU18" s="103">
        <f>+All_Targets!DP18</f>
        <v>-0.75725168513889329</v>
      </c>
      <c r="AV18" s="79">
        <f>+All_Targets!DQ18</f>
        <v>9.6617872413921511</v>
      </c>
      <c r="AW18" s="107">
        <f>+All_Targets!DR18</f>
        <v>-0.94607940442175142</v>
      </c>
      <c r="AX18" s="63">
        <f>+All_Targets!DS18</f>
        <v>2.146129511565388</v>
      </c>
      <c r="AZ18" s="8">
        <f>+All_Targets!DU18</f>
        <v>-0.2</v>
      </c>
      <c r="BA18" s="79">
        <f>+All_Targets!DV18</f>
        <v>31.84133244153011</v>
      </c>
      <c r="BB18" s="107">
        <f>+All_Targets!DW18</f>
        <v>-0.56842396585603527</v>
      </c>
      <c r="BC18" s="37">
        <f>+All_Targets!DX18</f>
        <v>17.177444971218915</v>
      </c>
      <c r="BD18" s="103">
        <f>+All_Targets!DY18</f>
        <v>-0.75725168513889329</v>
      </c>
      <c r="BE18" s="79">
        <f>+All_Targets!DZ18</f>
        <v>9.6617872413921511</v>
      </c>
      <c r="BF18" s="107">
        <f>+All_Targets!EA18</f>
        <v>-0.94607940442175142</v>
      </c>
      <c r="BG18" s="63">
        <f>+All_Targets!EB18</f>
        <v>2.146129511565388</v>
      </c>
      <c r="BI18" s="8">
        <f>+All_Targets!F18</f>
        <v>-0.2</v>
      </c>
      <c r="BJ18" s="79">
        <f>+All_Targets!G18</f>
        <v>31.84133244153011</v>
      </c>
      <c r="BK18" s="107">
        <f>+All_Targets!H18</f>
        <v>-0.39</v>
      </c>
      <c r="BL18" s="37">
        <f>+All_Targets!I18</f>
        <v>24.279015986666707</v>
      </c>
      <c r="BM18" s="103">
        <f>+All_Targets!J18</f>
        <v>-0.59499999999999997</v>
      </c>
      <c r="BN18" s="79">
        <f>+All_Targets!K18</f>
        <v>16.119674548524614</v>
      </c>
      <c r="BO18" s="107">
        <f>+All_Targets!L18</f>
        <v>-0.8</v>
      </c>
      <c r="BP18" s="63">
        <f>+All_Targets!M18</f>
        <v>7.9603331103825248</v>
      </c>
      <c r="BR18" s="8">
        <f>+All_Targets!O18</f>
        <v>-0.2</v>
      </c>
      <c r="BS18" s="79">
        <f>+All_Targets!P18</f>
        <v>31.84133244153011</v>
      </c>
      <c r="BT18" s="107">
        <f>+All_Targets!Q18</f>
        <v>-0.39</v>
      </c>
      <c r="BU18" s="37">
        <f>+All_Targets!R18</f>
        <v>24.279015986666707</v>
      </c>
      <c r="BV18" s="103">
        <f>+All_Targets!S18</f>
        <v>-0.59499999999999997</v>
      </c>
      <c r="BW18" s="79">
        <f>+All_Targets!T18</f>
        <v>16.119674548524618</v>
      </c>
      <c r="BX18" s="107">
        <f>+All_Targets!U18</f>
        <v>-0.8</v>
      </c>
      <c r="BY18" s="63">
        <f>+All_Targets!V18</f>
        <v>7.9603331103825248</v>
      </c>
    </row>
    <row r="19" spans="1:77" ht="20.100000000000001" customHeight="1" x14ac:dyDescent="0.25">
      <c r="A19" s="141" t="str">
        <f>+All_Targets!A19</f>
        <v>Sweden</v>
      </c>
      <c r="B19" s="87" t="str">
        <f>VLOOKUP($A19,NEWAGE_reg!$A$2:$B$29,2,FALSE)</f>
        <v>EUN</v>
      </c>
      <c r="C19" s="87"/>
      <c r="D19" s="119">
        <f>+All_Targets!C19</f>
        <v>40.467587669330513</v>
      </c>
      <c r="E19" s="130">
        <f>+All_Targets!D19</f>
        <v>36.733008911579802</v>
      </c>
      <c r="G19" s="3">
        <f>+All_Targets!AS19</f>
        <v>-0.17</v>
      </c>
      <c r="H19" s="18">
        <f>+All_Targets!AT19</f>
        <v>33.588097765544326</v>
      </c>
      <c r="I19" s="108">
        <f>+All_Targets!AU19</f>
        <v>-0.4</v>
      </c>
      <c r="J19" s="36">
        <f>+All_Targets!AV19</f>
        <v>24.280552601598306</v>
      </c>
      <c r="K19" s="109">
        <f>+All_Targets!AW19</f>
        <v>-0.60000000000000009</v>
      </c>
      <c r="L19" s="18">
        <f>+All_Targets!AX19</f>
        <v>16.1870350677322</v>
      </c>
      <c r="M19" s="108">
        <f>+All_Targets!AY19</f>
        <v>-0.8</v>
      </c>
      <c r="N19" s="34">
        <f>+All_Targets!AZ19</f>
        <v>8.0935175338661001</v>
      </c>
      <c r="P19" s="3">
        <f>+All_Targets!BB19</f>
        <v>-0.17</v>
      </c>
      <c r="Q19" s="18">
        <f>+All_Targets!BC19</f>
        <v>33.588097765544326</v>
      </c>
      <c r="R19" s="108">
        <f>+All_Targets!BD19</f>
        <v>-0.4</v>
      </c>
      <c r="S19" s="36">
        <f>+All_Targets!BE19</f>
        <v>24.280552601598306</v>
      </c>
      <c r="T19" s="109">
        <f>+All_Targets!BF19</f>
        <v>-0.60000000000000009</v>
      </c>
      <c r="U19" s="18">
        <f>+All_Targets!BG19</f>
        <v>16.1870350677322</v>
      </c>
      <c r="V19" s="108">
        <f>+All_Targets!BH19</f>
        <v>-0.8</v>
      </c>
      <c r="W19" s="34">
        <f>+All_Targets!BI19</f>
        <v>8.0935175338661001</v>
      </c>
      <c r="Y19" s="3">
        <f>+All_Targets!CM19</f>
        <v>-0.17</v>
      </c>
      <c r="Z19" s="18">
        <f>+All_Targets!CN19</f>
        <v>33.588097765544326</v>
      </c>
      <c r="AA19" s="108">
        <f>+All_Targets!CO19</f>
        <v>-0.4</v>
      </c>
      <c r="AB19" s="36">
        <f>+All_Targets!CP19</f>
        <v>24.280552601598306</v>
      </c>
      <c r="AC19" s="109">
        <f>+All_Targets!CQ19</f>
        <v>-0.66992625627813951</v>
      </c>
      <c r="AD19" s="18">
        <f>+All_Targets!CR19</f>
        <v>13.357288161408523</v>
      </c>
      <c r="AE19" s="108">
        <f>+All_Targets!CS19</f>
        <v>-0.939852512556279</v>
      </c>
      <c r="AF19" s="34">
        <f>+All_Targets!CT19</f>
        <v>2.4340237212187379</v>
      </c>
      <c r="AG19" s="1"/>
      <c r="AH19" s="3">
        <f>+All_Targets!CV19</f>
        <v>-0.17</v>
      </c>
      <c r="AI19" s="18">
        <f>+All_Targets!CW19</f>
        <v>33.588097765544326</v>
      </c>
      <c r="AJ19" s="108">
        <f>+All_Targets!CX19</f>
        <v>-0.4</v>
      </c>
      <c r="AK19" s="36">
        <f>+All_Targets!CY19</f>
        <v>24.280552601598306</v>
      </c>
      <c r="AL19" s="109">
        <f>+All_Targets!CZ19</f>
        <v>-0.66992625627813951</v>
      </c>
      <c r="AM19" s="18">
        <f>+All_Targets!DA19</f>
        <v>13.357288161408523</v>
      </c>
      <c r="AN19" s="108">
        <f>+All_Targets!DB19</f>
        <v>-0.939852512556279</v>
      </c>
      <c r="AO19" s="34">
        <f>+All_Targets!DC19</f>
        <v>2.4340237212187379</v>
      </c>
      <c r="AQ19" s="3">
        <f>+All_Targets!DL19</f>
        <v>-0.17</v>
      </c>
      <c r="AR19" s="18">
        <f>+All_Targets!DM19</f>
        <v>33.588097765544326</v>
      </c>
      <c r="AS19" s="108">
        <f>+All_Targets!DN19</f>
        <v>-0.5829989393395234</v>
      </c>
      <c r="AT19" s="36">
        <f>+All_Targets!DO19</f>
        <v>16.87502698048165</v>
      </c>
      <c r="AU19" s="109">
        <f>+All_Targets!DP19</f>
        <v>-0.76544966179271712</v>
      </c>
      <c r="AV19" s="18">
        <f>+All_Targets!DQ19</f>
        <v>9.4916863742743445</v>
      </c>
      <c r="AW19" s="108">
        <f>+All_Targets!DR19</f>
        <v>-0.94790038424591083</v>
      </c>
      <c r="AX19" s="34">
        <f>+All_Targets!DS19</f>
        <v>2.1083457680670383</v>
      </c>
      <c r="AZ19" s="3">
        <f>+All_Targets!DU19</f>
        <v>-0.17</v>
      </c>
      <c r="BA19" s="18">
        <f>+All_Targets!DV19</f>
        <v>33.588097765544326</v>
      </c>
      <c r="BB19" s="108">
        <f>+All_Targets!DW19</f>
        <v>-0.5829989393395234</v>
      </c>
      <c r="BC19" s="36">
        <f>+All_Targets!DX19</f>
        <v>16.87502698048165</v>
      </c>
      <c r="BD19" s="109">
        <f>+All_Targets!DY19</f>
        <v>-0.76544966179271712</v>
      </c>
      <c r="BE19" s="18">
        <f>+All_Targets!DZ19</f>
        <v>9.4916863742743445</v>
      </c>
      <c r="BF19" s="108">
        <f>+All_Targets!EA19</f>
        <v>-0.94790038424591083</v>
      </c>
      <c r="BG19" s="34">
        <f>+All_Targets!EB19</f>
        <v>2.1083457680670383</v>
      </c>
      <c r="BI19" s="3">
        <f>+All_Targets!F19</f>
        <v>-0.17</v>
      </c>
      <c r="BJ19" s="18">
        <f>+All_Targets!G19</f>
        <v>33.588097765544326</v>
      </c>
      <c r="BK19" s="108">
        <f>+All_Targets!H19</f>
        <v>-0.4</v>
      </c>
      <c r="BL19" s="36">
        <f>+All_Targets!I19</f>
        <v>24.280552601598306</v>
      </c>
      <c r="BM19" s="109">
        <f>+All_Targets!J19</f>
        <v>-0.60000000000000009</v>
      </c>
      <c r="BN19" s="18">
        <f>+All_Targets!K19</f>
        <v>16.187035067732204</v>
      </c>
      <c r="BO19" s="108">
        <f>+All_Targets!L19</f>
        <v>-0.8</v>
      </c>
      <c r="BP19" s="34">
        <f>+All_Targets!M19</f>
        <v>8.0935175338661001</v>
      </c>
      <c r="BR19" s="3">
        <f>+All_Targets!O19</f>
        <v>-0.17</v>
      </c>
      <c r="BS19" s="18">
        <f>+All_Targets!P19</f>
        <v>33.588097765544326</v>
      </c>
      <c r="BT19" s="108">
        <f>+All_Targets!Q19</f>
        <v>-0.4</v>
      </c>
      <c r="BU19" s="36">
        <f>+All_Targets!R19</f>
        <v>24.280552601598306</v>
      </c>
      <c r="BV19" s="109">
        <f>+All_Targets!S19</f>
        <v>-0.60000000000000009</v>
      </c>
      <c r="BW19" s="18">
        <f>+All_Targets!T19</f>
        <v>16.1870350677322</v>
      </c>
      <c r="BX19" s="108">
        <f>+All_Targets!U19</f>
        <v>-0.8</v>
      </c>
      <c r="BY19" s="34">
        <f>+All_Targets!V19</f>
        <v>8.0935175338661001</v>
      </c>
    </row>
    <row r="20" spans="1:77" ht="20.100000000000001" customHeight="1" x14ac:dyDescent="0.25">
      <c r="A20" s="141" t="str">
        <f>+All_Targets!A20</f>
        <v>Finland</v>
      </c>
      <c r="B20" s="87" t="str">
        <f>VLOOKUP($A20,NEWAGE_reg!$A$2:$B$29,2,FALSE)</f>
        <v>EUN</v>
      </c>
      <c r="C20" s="87"/>
      <c r="D20" s="119">
        <f>+All_Targets!C20</f>
        <v>31.398727361953377</v>
      </c>
      <c r="E20" s="130">
        <f>+All_Targets!D20</f>
        <v>29.701056281896527</v>
      </c>
      <c r="G20" s="3">
        <f>+All_Targets!AS20</f>
        <v>-0.16</v>
      </c>
      <c r="H20" s="18">
        <f>+All_Targets!AT20</f>
        <v>26.374930984040834</v>
      </c>
      <c r="I20" s="108">
        <f>+All_Targets!AU20</f>
        <v>-0.39</v>
      </c>
      <c r="J20" s="36">
        <f>+All_Targets!AV20</f>
        <v>19.15322369079156</v>
      </c>
      <c r="K20" s="109">
        <f>+All_Targets!AW20</f>
        <v>-0.59499999999999997</v>
      </c>
      <c r="L20" s="18">
        <f>+All_Targets!AX20</f>
        <v>12.716484581591118</v>
      </c>
      <c r="M20" s="108">
        <f>+All_Targets!AY20</f>
        <v>-0.8</v>
      </c>
      <c r="N20" s="34">
        <f>+All_Targets!AZ20</f>
        <v>6.2797454723906743</v>
      </c>
      <c r="P20" s="3">
        <f>+All_Targets!BB20</f>
        <v>-0.16</v>
      </c>
      <c r="Q20" s="18">
        <f>+All_Targets!BC20</f>
        <v>26.374930984040834</v>
      </c>
      <c r="R20" s="108">
        <f>+All_Targets!BD20</f>
        <v>-0.39</v>
      </c>
      <c r="S20" s="36">
        <f>+All_Targets!BE20</f>
        <v>19.15322369079156</v>
      </c>
      <c r="T20" s="109">
        <f>+All_Targets!BF20</f>
        <v>-0.59499999999999997</v>
      </c>
      <c r="U20" s="18">
        <f>+All_Targets!BG20</f>
        <v>12.716484581591118</v>
      </c>
      <c r="V20" s="108">
        <f>+All_Targets!BH20</f>
        <v>-0.8</v>
      </c>
      <c r="W20" s="34">
        <f>+All_Targets!BI20</f>
        <v>6.2797454723906743</v>
      </c>
      <c r="Y20" s="3">
        <f>+All_Targets!CM20</f>
        <v>-0.16</v>
      </c>
      <c r="Z20" s="18">
        <f>+All_Targets!CN20</f>
        <v>26.374930984040834</v>
      </c>
      <c r="AA20" s="108">
        <f>+All_Targets!CO20</f>
        <v>-0.39</v>
      </c>
      <c r="AB20" s="36">
        <f>+All_Targets!CP20</f>
        <v>19.15322369079156</v>
      </c>
      <c r="AC20" s="109">
        <f>+All_Targets!CQ20</f>
        <v>-0.66442502721610852</v>
      </c>
      <c r="AD20" s="18">
        <f>+All_Targets!CR20</f>
        <v>10.536627079936334</v>
      </c>
      <c r="AE20" s="108">
        <f>+All_Targets!CS20</f>
        <v>-0.93885005443221692</v>
      </c>
      <c r="AF20" s="34">
        <f>+All_Targets!CT20</f>
        <v>1.9200304690811099</v>
      </c>
      <c r="AG20" s="1"/>
      <c r="AH20" s="3">
        <f>+All_Targets!CV20</f>
        <v>-0.16</v>
      </c>
      <c r="AI20" s="18">
        <f>+All_Targets!CW20</f>
        <v>26.374930984040834</v>
      </c>
      <c r="AJ20" s="108">
        <f>+All_Targets!CX20</f>
        <v>-0.39</v>
      </c>
      <c r="AK20" s="36">
        <f>+All_Targets!CY20</f>
        <v>19.15322369079156</v>
      </c>
      <c r="AL20" s="109">
        <f>+All_Targets!CZ20</f>
        <v>-0.66442502721610852</v>
      </c>
      <c r="AM20" s="18">
        <f>+All_Targets!DA20</f>
        <v>10.536627079936334</v>
      </c>
      <c r="AN20" s="108">
        <f>+All_Targets!DB20</f>
        <v>-0.93885005443221692</v>
      </c>
      <c r="AO20" s="34">
        <f>+All_Targets!DC20</f>
        <v>1.9200304690811099</v>
      </c>
      <c r="AQ20" s="3">
        <f>+All_Targets!DL20</f>
        <v>-0.16</v>
      </c>
      <c r="AR20" s="18">
        <f>+All_Targets!DM20</f>
        <v>26.374930984040834</v>
      </c>
      <c r="AS20" s="108">
        <f>+All_Targets!DN20</f>
        <v>-0.56842396585603516</v>
      </c>
      <c r="AT20" s="36">
        <f>+All_Targets!DO20</f>
        <v>13.550938232039433</v>
      </c>
      <c r="AU20" s="109">
        <f>+All_Targets!DP20</f>
        <v>-0.75725168513889329</v>
      </c>
      <c r="AV20" s="18">
        <f>+All_Targets!DQ20</f>
        <v>7.6219881558975047</v>
      </c>
      <c r="AW20" s="108">
        <f>+All_Targets!DR20</f>
        <v>-0.94607940442175142</v>
      </c>
      <c r="AX20" s="34">
        <f>+All_Targets!DS20</f>
        <v>1.6930380797555751</v>
      </c>
      <c r="AZ20" s="3">
        <f>+All_Targets!DU20</f>
        <v>-0.16</v>
      </c>
      <c r="BA20" s="18">
        <f>+All_Targets!DV20</f>
        <v>26.374930984040834</v>
      </c>
      <c r="BB20" s="108">
        <f>+All_Targets!DW20</f>
        <v>-0.56842396585603516</v>
      </c>
      <c r="BC20" s="36">
        <f>+All_Targets!DX20</f>
        <v>13.550938232039433</v>
      </c>
      <c r="BD20" s="109">
        <f>+All_Targets!DY20</f>
        <v>-0.75725168513889329</v>
      </c>
      <c r="BE20" s="18">
        <f>+All_Targets!DZ20</f>
        <v>7.6219881558975047</v>
      </c>
      <c r="BF20" s="108">
        <f>+All_Targets!EA20</f>
        <v>-0.94607940442175142</v>
      </c>
      <c r="BG20" s="34">
        <f>+All_Targets!EB20</f>
        <v>1.6930380797555751</v>
      </c>
      <c r="BI20" s="3">
        <f>+All_Targets!F20</f>
        <v>-0.16</v>
      </c>
      <c r="BJ20" s="18">
        <f>+All_Targets!G20</f>
        <v>26.374930984040834</v>
      </c>
      <c r="BK20" s="108">
        <f>+All_Targets!H20</f>
        <v>-0.39</v>
      </c>
      <c r="BL20" s="36">
        <f>+All_Targets!I20</f>
        <v>19.15322369079156</v>
      </c>
      <c r="BM20" s="109">
        <f>+All_Targets!J20</f>
        <v>-0.59499999999999997</v>
      </c>
      <c r="BN20" s="18">
        <f>+All_Targets!K20</f>
        <v>12.716484581591118</v>
      </c>
      <c r="BO20" s="108">
        <f>+All_Targets!L20</f>
        <v>-0.8</v>
      </c>
      <c r="BP20" s="34">
        <f>+All_Targets!M20</f>
        <v>6.2797454723906743</v>
      </c>
      <c r="BR20" s="3">
        <f>+All_Targets!O20</f>
        <v>-0.16</v>
      </c>
      <c r="BS20" s="18">
        <f>+All_Targets!P20</f>
        <v>26.374930984040834</v>
      </c>
      <c r="BT20" s="108">
        <f>+All_Targets!Q20</f>
        <v>-0.39</v>
      </c>
      <c r="BU20" s="36">
        <f>+All_Targets!R20</f>
        <v>19.15322369079156</v>
      </c>
      <c r="BV20" s="109">
        <f>+All_Targets!S20</f>
        <v>-0.59499999999999997</v>
      </c>
      <c r="BW20" s="18">
        <f>+All_Targets!T20</f>
        <v>12.716484581591118</v>
      </c>
      <c r="BX20" s="108">
        <f>+All_Targets!U20</f>
        <v>-0.8</v>
      </c>
      <c r="BY20" s="34">
        <f>+All_Targets!V20</f>
        <v>6.2797454723906743</v>
      </c>
    </row>
    <row r="21" spans="1:77" ht="20.100000000000001" customHeight="1" x14ac:dyDescent="0.25">
      <c r="A21" s="142" t="str">
        <f>+All_Targets!A21</f>
        <v>Ireland</v>
      </c>
      <c r="B21" s="84" t="str">
        <f>VLOOKUP($A21,NEWAGE_reg!$A$2:$B$29,2,FALSE)</f>
        <v>EUN</v>
      </c>
      <c r="C21" s="84"/>
      <c r="D21" s="121">
        <f>+All_Targets!C21</f>
        <v>45.62653870030416</v>
      </c>
      <c r="E21" s="131">
        <f>+All_Targets!D21</f>
        <v>40.447127860377904</v>
      </c>
      <c r="G21" s="9">
        <f>+All_Targets!AS21</f>
        <v>-0.2</v>
      </c>
      <c r="H21" s="80">
        <f>+All_Targets!AT21</f>
        <v>36.501230960243326</v>
      </c>
      <c r="I21" s="110">
        <f>+All_Targets!AU21</f>
        <v>-0.3</v>
      </c>
      <c r="J21" s="38">
        <f>+All_Targets!AV21</f>
        <v>31.93857709021291</v>
      </c>
      <c r="K21" s="111">
        <f>+All_Targets!AW21</f>
        <v>-0.55000000000000004</v>
      </c>
      <c r="L21" s="80">
        <f>+All_Targets!AX21</f>
        <v>20.531942415136871</v>
      </c>
      <c r="M21" s="110">
        <f>+All_Targets!AY21</f>
        <v>-0.8</v>
      </c>
      <c r="N21" s="35">
        <f>+All_Targets!AZ21</f>
        <v>9.1253077400608298</v>
      </c>
      <c r="P21" s="9">
        <f>+All_Targets!BB21</f>
        <v>-0.2</v>
      </c>
      <c r="Q21" s="80">
        <f>+All_Targets!BC21</f>
        <v>36.501230960243326</v>
      </c>
      <c r="R21" s="110">
        <f>+All_Targets!BD21</f>
        <v>-0.3</v>
      </c>
      <c r="S21" s="38">
        <f>+All_Targets!BE21</f>
        <v>31.93857709021291</v>
      </c>
      <c r="T21" s="111">
        <f>+All_Targets!BF21</f>
        <v>-0.55000000000000004</v>
      </c>
      <c r="U21" s="80">
        <f>+All_Targets!BG21</f>
        <v>20.531942415136871</v>
      </c>
      <c r="V21" s="110">
        <f>+All_Targets!BH21</f>
        <v>-0.8</v>
      </c>
      <c r="W21" s="35">
        <f>+All_Targets!BI21</f>
        <v>9.1253077400608298</v>
      </c>
      <c r="Y21" s="9">
        <f>+All_Targets!CM21</f>
        <v>-0.2</v>
      </c>
      <c r="Z21" s="80">
        <f>+All_Targets!CN21</f>
        <v>36.501230960243326</v>
      </c>
      <c r="AA21" s="110">
        <f>+All_Targets!CO21</f>
        <v>-0.30000000000000004</v>
      </c>
      <c r="AB21" s="38">
        <f>+All_Targets!CP21</f>
        <v>31.93857709021291</v>
      </c>
      <c r="AC21" s="111">
        <f>+All_Targets!CQ21</f>
        <v>-0.61491396565782941</v>
      </c>
      <c r="AD21" s="80">
        <f>+All_Targets!CR21</f>
        <v>17.570142848859703</v>
      </c>
      <c r="AE21" s="110">
        <f>+All_Targets!CS21</f>
        <v>-0.92982793131565877</v>
      </c>
      <c r="AF21" s="35">
        <f>+All_Targets!CT21</f>
        <v>3.2017086075064967</v>
      </c>
      <c r="AG21" s="1"/>
      <c r="AH21" s="9">
        <f>+All_Targets!CV21</f>
        <v>-0.2</v>
      </c>
      <c r="AI21" s="80">
        <f>+All_Targets!CW21</f>
        <v>36.501230960243326</v>
      </c>
      <c r="AJ21" s="110">
        <f>+All_Targets!CX21</f>
        <v>-0.30000000000000004</v>
      </c>
      <c r="AK21" s="38">
        <f>+All_Targets!CY21</f>
        <v>31.93857709021291</v>
      </c>
      <c r="AL21" s="111">
        <f>+All_Targets!CZ21</f>
        <v>-0.61491396565782941</v>
      </c>
      <c r="AM21" s="80">
        <f>+All_Targets!DA21</f>
        <v>17.570142848859703</v>
      </c>
      <c r="AN21" s="110">
        <f>+All_Targets!DB21</f>
        <v>-0.92982793131565877</v>
      </c>
      <c r="AO21" s="35">
        <f>+All_Targets!DC21</f>
        <v>3.2017086075064967</v>
      </c>
      <c r="AQ21" s="9">
        <f>+All_Targets!DL21</f>
        <v>-0.2</v>
      </c>
      <c r="AR21" s="80">
        <f>+All_Targets!DM21</f>
        <v>36.501230960243326</v>
      </c>
      <c r="AS21" s="110">
        <f>+All_Targets!DN21</f>
        <v>-0.43724920450464255</v>
      </c>
      <c r="AT21" s="38">
        <f>+All_Targets!DO21</f>
        <v>25.67637094929588</v>
      </c>
      <c r="AU21" s="111">
        <f>+All_Targets!DP21</f>
        <v>-0.68346989525447999</v>
      </c>
      <c r="AV21" s="80">
        <f>+All_Targets!DQ21</f>
        <v>14.442173073982797</v>
      </c>
      <c r="AW21" s="110">
        <f>+All_Targets!DR21</f>
        <v>-0.92969058600431753</v>
      </c>
      <c r="AX21" s="35">
        <f>+All_Targets!DS21</f>
        <v>3.2079751986697143</v>
      </c>
      <c r="AZ21" s="9">
        <f>+All_Targets!DU21</f>
        <v>-0.2</v>
      </c>
      <c r="BA21" s="80">
        <f>+All_Targets!DV21</f>
        <v>36.501230960243326</v>
      </c>
      <c r="BB21" s="110">
        <f>+All_Targets!DW21</f>
        <v>-0.43724920450464255</v>
      </c>
      <c r="BC21" s="38">
        <f>+All_Targets!DX21</f>
        <v>25.67637094929588</v>
      </c>
      <c r="BD21" s="111">
        <f>+All_Targets!DY21</f>
        <v>-0.68346989525447999</v>
      </c>
      <c r="BE21" s="80">
        <f>+All_Targets!DZ21</f>
        <v>14.442173073982797</v>
      </c>
      <c r="BF21" s="110">
        <f>+All_Targets!EA21</f>
        <v>-0.92969058600431753</v>
      </c>
      <c r="BG21" s="35">
        <f>+All_Targets!EB21</f>
        <v>3.2079751986697143</v>
      </c>
      <c r="BI21" s="9">
        <f>+All_Targets!F21</f>
        <v>-0.2</v>
      </c>
      <c r="BJ21" s="80">
        <f>+All_Targets!G21</f>
        <v>36.501230960243326</v>
      </c>
      <c r="BK21" s="110">
        <f>+All_Targets!H21</f>
        <v>-0.3</v>
      </c>
      <c r="BL21" s="38">
        <f>+All_Targets!I21</f>
        <v>31.93857709021291</v>
      </c>
      <c r="BM21" s="111">
        <f>+All_Targets!J21</f>
        <v>-0.55000000000000004</v>
      </c>
      <c r="BN21" s="80">
        <f>+All_Targets!K21</f>
        <v>20.531942415136868</v>
      </c>
      <c r="BO21" s="110">
        <f>+All_Targets!L21</f>
        <v>-0.8</v>
      </c>
      <c r="BP21" s="35">
        <f>+All_Targets!M21</f>
        <v>9.1253077400608298</v>
      </c>
      <c r="BR21" s="9">
        <f>+All_Targets!O21</f>
        <v>-0.2</v>
      </c>
      <c r="BS21" s="80">
        <f>+All_Targets!P21</f>
        <v>36.501230960243326</v>
      </c>
      <c r="BT21" s="110">
        <f>+All_Targets!Q21</f>
        <v>-0.3</v>
      </c>
      <c r="BU21" s="38">
        <f>+All_Targets!R21</f>
        <v>31.93857709021291</v>
      </c>
      <c r="BV21" s="111">
        <f>+All_Targets!S21</f>
        <v>-0.55000000000000004</v>
      </c>
      <c r="BW21" s="80">
        <f>+All_Targets!T21</f>
        <v>20.531942415136871</v>
      </c>
      <c r="BX21" s="110">
        <f>+All_Targets!U21</f>
        <v>-0.8</v>
      </c>
      <c r="BY21" s="35">
        <f>+All_Targets!V21</f>
        <v>9.1253077400608298</v>
      </c>
    </row>
    <row r="22" spans="1:77" ht="20.100000000000001" customHeight="1" x14ac:dyDescent="0.25">
      <c r="A22" s="140" t="str">
        <f>+All_Targets!A22</f>
        <v>Poland</v>
      </c>
      <c r="B22" s="88" t="str">
        <f>VLOOKUP($A22,NEWAGE_reg!$A$2:$B$29,2,FALSE)</f>
        <v>POL</v>
      </c>
      <c r="C22" s="88"/>
      <c r="D22" s="120">
        <f>+All_Targets!C22</f>
        <v>166.07615926386504</v>
      </c>
      <c r="E22" s="129">
        <f>+All_Targets!D22</f>
        <v>184.75146052804283</v>
      </c>
      <c r="G22" s="8">
        <f>+All_Targets!AS22</f>
        <v>0.14000000000000001</v>
      </c>
      <c r="H22" s="79">
        <f>+All_Targets!AT22</f>
        <v>189.32682156080617</v>
      </c>
      <c r="I22" s="107">
        <f>+All_Targets!AU22</f>
        <v>-7.0000000000000007E-2</v>
      </c>
      <c r="J22" s="37">
        <f>+All_Targets!AV22</f>
        <v>154.45082811539447</v>
      </c>
      <c r="K22" s="103">
        <f>+All_Targets!AW22</f>
        <v>-0.28500000000000003</v>
      </c>
      <c r="L22" s="79">
        <f>+All_Targets!AX22</f>
        <v>118.7444538736635</v>
      </c>
      <c r="M22" s="107">
        <f>+All_Targets!AY22</f>
        <v>-0.5</v>
      </c>
      <c r="N22" s="63">
        <f>+All_Targets!AZ22</f>
        <v>83.038079631932519</v>
      </c>
      <c r="P22" s="8">
        <f>+All_Targets!BB22</f>
        <v>0.14000000000000001</v>
      </c>
      <c r="Q22" s="79">
        <f>+All_Targets!BC22</f>
        <v>189.32682156080617</v>
      </c>
      <c r="R22" s="107">
        <f>+All_Targets!BD22</f>
        <v>-7.0000000000000007E-2</v>
      </c>
      <c r="S22" s="37">
        <f>+All_Targets!BE22</f>
        <v>154.45082811539447</v>
      </c>
      <c r="T22" s="103">
        <f>+All_Targets!BF22</f>
        <v>-0.28500000000000003</v>
      </c>
      <c r="U22" s="79">
        <f>+All_Targets!BG22</f>
        <v>118.7444538736635</v>
      </c>
      <c r="V22" s="107">
        <f>+All_Targets!BH22</f>
        <v>-0.5</v>
      </c>
      <c r="W22" s="63">
        <f>+All_Targets!BI22</f>
        <v>83.038079631932519</v>
      </c>
      <c r="Y22" s="8">
        <f>+All_Targets!CM22</f>
        <v>0.14000000000000001</v>
      </c>
      <c r="Z22" s="79">
        <f>+All_Targets!CN22</f>
        <v>189.32682156080617</v>
      </c>
      <c r="AA22" s="107">
        <f>+All_Targets!CO22</f>
        <v>-7.0000000000000062E-2</v>
      </c>
      <c r="AB22" s="37">
        <f>+All_Targets!CP22</f>
        <v>154.45082811539447</v>
      </c>
      <c r="AC22" s="103">
        <f>+All_Targets!CQ22</f>
        <v>-0.48838569723111624</v>
      </c>
      <c r="AD22" s="79">
        <f>+All_Targets!CR22</f>
        <v>84.966938428316411</v>
      </c>
      <c r="AE22" s="107">
        <f>+All_Targets!CS22</f>
        <v>-0.90677139446223243</v>
      </c>
      <c r="AF22" s="63">
        <f>+All_Targets!CT22</f>
        <v>15.483048741238344</v>
      </c>
      <c r="AG22" s="1"/>
      <c r="AH22" s="8">
        <f>+All_Targets!CV22</f>
        <v>0.14000000000000001</v>
      </c>
      <c r="AI22" s="79">
        <f>+All_Targets!CW22</f>
        <v>189.32682156080617</v>
      </c>
      <c r="AJ22" s="107">
        <f>+All_Targets!CX22</f>
        <v>-7.0000000000000062E-2</v>
      </c>
      <c r="AK22" s="37">
        <f>+All_Targets!CY22</f>
        <v>154.45082811539447</v>
      </c>
      <c r="AL22" s="103">
        <f>+All_Targets!CZ22</f>
        <v>-0.48838569723111624</v>
      </c>
      <c r="AM22" s="79">
        <f>+All_Targets!DA22</f>
        <v>84.966938428316411</v>
      </c>
      <c r="AN22" s="107">
        <f>+All_Targets!DB22</f>
        <v>-0.90677139446223243</v>
      </c>
      <c r="AO22" s="63">
        <f>+All_Targets!DC22</f>
        <v>15.483048741238344</v>
      </c>
      <c r="AQ22" s="8">
        <f>+All_Targets!DL22</f>
        <v>0.14000000000000001</v>
      </c>
      <c r="AR22" s="79">
        <f>+All_Targets!DM22</f>
        <v>189.32682156080617</v>
      </c>
      <c r="AS22" s="107">
        <f>+All_Targets!DN22</f>
        <v>-0.10202481438441668</v>
      </c>
      <c r="AT22" s="37">
        <f>+All_Targets!DO22</f>
        <v>149.13226994129238</v>
      </c>
      <c r="AU22" s="103">
        <f>+All_Targets!DP22</f>
        <v>-0.49491643221653481</v>
      </c>
      <c r="AV22" s="79">
        <f>+All_Targets!DQ22</f>
        <v>83.882339044767932</v>
      </c>
      <c r="AW22" s="107">
        <f>+All_Targets!DR22</f>
        <v>-0.88780805004865293</v>
      </c>
      <c r="AX22" s="63">
        <f>+All_Targets!DS22</f>
        <v>18.632408148243488</v>
      </c>
      <c r="AZ22" s="8">
        <f>+All_Targets!DU22</f>
        <v>0.14000000000000001</v>
      </c>
      <c r="BA22" s="79">
        <f>+All_Targets!DV22</f>
        <v>189.32682156080617</v>
      </c>
      <c r="BB22" s="107">
        <f>+All_Targets!DW22</f>
        <v>-0.10202481438441668</v>
      </c>
      <c r="BC22" s="37">
        <f>+All_Targets!DX22</f>
        <v>149.13226994129238</v>
      </c>
      <c r="BD22" s="103">
        <f>+All_Targets!DY22</f>
        <v>-0.49491643221653481</v>
      </c>
      <c r="BE22" s="79">
        <f>+All_Targets!DZ22</f>
        <v>83.882339044767932</v>
      </c>
      <c r="BF22" s="107">
        <f>+All_Targets!EA22</f>
        <v>-0.88780805004865293</v>
      </c>
      <c r="BG22" s="63">
        <f>+All_Targets!EB22</f>
        <v>18.632408148243488</v>
      </c>
      <c r="BI22" s="8">
        <f>+All_Targets!F22</f>
        <v>0.14000000000000001</v>
      </c>
      <c r="BJ22" s="79">
        <f>+All_Targets!G22</f>
        <v>189.32682156080617</v>
      </c>
      <c r="BK22" s="107">
        <f>+All_Targets!H22</f>
        <v>-7.0000000000000007E-2</v>
      </c>
      <c r="BL22" s="37">
        <f>+All_Targets!I22</f>
        <v>154.45082811539447</v>
      </c>
      <c r="BM22" s="103">
        <f>+All_Targets!J22</f>
        <v>-0.28500000000000003</v>
      </c>
      <c r="BN22" s="79">
        <f>+All_Targets!K22</f>
        <v>118.7444538736635</v>
      </c>
      <c r="BO22" s="107">
        <f>+All_Targets!L22</f>
        <v>-0.5</v>
      </c>
      <c r="BP22" s="63">
        <f>+All_Targets!M22</f>
        <v>83.038079631932519</v>
      </c>
      <c r="BR22" s="8">
        <f>+All_Targets!O22</f>
        <v>0.14000000000000001</v>
      </c>
      <c r="BS22" s="79">
        <f>+All_Targets!P22</f>
        <v>189.32682156080617</v>
      </c>
      <c r="BT22" s="107">
        <f>+All_Targets!Q22</f>
        <v>-7.0000000000000007E-2</v>
      </c>
      <c r="BU22" s="37">
        <f>+All_Targets!R22</f>
        <v>154.45082811539447</v>
      </c>
      <c r="BV22" s="103">
        <f>+All_Targets!S22</f>
        <v>-0.28500000000000003</v>
      </c>
      <c r="BW22" s="79">
        <f>+All_Targets!T22</f>
        <v>118.7444538736635</v>
      </c>
      <c r="BX22" s="107">
        <f>+All_Targets!U22</f>
        <v>-0.5</v>
      </c>
      <c r="BY22" s="63">
        <f>+All_Targets!V22</f>
        <v>83.038079631932519</v>
      </c>
    </row>
    <row r="23" spans="1:77" ht="20.100000000000001" customHeight="1" x14ac:dyDescent="0.25">
      <c r="A23" s="142" t="str">
        <f>+All_Targets!A23</f>
        <v>Czech Republic</v>
      </c>
      <c r="B23" s="89" t="str">
        <f>VLOOKUP($A23,NEWAGE_reg!$A$2:$B$29,2,FALSE)</f>
        <v>EUS</v>
      </c>
      <c r="C23" s="89"/>
      <c r="D23" s="121">
        <f>+All_Targets!C23</f>
        <v>57.484230052062543</v>
      </c>
      <c r="E23" s="131">
        <f>+All_Targets!D23</f>
        <v>56.367440459263037</v>
      </c>
      <c r="G23" s="9">
        <f>+All_Targets!AS23</f>
        <v>0.09</v>
      </c>
      <c r="H23" s="80">
        <f>+All_Targets!AT23</f>
        <v>62.657810756748177</v>
      </c>
      <c r="I23" s="110">
        <f>+All_Targets!AU23</f>
        <v>-0.14000000000000001</v>
      </c>
      <c r="J23" s="38">
        <f>+All_Targets!AV23</f>
        <v>49.436437844773785</v>
      </c>
      <c r="K23" s="111">
        <f>+All_Targets!AW23</f>
        <v>-0.32</v>
      </c>
      <c r="L23" s="80">
        <f>+All_Targets!AX23</f>
        <v>39.089276435402525</v>
      </c>
      <c r="M23" s="110">
        <f>+All_Targets!AY23</f>
        <v>-0.5</v>
      </c>
      <c r="N23" s="35">
        <f>+All_Targets!AZ23</f>
        <v>28.742115026031271</v>
      </c>
      <c r="P23" s="9">
        <f>+All_Targets!BB23</f>
        <v>0.09</v>
      </c>
      <c r="Q23" s="80">
        <f>+All_Targets!BC23</f>
        <v>62.657810756748177</v>
      </c>
      <c r="R23" s="110">
        <f>+All_Targets!BD23</f>
        <v>-0.14000000000000001</v>
      </c>
      <c r="S23" s="38">
        <f>+All_Targets!BE23</f>
        <v>49.436437844773785</v>
      </c>
      <c r="T23" s="111">
        <f>+All_Targets!BF23</f>
        <v>-0.32</v>
      </c>
      <c r="U23" s="80">
        <f>+All_Targets!BG23</f>
        <v>39.089276435402525</v>
      </c>
      <c r="V23" s="110">
        <f>+All_Targets!BH23</f>
        <v>-0.5</v>
      </c>
      <c r="W23" s="35">
        <f>+All_Targets!BI23</f>
        <v>28.742115026031271</v>
      </c>
      <c r="Y23" s="9">
        <f>+All_Targets!CM23</f>
        <v>0.09</v>
      </c>
      <c r="Z23" s="80">
        <f>+All_Targets!CN23</f>
        <v>62.657810756748177</v>
      </c>
      <c r="AA23" s="110">
        <f>+All_Targets!CO23</f>
        <v>-0.14000000000000001</v>
      </c>
      <c r="AB23" s="38">
        <f>+All_Targets!CP23</f>
        <v>49.436437844773785</v>
      </c>
      <c r="AC23" s="111">
        <f>+All_Targets!CQ23</f>
        <v>-0.52689430066533327</v>
      </c>
      <c r="AD23" s="80">
        <f>+All_Targets!CR23</f>
        <v>27.196116859495916</v>
      </c>
      <c r="AE23" s="110">
        <f>+All_Targets!CS23</f>
        <v>-0.91378860133066653</v>
      </c>
      <c r="AF23" s="35">
        <f>+All_Targets!CT23</f>
        <v>4.9557958742180457</v>
      </c>
      <c r="AG23" s="1"/>
      <c r="AH23" s="9">
        <f>+All_Targets!CV23</f>
        <v>0.09</v>
      </c>
      <c r="AI23" s="80">
        <f>+All_Targets!CW23</f>
        <v>62.657810756748177</v>
      </c>
      <c r="AJ23" s="110">
        <f>+All_Targets!CX23</f>
        <v>-0.14000000000000001</v>
      </c>
      <c r="AK23" s="38">
        <f>+All_Targets!CY23</f>
        <v>49.436437844773785</v>
      </c>
      <c r="AL23" s="111">
        <f>+All_Targets!CZ23</f>
        <v>-0.52689430066533327</v>
      </c>
      <c r="AM23" s="80">
        <f>+All_Targets!DA23</f>
        <v>27.196116859495916</v>
      </c>
      <c r="AN23" s="110">
        <f>+All_Targets!DB23</f>
        <v>-0.91378860133066653</v>
      </c>
      <c r="AO23" s="35">
        <f>+All_Targets!DC23</f>
        <v>4.9557958742180457</v>
      </c>
      <c r="AQ23" s="9">
        <f>+All_Targets!DL23</f>
        <v>0.09</v>
      </c>
      <c r="AR23" s="80">
        <f>+All_Targets!DM23</f>
        <v>62.657810756748177</v>
      </c>
      <c r="AS23" s="110">
        <f>+All_Targets!DN23</f>
        <v>-0.20404962876883326</v>
      </c>
      <c r="AT23" s="38">
        <f>+All_Targets!DO23</f>
        <v>45.754594249876973</v>
      </c>
      <c r="AU23" s="111">
        <f>+All_Targets!DP23</f>
        <v>-0.5523022687933008</v>
      </c>
      <c r="AV23" s="80">
        <f>+All_Targets!DQ23</f>
        <v>25.735559374472359</v>
      </c>
      <c r="AW23" s="110">
        <f>+All_Targets!DR23</f>
        <v>-0.90055490881776823</v>
      </c>
      <c r="AX23" s="35">
        <f>+All_Targets!DS23</f>
        <v>5.716524499067746</v>
      </c>
      <c r="AZ23" s="9">
        <f>+All_Targets!DU23</f>
        <v>0.09</v>
      </c>
      <c r="BA23" s="80">
        <f>+All_Targets!DV23</f>
        <v>62.657810756748177</v>
      </c>
      <c r="BB23" s="110">
        <f>+All_Targets!DW23</f>
        <v>-0.20404962876883326</v>
      </c>
      <c r="BC23" s="38">
        <f>+All_Targets!DX23</f>
        <v>45.754594249876973</v>
      </c>
      <c r="BD23" s="111">
        <f>+All_Targets!DY23</f>
        <v>-0.5523022687933008</v>
      </c>
      <c r="BE23" s="80">
        <f>+All_Targets!DZ23</f>
        <v>25.735559374472359</v>
      </c>
      <c r="BF23" s="110">
        <f>+All_Targets!EA23</f>
        <v>-0.90055490881776823</v>
      </c>
      <c r="BG23" s="35">
        <f>+All_Targets!EB23</f>
        <v>5.716524499067746</v>
      </c>
      <c r="BI23" s="9">
        <f>+All_Targets!F23</f>
        <v>0.09</v>
      </c>
      <c r="BJ23" s="80">
        <f>+All_Targets!G23</f>
        <v>62.657810756748177</v>
      </c>
      <c r="BK23" s="110">
        <f>+All_Targets!H23</f>
        <v>-0.14000000000000001</v>
      </c>
      <c r="BL23" s="38">
        <f>+All_Targets!I23</f>
        <v>49.436437844773785</v>
      </c>
      <c r="BM23" s="111">
        <f>+All_Targets!J23</f>
        <v>-0.32</v>
      </c>
      <c r="BN23" s="80">
        <f>+All_Targets!K23</f>
        <v>39.089276435402525</v>
      </c>
      <c r="BO23" s="110">
        <f>+All_Targets!L23</f>
        <v>-0.5</v>
      </c>
      <c r="BP23" s="35">
        <f>+All_Targets!M23</f>
        <v>28.742115026031271</v>
      </c>
      <c r="BR23" s="9">
        <f>+All_Targets!O23</f>
        <v>0.09</v>
      </c>
      <c r="BS23" s="80">
        <f>+All_Targets!P23</f>
        <v>62.657810756748177</v>
      </c>
      <c r="BT23" s="110">
        <f>+All_Targets!Q23</f>
        <v>-0.14000000000000001</v>
      </c>
      <c r="BU23" s="38">
        <f>+All_Targets!R23</f>
        <v>49.436437844773785</v>
      </c>
      <c r="BV23" s="111">
        <f>+All_Targets!S23</f>
        <v>-0.32</v>
      </c>
      <c r="BW23" s="80">
        <f>+All_Targets!T23</f>
        <v>39.089276435402525</v>
      </c>
      <c r="BX23" s="110">
        <f>+All_Targets!U23</f>
        <v>-0.5</v>
      </c>
      <c r="BY23" s="35">
        <f>+All_Targets!V23</f>
        <v>28.742115026031271</v>
      </c>
    </row>
    <row r="24" spans="1:77" ht="20.100000000000001" customHeight="1" x14ac:dyDescent="0.25">
      <c r="A24" s="140" t="str">
        <f>+All_Targets!A24</f>
        <v>Bulgaria</v>
      </c>
      <c r="B24" s="84" t="str">
        <f>VLOOKUP($A24,NEWAGE_reg!$A$2:$B$29,2,FALSE)</f>
        <v>EUS</v>
      </c>
      <c r="C24" s="84"/>
      <c r="D24" s="120">
        <f>+All_Targets!C24</f>
        <v>20.830823571011379</v>
      </c>
      <c r="E24" s="129">
        <f>+All_Targets!D24</f>
        <v>19.953049173648814</v>
      </c>
      <c r="G24" s="8">
        <f>+All_Targets!AS24</f>
        <v>0.2</v>
      </c>
      <c r="H24" s="79">
        <f>+All_Targets!AT24</f>
        <v>24.996988285213654</v>
      </c>
      <c r="I24" s="107">
        <f>+All_Targets!AU24</f>
        <v>0</v>
      </c>
      <c r="J24" s="37">
        <f>+All_Targets!AV24</f>
        <v>20.830823571011379</v>
      </c>
      <c r="K24" s="103">
        <f>+All_Targets!AW24</f>
        <v>-0.3</v>
      </c>
      <c r="L24" s="79">
        <f>+All_Targets!AX24</f>
        <v>14.581576499707964</v>
      </c>
      <c r="M24" s="107">
        <f>+All_Targets!AY24</f>
        <v>-0.6</v>
      </c>
      <c r="N24" s="63">
        <f>+All_Targets!AZ24</f>
        <v>8.3323294284045524</v>
      </c>
      <c r="P24" s="8">
        <f>+All_Targets!BB24</f>
        <v>0.2</v>
      </c>
      <c r="Q24" s="79">
        <f>+All_Targets!BC24</f>
        <v>24.996988285213654</v>
      </c>
      <c r="R24" s="107">
        <f>+All_Targets!BD24</f>
        <v>0</v>
      </c>
      <c r="S24" s="37">
        <f>+All_Targets!BE24</f>
        <v>20.830823571011379</v>
      </c>
      <c r="T24" s="103">
        <f>+All_Targets!BF24</f>
        <v>-0.3</v>
      </c>
      <c r="U24" s="79">
        <f>+All_Targets!BG24</f>
        <v>14.581576499707964</v>
      </c>
      <c r="V24" s="107">
        <f>+All_Targets!BH24</f>
        <v>-0.6</v>
      </c>
      <c r="W24" s="63">
        <f>+All_Targets!BI24</f>
        <v>8.3323294284045524</v>
      </c>
      <c r="Y24" s="8">
        <f>+All_Targets!CM24</f>
        <v>0.2</v>
      </c>
      <c r="Z24" s="79">
        <f>+All_Targets!CN24</f>
        <v>24.996988285213654</v>
      </c>
      <c r="AA24" s="107">
        <f>+All_Targets!CO24</f>
        <v>0</v>
      </c>
      <c r="AB24" s="37">
        <f>+All_Targets!CP24</f>
        <v>20.830823571011379</v>
      </c>
      <c r="AC24" s="103">
        <f>+All_Targets!CQ24</f>
        <v>-0.44987709379689911</v>
      </c>
      <c r="AD24" s="79">
        <f>+All_Targets!CR24</f>
        <v>11.459513201488836</v>
      </c>
      <c r="AE24" s="107">
        <f>+All_Targets!CS24</f>
        <v>-0.89975418759379822</v>
      </c>
      <c r="AF24" s="63">
        <f>+All_Targets!CT24</f>
        <v>2.0882028319662926</v>
      </c>
      <c r="AG24" s="1"/>
      <c r="AH24" s="8">
        <f>+All_Targets!CV24</f>
        <v>0.2</v>
      </c>
      <c r="AI24" s="79">
        <f>+All_Targets!CW24</f>
        <v>24.996988285213654</v>
      </c>
      <c r="AJ24" s="107">
        <f>+All_Targets!CX24</f>
        <v>0</v>
      </c>
      <c r="AK24" s="37">
        <f>+All_Targets!CY24</f>
        <v>20.830823571011379</v>
      </c>
      <c r="AL24" s="103">
        <f>+All_Targets!CZ24</f>
        <v>-0.44987709379689911</v>
      </c>
      <c r="AM24" s="79">
        <f>+All_Targets!DA24</f>
        <v>11.459513201488836</v>
      </c>
      <c r="AN24" s="107">
        <f>+All_Targets!DB24</f>
        <v>-0.89975418759379822</v>
      </c>
      <c r="AO24" s="63">
        <f>+All_Targets!DC24</f>
        <v>2.0882028319662926</v>
      </c>
      <c r="AQ24" s="8">
        <f>+All_Targets!DL24</f>
        <v>0.2</v>
      </c>
      <c r="AR24" s="79">
        <f>+All_Targets!DM24</f>
        <v>24.996988285213654</v>
      </c>
      <c r="AS24" s="107">
        <f>+All_Targets!DN24</f>
        <v>0</v>
      </c>
      <c r="AT24" s="37">
        <f>+All_Targets!DO24</f>
        <v>20.830823571011379</v>
      </c>
      <c r="AU24" s="103">
        <f>+All_Targets!DP24</f>
        <v>-0.43753059563976882</v>
      </c>
      <c r="AV24" s="79">
        <f>+All_Targets!DQ24</f>
        <v>11.716700926319835</v>
      </c>
      <c r="AW24" s="107">
        <f>+All_Targets!DR24</f>
        <v>-0.87506119127953763</v>
      </c>
      <c r="AX24" s="63">
        <f>+All_Targets!DS24</f>
        <v>2.6025782816282894</v>
      </c>
      <c r="AZ24" s="8">
        <f>+All_Targets!DU24</f>
        <v>0.2</v>
      </c>
      <c r="BA24" s="79">
        <f>+All_Targets!DV24</f>
        <v>24.996988285213654</v>
      </c>
      <c r="BB24" s="107">
        <f>+All_Targets!DW24</f>
        <v>0</v>
      </c>
      <c r="BC24" s="37">
        <f>+All_Targets!DX24</f>
        <v>20.830823571011379</v>
      </c>
      <c r="BD24" s="103">
        <f>+All_Targets!DY24</f>
        <v>-0.43753059563976882</v>
      </c>
      <c r="BE24" s="79">
        <f>+All_Targets!DZ24</f>
        <v>11.716700926319835</v>
      </c>
      <c r="BF24" s="107">
        <f>+All_Targets!EA24</f>
        <v>-0.87506119127953763</v>
      </c>
      <c r="BG24" s="63">
        <f>+All_Targets!EB24</f>
        <v>2.6025782816282894</v>
      </c>
      <c r="BI24" s="8">
        <f>+All_Targets!F24</f>
        <v>0.2</v>
      </c>
      <c r="BJ24" s="79">
        <f>+All_Targets!G24</f>
        <v>24.996988285213654</v>
      </c>
      <c r="BK24" s="107">
        <f>+All_Targets!H24</f>
        <v>0</v>
      </c>
      <c r="BL24" s="37">
        <f>+All_Targets!I24</f>
        <v>20.830823571011379</v>
      </c>
      <c r="BM24" s="103">
        <f>+All_Targets!J24</f>
        <v>-0.3</v>
      </c>
      <c r="BN24" s="79">
        <f>+All_Targets!K24</f>
        <v>14.581576499707966</v>
      </c>
      <c r="BO24" s="107">
        <f>+All_Targets!L24</f>
        <v>-0.6</v>
      </c>
      <c r="BP24" s="63">
        <f>+All_Targets!M24</f>
        <v>8.3323294284045524</v>
      </c>
      <c r="BR24" s="8">
        <f>+All_Targets!O24</f>
        <v>0.2</v>
      </c>
      <c r="BS24" s="79">
        <f>+All_Targets!P24</f>
        <v>24.996988285213654</v>
      </c>
      <c r="BT24" s="107">
        <f>+All_Targets!Q24</f>
        <v>0</v>
      </c>
      <c r="BU24" s="37">
        <f>+All_Targets!R24</f>
        <v>20.830823571011379</v>
      </c>
      <c r="BV24" s="103">
        <f>+All_Targets!S24</f>
        <v>-0.3</v>
      </c>
      <c r="BW24" s="79">
        <f>+All_Targets!T24</f>
        <v>14.581576499707964</v>
      </c>
      <c r="BX24" s="107">
        <f>+All_Targets!U24</f>
        <v>-0.6</v>
      </c>
      <c r="BY24" s="63">
        <f>+All_Targets!V24</f>
        <v>8.3323294284045524</v>
      </c>
    </row>
    <row r="25" spans="1:77" ht="20.100000000000001" customHeight="1" x14ac:dyDescent="0.25">
      <c r="A25" s="141" t="str">
        <f>+All_Targets!A25</f>
        <v>Romania</v>
      </c>
      <c r="B25" s="87" t="str">
        <f>VLOOKUP($A25,NEWAGE_reg!$A$2:$B$29,2,FALSE)</f>
        <v>EUS</v>
      </c>
      <c r="C25" s="87"/>
      <c r="D25" s="119">
        <f>+All_Targets!C25</f>
        <v>73.89858291234539</v>
      </c>
      <c r="E25" s="130">
        <f>+All_Targets!D25</f>
        <v>65.68525005557116</v>
      </c>
      <c r="G25" s="3">
        <f>+All_Targets!AS25</f>
        <v>0.19</v>
      </c>
      <c r="H25" s="18">
        <f>+All_Targets!AT25</f>
        <v>87.939313665691003</v>
      </c>
      <c r="I25" s="108">
        <f>+All_Targets!AU25</f>
        <v>-0.02</v>
      </c>
      <c r="J25" s="36">
        <f>+All_Targets!AV25</f>
        <v>72.420611254098475</v>
      </c>
      <c r="K25" s="109">
        <f>+All_Targets!AW25</f>
        <v>-0.31</v>
      </c>
      <c r="L25" s="18">
        <f>+All_Targets!AX25</f>
        <v>50.990022209518315</v>
      </c>
      <c r="M25" s="108">
        <f>+All_Targets!AY25</f>
        <v>-0.6</v>
      </c>
      <c r="N25" s="34">
        <f>+All_Targets!AZ25</f>
        <v>29.559433164938156</v>
      </c>
      <c r="P25" s="3">
        <f>+All_Targets!BB25</f>
        <v>0.19</v>
      </c>
      <c r="Q25" s="18">
        <f>+All_Targets!BC25</f>
        <v>87.939313665691003</v>
      </c>
      <c r="R25" s="108">
        <f>+All_Targets!BD25</f>
        <v>-0.02</v>
      </c>
      <c r="S25" s="36">
        <f>+All_Targets!BE25</f>
        <v>72.420611254098475</v>
      </c>
      <c r="T25" s="109">
        <f>+All_Targets!BF25</f>
        <v>-0.31</v>
      </c>
      <c r="U25" s="18">
        <f>+All_Targets!BG25</f>
        <v>50.990022209518315</v>
      </c>
      <c r="V25" s="108">
        <f>+All_Targets!BH25</f>
        <v>-0.6</v>
      </c>
      <c r="W25" s="34">
        <f>+All_Targets!BI25</f>
        <v>29.559433164938156</v>
      </c>
      <c r="Y25" s="3">
        <f>+All_Targets!CM25</f>
        <v>0.19</v>
      </c>
      <c r="Z25" s="18">
        <f>+All_Targets!CN25</f>
        <v>87.939313665691003</v>
      </c>
      <c r="AA25" s="108">
        <f>+All_Targets!CO25</f>
        <v>-2.0000000000000129E-2</v>
      </c>
      <c r="AB25" s="36">
        <f>+All_Targets!CP25</f>
        <v>72.420611254098475</v>
      </c>
      <c r="AC25" s="109">
        <f>+All_Targets!CQ25</f>
        <v>-0.46087955192096119</v>
      </c>
      <c r="AD25" s="18">
        <f>+All_Targets!CR25</f>
        <v>39.84023713210965</v>
      </c>
      <c r="AE25" s="108">
        <f>+All_Targets!CS25</f>
        <v>-0.90175910384192226</v>
      </c>
      <c r="AF25" s="34">
        <f>+All_Targets!CT25</f>
        <v>7.2598630101208181</v>
      </c>
      <c r="AG25" s="1"/>
      <c r="AH25" s="3">
        <f>+All_Targets!CV25</f>
        <v>0.19</v>
      </c>
      <c r="AI25" s="18">
        <f>+All_Targets!CW25</f>
        <v>87.939313665691003</v>
      </c>
      <c r="AJ25" s="108">
        <f>+All_Targets!CX25</f>
        <v>-2.0000000000000129E-2</v>
      </c>
      <c r="AK25" s="36">
        <f>+All_Targets!CY25</f>
        <v>72.420611254098475</v>
      </c>
      <c r="AL25" s="109">
        <f>+All_Targets!CZ25</f>
        <v>-0.46087955192096119</v>
      </c>
      <c r="AM25" s="18">
        <f>+All_Targets!DA25</f>
        <v>39.84023713210965</v>
      </c>
      <c r="AN25" s="108">
        <f>+All_Targets!DB25</f>
        <v>-0.90175910384192226</v>
      </c>
      <c r="AO25" s="34">
        <f>+All_Targets!DC25</f>
        <v>7.2598630101208181</v>
      </c>
      <c r="AQ25" s="3">
        <f>+All_Targets!DL25</f>
        <v>0.19</v>
      </c>
      <c r="AR25" s="18">
        <f>+All_Targets!DM25</f>
        <v>87.939313665691003</v>
      </c>
      <c r="AS25" s="108">
        <f>+All_Targets!DN25</f>
        <v>-2.9149946966976259E-2</v>
      </c>
      <c r="AT25" s="36">
        <f>+All_Targets!DO25</f>
        <v>71.744443139515823</v>
      </c>
      <c r="AU25" s="109">
        <f>+All_Targets!DP25</f>
        <v>-0.4539265489474163</v>
      </c>
      <c r="AV25" s="18">
        <f>+All_Targets!DQ25</f>
        <v>40.35405419883994</v>
      </c>
      <c r="AW25" s="108">
        <f>+All_Targets!DR25</f>
        <v>-0.87870315092785634</v>
      </c>
      <c r="AX25" s="34">
        <f>+All_Targets!DS25</f>
        <v>8.9636652581640544</v>
      </c>
      <c r="AZ25" s="3">
        <f>+All_Targets!DU25</f>
        <v>0.19</v>
      </c>
      <c r="BA25" s="18">
        <f>+All_Targets!DV25</f>
        <v>87.939313665691003</v>
      </c>
      <c r="BB25" s="108">
        <f>+All_Targets!DW25</f>
        <v>-2.9149946966976259E-2</v>
      </c>
      <c r="BC25" s="36">
        <f>+All_Targets!DX25</f>
        <v>71.744443139515823</v>
      </c>
      <c r="BD25" s="109">
        <f>+All_Targets!DY25</f>
        <v>-0.4539265489474163</v>
      </c>
      <c r="BE25" s="18">
        <f>+All_Targets!DZ25</f>
        <v>40.35405419883994</v>
      </c>
      <c r="BF25" s="108">
        <f>+All_Targets!EA25</f>
        <v>-0.87870315092785634</v>
      </c>
      <c r="BG25" s="34">
        <f>+All_Targets!EB25</f>
        <v>8.9636652581640544</v>
      </c>
      <c r="BI25" s="3">
        <f>+All_Targets!F25</f>
        <v>0.19</v>
      </c>
      <c r="BJ25" s="18">
        <f>+All_Targets!G25</f>
        <v>87.939313665691003</v>
      </c>
      <c r="BK25" s="108">
        <f>+All_Targets!H25</f>
        <v>-0.02</v>
      </c>
      <c r="BL25" s="36">
        <f>+All_Targets!I25</f>
        <v>72.420611254098475</v>
      </c>
      <c r="BM25" s="109">
        <f>+All_Targets!J25</f>
        <v>-0.31</v>
      </c>
      <c r="BN25" s="18">
        <f>+All_Targets!K25</f>
        <v>50.990022209518315</v>
      </c>
      <c r="BO25" s="108">
        <f>+All_Targets!L25</f>
        <v>-0.6</v>
      </c>
      <c r="BP25" s="34">
        <f>+All_Targets!M25</f>
        <v>29.559433164938156</v>
      </c>
      <c r="BR25" s="3">
        <f>+All_Targets!O25</f>
        <v>0.19</v>
      </c>
      <c r="BS25" s="18">
        <f>+All_Targets!P25</f>
        <v>87.939313665691003</v>
      </c>
      <c r="BT25" s="108">
        <f>+All_Targets!Q25</f>
        <v>-0.02</v>
      </c>
      <c r="BU25" s="36">
        <f>+All_Targets!R25</f>
        <v>72.420611254098475</v>
      </c>
      <c r="BV25" s="109">
        <f>+All_Targets!S25</f>
        <v>-0.31</v>
      </c>
      <c r="BW25" s="18">
        <f>+All_Targets!T25</f>
        <v>50.990022209518315</v>
      </c>
      <c r="BX25" s="108">
        <f>+All_Targets!U25</f>
        <v>-0.6</v>
      </c>
      <c r="BY25" s="34">
        <f>+All_Targets!V25</f>
        <v>29.559433164938156</v>
      </c>
    </row>
    <row r="26" spans="1:77" ht="20.100000000000001" customHeight="1" x14ac:dyDescent="0.25">
      <c r="A26" s="141" t="str">
        <f>+All_Targets!A26</f>
        <v>Estonia</v>
      </c>
      <c r="B26" s="87" t="str">
        <f>VLOOKUP($A26,NEWAGE_reg!$A$2:$B$29,2,FALSE)</f>
        <v>EUN</v>
      </c>
      <c r="C26" s="87"/>
      <c r="D26" s="119">
        <f>+All_Targets!C26</f>
        <v>5.6278485342273434</v>
      </c>
      <c r="E26" s="130">
        <f>+All_Targets!D26</f>
        <v>5.7922263292033165</v>
      </c>
      <c r="G26" s="3">
        <f>+All_Targets!AS26</f>
        <v>0.11</v>
      </c>
      <c r="H26" s="18">
        <f>+All_Targets!AT26</f>
        <v>6.2469118729923521</v>
      </c>
      <c r="I26" s="108">
        <f>+All_Targets!AU26</f>
        <v>-0.13</v>
      </c>
      <c r="J26" s="36">
        <f>+All_Targets!AV26</f>
        <v>4.8962282247777891</v>
      </c>
      <c r="K26" s="109">
        <f>+All_Targets!AW26</f>
        <v>-0.36499999999999999</v>
      </c>
      <c r="L26" s="18">
        <f>+All_Targets!AX26</f>
        <v>3.573683819234363</v>
      </c>
      <c r="M26" s="108">
        <f>+All_Targets!AY26</f>
        <v>-0.6</v>
      </c>
      <c r="N26" s="34">
        <f>+All_Targets!AZ26</f>
        <v>2.2511394136909373</v>
      </c>
      <c r="P26" s="3">
        <f>+All_Targets!BB26</f>
        <v>0.11</v>
      </c>
      <c r="Q26" s="18">
        <f>+All_Targets!BC26</f>
        <v>6.2469118729923521</v>
      </c>
      <c r="R26" s="108">
        <f>+All_Targets!BD26</f>
        <v>-0.13</v>
      </c>
      <c r="S26" s="36">
        <f>+All_Targets!BE26</f>
        <v>4.8962282247777891</v>
      </c>
      <c r="T26" s="109">
        <f>+All_Targets!BF26</f>
        <v>-0.36499999999999999</v>
      </c>
      <c r="U26" s="18">
        <f>+All_Targets!BG26</f>
        <v>3.573683819234363</v>
      </c>
      <c r="V26" s="108">
        <f>+All_Targets!BH26</f>
        <v>-0.6</v>
      </c>
      <c r="W26" s="34">
        <f>+All_Targets!BI26</f>
        <v>2.2511394136909373</v>
      </c>
      <c r="Y26" s="3">
        <f>+All_Targets!CM26</f>
        <v>0.11</v>
      </c>
      <c r="Z26" s="18">
        <f>+All_Targets!CN26</f>
        <v>6.2469118729923521</v>
      </c>
      <c r="AA26" s="108">
        <f>+All_Targets!CO26</f>
        <v>-0.13</v>
      </c>
      <c r="AB26" s="36">
        <f>+All_Targets!CP26</f>
        <v>4.8962282247777891</v>
      </c>
      <c r="AC26" s="109">
        <f>+All_Targets!CQ26</f>
        <v>-0.52139307160330217</v>
      </c>
      <c r="AD26" s="18">
        <f>+All_Targets!CR26</f>
        <v>2.6935273004484066</v>
      </c>
      <c r="AE26" s="108">
        <f>+All_Targets!CS26</f>
        <v>-0.91278614320660445</v>
      </c>
      <c r="AF26" s="34">
        <f>+All_Targets!CT26</f>
        <v>0.49082637611902447</v>
      </c>
      <c r="AG26" s="1"/>
      <c r="AH26" s="3">
        <f>+All_Targets!CV26</f>
        <v>0.11</v>
      </c>
      <c r="AI26" s="18">
        <f>+All_Targets!CW26</f>
        <v>6.2469118729923521</v>
      </c>
      <c r="AJ26" s="108">
        <f>+All_Targets!CX26</f>
        <v>-0.13</v>
      </c>
      <c r="AK26" s="36">
        <f>+All_Targets!CY26</f>
        <v>4.8962282247777891</v>
      </c>
      <c r="AL26" s="109">
        <f>+All_Targets!CZ26</f>
        <v>-0.52139307160330217</v>
      </c>
      <c r="AM26" s="18">
        <f>+All_Targets!DA26</f>
        <v>2.6935273004484066</v>
      </c>
      <c r="AN26" s="108">
        <f>+All_Targets!DB26</f>
        <v>-0.91278614320660445</v>
      </c>
      <c r="AO26" s="34">
        <f>+All_Targets!DC26</f>
        <v>0.49082637611902447</v>
      </c>
      <c r="AQ26" s="3">
        <f>+All_Targets!DL26</f>
        <v>0.11</v>
      </c>
      <c r="AR26" s="18">
        <f>+All_Targets!DM26</f>
        <v>6.2469118729923521</v>
      </c>
      <c r="AS26" s="108">
        <f>+All_Targets!DN26</f>
        <v>-0.18947465528534491</v>
      </c>
      <c r="AT26" s="36">
        <f>+All_Targets!DO26</f>
        <v>4.5615138732064837</v>
      </c>
      <c r="AU26" s="109">
        <f>+All_Targets!DP26</f>
        <v>-0.54410429213947697</v>
      </c>
      <c r="AV26" s="18">
        <f>+All_Targets!DQ26</f>
        <v>2.5657119912433819</v>
      </c>
      <c r="AW26" s="108">
        <f>+All_Targets!DR26</f>
        <v>-0.89873392899360893</v>
      </c>
      <c r="AX26" s="34">
        <f>+All_Targets!DS26</f>
        <v>0.56991010928028019</v>
      </c>
      <c r="AZ26" s="3">
        <f>+All_Targets!DU26</f>
        <v>0.11</v>
      </c>
      <c r="BA26" s="18">
        <f>+All_Targets!DV26</f>
        <v>6.2469118729923521</v>
      </c>
      <c r="BB26" s="108">
        <f>+All_Targets!DW26</f>
        <v>-0.18947465528534491</v>
      </c>
      <c r="BC26" s="36">
        <f>+All_Targets!DX26</f>
        <v>4.5615138732064837</v>
      </c>
      <c r="BD26" s="109">
        <f>+All_Targets!DY26</f>
        <v>-0.54410429213947697</v>
      </c>
      <c r="BE26" s="18">
        <f>+All_Targets!DZ26</f>
        <v>2.5657119912433819</v>
      </c>
      <c r="BF26" s="108">
        <f>+All_Targets!EA26</f>
        <v>-0.89873392899360893</v>
      </c>
      <c r="BG26" s="34">
        <f>+All_Targets!EB26</f>
        <v>0.56991010928028019</v>
      </c>
      <c r="BI26" s="3">
        <f>+All_Targets!F26</f>
        <v>0.11</v>
      </c>
      <c r="BJ26" s="18">
        <f>+All_Targets!G26</f>
        <v>6.2469118729923521</v>
      </c>
      <c r="BK26" s="108">
        <f>+All_Targets!H26</f>
        <v>-0.13</v>
      </c>
      <c r="BL26" s="36">
        <f>+All_Targets!I26</f>
        <v>4.8962282247777891</v>
      </c>
      <c r="BM26" s="109">
        <f>+All_Targets!J26</f>
        <v>-0.36499999999999999</v>
      </c>
      <c r="BN26" s="18">
        <f>+All_Targets!K26</f>
        <v>3.573683819234363</v>
      </c>
      <c r="BO26" s="108">
        <f>+All_Targets!L26</f>
        <v>-0.6</v>
      </c>
      <c r="BP26" s="34">
        <f>+All_Targets!M26</f>
        <v>2.2511394136909373</v>
      </c>
      <c r="BR26" s="3">
        <f>+All_Targets!O26</f>
        <v>0.11</v>
      </c>
      <c r="BS26" s="18">
        <f>+All_Targets!P26</f>
        <v>6.2469118729923521</v>
      </c>
      <c r="BT26" s="108">
        <f>+All_Targets!Q26</f>
        <v>-0.13</v>
      </c>
      <c r="BU26" s="36">
        <f>+All_Targets!R26</f>
        <v>4.8962282247777891</v>
      </c>
      <c r="BV26" s="109">
        <f>+All_Targets!S26</f>
        <v>-0.36499999999999999</v>
      </c>
      <c r="BW26" s="18">
        <f>+All_Targets!T26</f>
        <v>3.573683819234363</v>
      </c>
      <c r="BX26" s="108">
        <f>+All_Targets!U26</f>
        <v>-0.6</v>
      </c>
      <c r="BY26" s="34">
        <f>+All_Targets!V26</f>
        <v>2.2511394136909373</v>
      </c>
    </row>
    <row r="27" spans="1:77" ht="20.100000000000001" customHeight="1" x14ac:dyDescent="0.25">
      <c r="A27" s="141" t="str">
        <f>+All_Targets!A27</f>
        <v>Latvia</v>
      </c>
      <c r="B27" s="84" t="str">
        <f>VLOOKUP($A27,NEWAGE_reg!$A$2:$B$29,2,FALSE)</f>
        <v>EUN</v>
      </c>
      <c r="C27" s="84"/>
      <c r="D27" s="119">
        <f>+All_Targets!C27</f>
        <v>7.9014963740883175</v>
      </c>
      <c r="E27" s="130">
        <f>+All_Targets!D27</f>
        <v>7.9086956528118382</v>
      </c>
      <c r="G27" s="3">
        <f>+All_Targets!AS27</f>
        <v>0.17</v>
      </c>
      <c r="H27" s="18">
        <f>+All_Targets!AT27</f>
        <v>9.244750757683331</v>
      </c>
      <c r="I27" s="108">
        <f>+All_Targets!AU27</f>
        <v>-0.06</v>
      </c>
      <c r="J27" s="36">
        <f>+All_Targets!AV27</f>
        <v>7.4274065916430176</v>
      </c>
      <c r="K27" s="109">
        <f>+All_Targets!AW27</f>
        <v>-0.32999999999999996</v>
      </c>
      <c r="L27" s="18">
        <f>+All_Targets!AX27</f>
        <v>5.2940025706391731</v>
      </c>
      <c r="M27" s="108">
        <f>+All_Targets!AY27</f>
        <v>-0.6</v>
      </c>
      <c r="N27" s="34">
        <f>+All_Targets!AZ27</f>
        <v>3.1605985496353273</v>
      </c>
      <c r="P27" s="3">
        <f>+All_Targets!BB27</f>
        <v>0.17</v>
      </c>
      <c r="Q27" s="18">
        <f>+All_Targets!BC27</f>
        <v>9.244750757683331</v>
      </c>
      <c r="R27" s="108">
        <f>+All_Targets!BD27</f>
        <v>-0.06</v>
      </c>
      <c r="S27" s="36">
        <f>+All_Targets!BE27</f>
        <v>7.4274065916430176</v>
      </c>
      <c r="T27" s="109">
        <f>+All_Targets!BF27</f>
        <v>-0.32999999999999996</v>
      </c>
      <c r="U27" s="18">
        <f>+All_Targets!BG27</f>
        <v>5.2940025706391731</v>
      </c>
      <c r="V27" s="108">
        <f>+All_Targets!BH27</f>
        <v>-0.6</v>
      </c>
      <c r="W27" s="34">
        <f>+All_Targets!BI27</f>
        <v>3.1605985496353273</v>
      </c>
      <c r="Y27" s="3">
        <f>+All_Targets!CM27</f>
        <v>0.17</v>
      </c>
      <c r="Z27" s="18">
        <f>+All_Targets!CN27</f>
        <v>9.244750757683331</v>
      </c>
      <c r="AA27" s="108">
        <f>+All_Targets!CO27</f>
        <v>-6.0000000000000053E-2</v>
      </c>
      <c r="AB27" s="36">
        <f>+All_Targets!CP27</f>
        <v>7.4274065916430176</v>
      </c>
      <c r="AC27" s="109">
        <f>+All_Targets!CQ27</f>
        <v>-0.4828844681690852</v>
      </c>
      <c r="AD27" s="18">
        <f>+All_Targets!CR27</f>
        <v>4.085986499746725</v>
      </c>
      <c r="AE27" s="108">
        <f>+All_Targets!CS27</f>
        <v>-0.90576893633817035</v>
      </c>
      <c r="AF27" s="34">
        <f>+All_Targets!CT27</f>
        <v>0.74456640785043227</v>
      </c>
      <c r="AG27" s="1"/>
      <c r="AH27" s="3">
        <f>+All_Targets!CV27</f>
        <v>0.17</v>
      </c>
      <c r="AI27" s="18">
        <f>+All_Targets!CW27</f>
        <v>9.244750757683331</v>
      </c>
      <c r="AJ27" s="108">
        <f>+All_Targets!CX27</f>
        <v>-6.0000000000000053E-2</v>
      </c>
      <c r="AK27" s="36">
        <f>+All_Targets!CY27</f>
        <v>7.4274065916430176</v>
      </c>
      <c r="AL27" s="109">
        <f>+All_Targets!CZ27</f>
        <v>-0.4828844681690852</v>
      </c>
      <c r="AM27" s="18">
        <f>+All_Targets!DA27</f>
        <v>4.085986499746725</v>
      </c>
      <c r="AN27" s="108">
        <f>+All_Targets!DB27</f>
        <v>-0.90576893633817035</v>
      </c>
      <c r="AO27" s="34">
        <f>+All_Targets!DC27</f>
        <v>0.74456640785043227</v>
      </c>
      <c r="AQ27" s="3">
        <f>+All_Targets!DL27</f>
        <v>0.17</v>
      </c>
      <c r="AR27" s="18">
        <f>+All_Targets!DM27</f>
        <v>9.244750757683331</v>
      </c>
      <c r="AS27" s="108">
        <f>+All_Targets!DN27</f>
        <v>-8.7449840900928666E-2</v>
      </c>
      <c r="AT27" s="36">
        <f>+All_Targets!DO27</f>
        <v>7.2105117732950292</v>
      </c>
      <c r="AU27" s="109">
        <f>+All_Targets!DP27</f>
        <v>-0.48671845556271115</v>
      </c>
      <c r="AV27" s="18">
        <f>+All_Targets!DQ27</f>
        <v>4.055692262257689</v>
      </c>
      <c r="AW27" s="108">
        <f>+All_Targets!DR27</f>
        <v>-0.88598707022449363</v>
      </c>
      <c r="AX27" s="34">
        <f>+All_Targets!DS27</f>
        <v>0.90087275122034949</v>
      </c>
      <c r="AZ27" s="3">
        <f>+All_Targets!DU27</f>
        <v>0.17</v>
      </c>
      <c r="BA27" s="18">
        <f>+All_Targets!DV27</f>
        <v>9.244750757683331</v>
      </c>
      <c r="BB27" s="108">
        <f>+All_Targets!DW27</f>
        <v>-8.7449840900928666E-2</v>
      </c>
      <c r="BC27" s="36">
        <f>+All_Targets!DX27</f>
        <v>7.2105117732950292</v>
      </c>
      <c r="BD27" s="109">
        <f>+All_Targets!DY27</f>
        <v>-0.48671845556271115</v>
      </c>
      <c r="BE27" s="18">
        <f>+All_Targets!DZ27</f>
        <v>4.055692262257689</v>
      </c>
      <c r="BF27" s="108">
        <f>+All_Targets!EA27</f>
        <v>-0.88598707022449363</v>
      </c>
      <c r="BG27" s="34">
        <f>+All_Targets!EB27</f>
        <v>0.90087275122034949</v>
      </c>
      <c r="BI27" s="3">
        <f>+All_Targets!F27</f>
        <v>0.17</v>
      </c>
      <c r="BJ27" s="18">
        <f>+All_Targets!G27</f>
        <v>9.244750757683331</v>
      </c>
      <c r="BK27" s="108">
        <f>+All_Targets!H27</f>
        <v>-0.06</v>
      </c>
      <c r="BL27" s="36">
        <f>+All_Targets!I27</f>
        <v>7.4274065916430176</v>
      </c>
      <c r="BM27" s="109">
        <f>+All_Targets!J27</f>
        <v>-0.32999999999999996</v>
      </c>
      <c r="BN27" s="18">
        <f>+All_Targets!K27</f>
        <v>5.2940025706391722</v>
      </c>
      <c r="BO27" s="108">
        <f>+All_Targets!L27</f>
        <v>-0.6</v>
      </c>
      <c r="BP27" s="34">
        <f>+All_Targets!M27</f>
        <v>3.1605985496353273</v>
      </c>
      <c r="BR27" s="3">
        <f>+All_Targets!O27</f>
        <v>0.17</v>
      </c>
      <c r="BS27" s="18">
        <f>+All_Targets!P27</f>
        <v>9.244750757683331</v>
      </c>
      <c r="BT27" s="108">
        <f>+All_Targets!Q27</f>
        <v>-0.06</v>
      </c>
      <c r="BU27" s="36">
        <f>+All_Targets!R27</f>
        <v>7.4274065916430176</v>
      </c>
      <c r="BV27" s="109">
        <f>+All_Targets!S27</f>
        <v>-0.32999999999999996</v>
      </c>
      <c r="BW27" s="18">
        <f>+All_Targets!T27</f>
        <v>5.2940025706391731</v>
      </c>
      <c r="BX27" s="108">
        <f>+All_Targets!U27</f>
        <v>-0.6</v>
      </c>
      <c r="BY27" s="34">
        <f>+All_Targets!V27</f>
        <v>3.1605985496353273</v>
      </c>
    </row>
    <row r="28" spans="1:77" ht="20.100000000000001" customHeight="1" x14ac:dyDescent="0.25">
      <c r="A28" s="141" t="str">
        <f>+All_Targets!A28</f>
        <v>Lithuania</v>
      </c>
      <c r="B28" s="87" t="str">
        <f>VLOOKUP($A28,NEWAGE_reg!$A$2:$B$29,2,FALSE)</f>
        <v>EUN</v>
      </c>
      <c r="C28" s="87"/>
      <c r="D28" s="119">
        <f>+All_Targets!C28</f>
        <v>9.784675006818631</v>
      </c>
      <c r="E28" s="130">
        <f>+All_Targets!D28</f>
        <v>11.44006889823387</v>
      </c>
      <c r="G28" s="3">
        <f>+All_Targets!AS28</f>
        <v>0.15</v>
      </c>
      <c r="H28" s="18">
        <f>+All_Targets!AT28</f>
        <v>11.252376257841425</v>
      </c>
      <c r="I28" s="108">
        <f>+All_Targets!AU28</f>
        <v>-0.09</v>
      </c>
      <c r="J28" s="36">
        <f>+All_Targets!AV28</f>
        <v>8.9040542562049545</v>
      </c>
      <c r="K28" s="109">
        <f>+All_Targets!AW28</f>
        <v>-0.34499999999999997</v>
      </c>
      <c r="L28" s="18">
        <f>+All_Targets!AX28</f>
        <v>6.4089621294662038</v>
      </c>
      <c r="M28" s="108">
        <f>+All_Targets!AY28</f>
        <v>-0.6</v>
      </c>
      <c r="N28" s="34">
        <f>+All_Targets!AZ28</f>
        <v>3.9138700027274527</v>
      </c>
      <c r="P28" s="3">
        <f>+All_Targets!BB28</f>
        <v>0.15</v>
      </c>
      <c r="Q28" s="18">
        <f>+All_Targets!BC28</f>
        <v>11.252376257841425</v>
      </c>
      <c r="R28" s="108">
        <f>+All_Targets!BD28</f>
        <v>-0.09</v>
      </c>
      <c r="S28" s="36">
        <f>+All_Targets!BE28</f>
        <v>8.9040542562049545</v>
      </c>
      <c r="T28" s="109">
        <f>+All_Targets!BF28</f>
        <v>-0.34499999999999997</v>
      </c>
      <c r="U28" s="18">
        <f>+All_Targets!BG28</f>
        <v>6.4089621294662038</v>
      </c>
      <c r="V28" s="108">
        <f>+All_Targets!BH28</f>
        <v>-0.6</v>
      </c>
      <c r="W28" s="34">
        <f>+All_Targets!BI28</f>
        <v>3.9138700027274527</v>
      </c>
      <c r="Y28" s="3">
        <f>+All_Targets!CM28</f>
        <v>0.15</v>
      </c>
      <c r="Z28" s="18">
        <f>+All_Targets!CN28</f>
        <v>11.252376257841425</v>
      </c>
      <c r="AA28" s="108">
        <f>+All_Targets!CO28</f>
        <v>-8.9999999999999969E-2</v>
      </c>
      <c r="AB28" s="36">
        <f>+All_Targets!CP28</f>
        <v>8.9040542562049545</v>
      </c>
      <c r="AC28" s="109">
        <f>+All_Targets!CQ28</f>
        <v>-0.49938815535517816</v>
      </c>
      <c r="AD28" s="18">
        <f>+All_Targets!CR28</f>
        <v>4.8983242044135595</v>
      </c>
      <c r="AE28" s="108">
        <f>+All_Targets!CS28</f>
        <v>-0.90877631071035636</v>
      </c>
      <c r="AF28" s="34">
        <f>+All_Targets!CT28</f>
        <v>0.89259415262216413</v>
      </c>
      <c r="AG28" s="1"/>
      <c r="AH28" s="3">
        <f>+All_Targets!CV28</f>
        <v>0.15</v>
      </c>
      <c r="AI28" s="18">
        <f>+All_Targets!CW28</f>
        <v>11.252376257841425</v>
      </c>
      <c r="AJ28" s="108">
        <f>+All_Targets!CX28</f>
        <v>-8.9999999999999969E-2</v>
      </c>
      <c r="AK28" s="36">
        <f>+All_Targets!CY28</f>
        <v>8.9040542562049545</v>
      </c>
      <c r="AL28" s="109">
        <f>+All_Targets!CZ28</f>
        <v>-0.49938815535517816</v>
      </c>
      <c r="AM28" s="18">
        <f>+All_Targets!DA28</f>
        <v>4.8983242044135595</v>
      </c>
      <c r="AN28" s="108">
        <f>+All_Targets!DB28</f>
        <v>-0.90877631071035636</v>
      </c>
      <c r="AO28" s="34">
        <f>+All_Targets!DC28</f>
        <v>0.89259415262216413</v>
      </c>
      <c r="AQ28" s="3">
        <f>+All_Targets!DL28</f>
        <v>0.15</v>
      </c>
      <c r="AR28" s="18">
        <f>+All_Targets!DM28</f>
        <v>11.252376257841425</v>
      </c>
      <c r="AS28" s="108">
        <f>+All_Targets!DN28</f>
        <v>-0.13117476135139261</v>
      </c>
      <c r="AT28" s="36">
        <f>+All_Targets!DO28</f>
        <v>8.5011725978982611</v>
      </c>
      <c r="AU28" s="109">
        <f>+All_Targets!DP28</f>
        <v>-0.51131238552418212</v>
      </c>
      <c r="AV28" s="18">
        <f>+All_Targets!DQ28</f>
        <v>4.7816494875033539</v>
      </c>
      <c r="AW28" s="108">
        <f>+All_Targets!DR28</f>
        <v>-0.89145000969697163</v>
      </c>
      <c r="AX28" s="34">
        <f>+All_Targets!DS28</f>
        <v>1.0621263771084468</v>
      </c>
      <c r="AZ28" s="3">
        <f>+All_Targets!DU28</f>
        <v>0.15</v>
      </c>
      <c r="BA28" s="18">
        <f>+All_Targets!DV28</f>
        <v>11.252376257841425</v>
      </c>
      <c r="BB28" s="108">
        <f>+All_Targets!DW28</f>
        <v>-0.13117476135139261</v>
      </c>
      <c r="BC28" s="36">
        <f>+All_Targets!DX28</f>
        <v>8.5011725978982611</v>
      </c>
      <c r="BD28" s="109">
        <f>+All_Targets!DY28</f>
        <v>-0.51131238552418212</v>
      </c>
      <c r="BE28" s="18">
        <f>+All_Targets!DZ28</f>
        <v>4.7816494875033539</v>
      </c>
      <c r="BF28" s="108">
        <f>+All_Targets!EA28</f>
        <v>-0.89145000969697163</v>
      </c>
      <c r="BG28" s="34">
        <f>+All_Targets!EB28</f>
        <v>1.0621263771084468</v>
      </c>
      <c r="BI28" s="3">
        <f>+All_Targets!F28</f>
        <v>0.15</v>
      </c>
      <c r="BJ28" s="18">
        <f>+All_Targets!G28</f>
        <v>11.252376257841425</v>
      </c>
      <c r="BK28" s="108">
        <f>+All_Targets!H28</f>
        <v>-0.09</v>
      </c>
      <c r="BL28" s="36">
        <f>+All_Targets!I28</f>
        <v>8.9040542562049545</v>
      </c>
      <c r="BM28" s="109">
        <f>+All_Targets!J28</f>
        <v>-0.34499999999999997</v>
      </c>
      <c r="BN28" s="18">
        <f>+All_Targets!K28</f>
        <v>6.4089621294662038</v>
      </c>
      <c r="BO28" s="108">
        <f>+All_Targets!L28</f>
        <v>-0.6</v>
      </c>
      <c r="BP28" s="34">
        <f>+All_Targets!M28</f>
        <v>3.9138700027274527</v>
      </c>
      <c r="BR28" s="3">
        <f>+All_Targets!O28</f>
        <v>0.15</v>
      </c>
      <c r="BS28" s="18">
        <f>+All_Targets!P28</f>
        <v>11.252376257841425</v>
      </c>
      <c r="BT28" s="108">
        <f>+All_Targets!Q28</f>
        <v>-0.09</v>
      </c>
      <c r="BU28" s="36">
        <f>+All_Targets!R28</f>
        <v>8.9040542562049545</v>
      </c>
      <c r="BV28" s="109">
        <f>+All_Targets!S28</f>
        <v>-0.34499999999999997</v>
      </c>
      <c r="BW28" s="18">
        <f>+All_Targets!T28</f>
        <v>6.4089621294662038</v>
      </c>
      <c r="BX28" s="108">
        <f>+All_Targets!U28</f>
        <v>-0.6</v>
      </c>
      <c r="BY28" s="34">
        <f>+All_Targets!V28</f>
        <v>3.9138700027274527</v>
      </c>
    </row>
    <row r="29" spans="1:77" ht="20.100000000000001" customHeight="1" x14ac:dyDescent="0.25">
      <c r="A29" s="141" t="str">
        <f>+All_Targets!A29</f>
        <v>Croatia</v>
      </c>
      <c r="B29" s="87" t="str">
        <f>VLOOKUP($A29,NEWAGE_reg!$A$2:$B$29,2,FALSE)</f>
        <v>EUS</v>
      </c>
      <c r="C29" s="87"/>
      <c r="D29" s="119">
        <f>+All_Targets!C29</f>
        <v>15.975884936738568</v>
      </c>
      <c r="E29" s="130">
        <f>+All_Targets!D29</f>
        <v>15.346253614104931</v>
      </c>
      <c r="G29" s="3">
        <f>+All_Targets!AS29</f>
        <v>0.11</v>
      </c>
      <c r="H29" s="18">
        <f>+All_Targets!AT29</f>
        <v>17.733232279779813</v>
      </c>
      <c r="I29" s="108">
        <f>+All_Targets!AU29</f>
        <v>-7.0000000000000007E-2</v>
      </c>
      <c r="J29" s="36">
        <f>+All_Targets!AV29</f>
        <v>14.857572991166867</v>
      </c>
      <c r="K29" s="109">
        <f>+All_Targets!AW29</f>
        <v>-0.33499999999999996</v>
      </c>
      <c r="L29" s="18">
        <f>+All_Targets!AX29</f>
        <v>10.623963482931149</v>
      </c>
      <c r="M29" s="108">
        <f>+All_Targets!AY29</f>
        <v>-0.6</v>
      </c>
      <c r="N29" s="34">
        <f>+All_Targets!AZ29</f>
        <v>6.3903539746954277</v>
      </c>
      <c r="P29" s="3">
        <f>+All_Targets!BB29</f>
        <v>0.11</v>
      </c>
      <c r="Q29" s="18">
        <f>+All_Targets!BC29</f>
        <v>17.733232279779813</v>
      </c>
      <c r="R29" s="108">
        <f>+All_Targets!BD29</f>
        <v>-7.0000000000000007E-2</v>
      </c>
      <c r="S29" s="36">
        <f>+All_Targets!BE29</f>
        <v>14.857572991166867</v>
      </c>
      <c r="T29" s="109">
        <f>+All_Targets!BF29</f>
        <v>-0.33499999999999996</v>
      </c>
      <c r="U29" s="18">
        <f>+All_Targets!BG29</f>
        <v>10.623963482931149</v>
      </c>
      <c r="V29" s="108">
        <f>+All_Targets!BH29</f>
        <v>-0.6</v>
      </c>
      <c r="W29" s="34">
        <f>+All_Targets!BI29</f>
        <v>6.3903539746954277</v>
      </c>
      <c r="Y29" s="3">
        <f>+All_Targets!CM29</f>
        <v>0.11</v>
      </c>
      <c r="Z29" s="18">
        <f>+All_Targets!CN29</f>
        <v>17.733232279779813</v>
      </c>
      <c r="AA29" s="108">
        <f>+All_Targets!CO29</f>
        <v>-7.0000000000000062E-2</v>
      </c>
      <c r="AB29" s="36">
        <f>+All_Targets!CP29</f>
        <v>14.857572991166867</v>
      </c>
      <c r="AC29" s="109">
        <f>+All_Targets!CQ29</f>
        <v>-0.48838569723111624</v>
      </c>
      <c r="AD29" s="18">
        <f>+All_Targets!CR29</f>
        <v>8.1734912330254161</v>
      </c>
      <c r="AE29" s="108">
        <f>+All_Targets!CS29</f>
        <v>-0.90677139446223243</v>
      </c>
      <c r="AF29" s="34">
        <f>+All_Targets!CT29</f>
        <v>1.4894094748839635</v>
      </c>
      <c r="AG29" s="1"/>
      <c r="AH29" s="3">
        <f>+All_Targets!CV29</f>
        <v>0.11</v>
      </c>
      <c r="AI29" s="18">
        <f>+All_Targets!CW29</f>
        <v>17.733232279779813</v>
      </c>
      <c r="AJ29" s="108">
        <f>+All_Targets!CX29</f>
        <v>-7.0000000000000062E-2</v>
      </c>
      <c r="AK29" s="36">
        <f>+All_Targets!CY29</f>
        <v>14.857572991166867</v>
      </c>
      <c r="AL29" s="109">
        <f>+All_Targets!CZ29</f>
        <v>-0.48838569723111624</v>
      </c>
      <c r="AM29" s="18">
        <f>+All_Targets!DA29</f>
        <v>8.1734912330254161</v>
      </c>
      <c r="AN29" s="108">
        <f>+All_Targets!DB29</f>
        <v>-0.90677139446223243</v>
      </c>
      <c r="AO29" s="34">
        <f>+All_Targets!DC29</f>
        <v>1.4894094748839635</v>
      </c>
      <c r="AQ29" s="3">
        <f>+All_Targets!DL29</f>
        <v>0.11</v>
      </c>
      <c r="AR29" s="18">
        <f>+All_Targets!DM29</f>
        <v>17.733232279779813</v>
      </c>
      <c r="AS29" s="108">
        <f>+All_Targets!DN29</f>
        <v>-0.1020248143844168</v>
      </c>
      <c r="AT29" s="36">
        <f>+All_Targets!DO29</f>
        <v>14.345948241441016</v>
      </c>
      <c r="AU29" s="109">
        <f>+All_Targets!DP29</f>
        <v>-0.49491643221653486</v>
      </c>
      <c r="AV29" s="18">
        <f>+All_Targets!DQ29</f>
        <v>8.0691569623460353</v>
      </c>
      <c r="AW29" s="108">
        <f>+All_Targets!DR29</f>
        <v>-0.88780805004865293</v>
      </c>
      <c r="AX29" s="34">
        <f>+All_Targets!DS29</f>
        <v>1.7923656832510524</v>
      </c>
      <c r="AZ29" s="3">
        <f>+All_Targets!DU29</f>
        <v>0.11</v>
      </c>
      <c r="BA29" s="18">
        <f>+All_Targets!DV29</f>
        <v>17.733232279779813</v>
      </c>
      <c r="BB29" s="108">
        <f>+All_Targets!DW29</f>
        <v>-0.1020248143844168</v>
      </c>
      <c r="BC29" s="36">
        <f>+All_Targets!DX29</f>
        <v>14.345948241441016</v>
      </c>
      <c r="BD29" s="109">
        <f>+All_Targets!DY29</f>
        <v>-0.49491643221653486</v>
      </c>
      <c r="BE29" s="18">
        <f>+All_Targets!DZ29</f>
        <v>8.0691569623460353</v>
      </c>
      <c r="BF29" s="108">
        <f>+All_Targets!EA29</f>
        <v>-0.88780805004865293</v>
      </c>
      <c r="BG29" s="34">
        <f>+All_Targets!EB29</f>
        <v>1.7923656832510524</v>
      </c>
      <c r="BI29" s="3">
        <f>+All_Targets!F29</f>
        <v>0.11</v>
      </c>
      <c r="BJ29" s="18">
        <f>+All_Targets!G29</f>
        <v>17.733232279779813</v>
      </c>
      <c r="BK29" s="108">
        <f>+All_Targets!H29</f>
        <v>-7.0000000000000007E-2</v>
      </c>
      <c r="BL29" s="36">
        <f>+All_Targets!I29</f>
        <v>14.857572991166867</v>
      </c>
      <c r="BM29" s="109">
        <f>+All_Targets!J29</f>
        <v>-0.33499999999999996</v>
      </c>
      <c r="BN29" s="18">
        <f>+All_Targets!K29</f>
        <v>10.623963482931147</v>
      </c>
      <c r="BO29" s="108">
        <f>+All_Targets!L29</f>
        <v>-0.6</v>
      </c>
      <c r="BP29" s="34">
        <f>+All_Targets!M29</f>
        <v>6.3903539746954277</v>
      </c>
      <c r="BR29" s="3">
        <f>+All_Targets!O29</f>
        <v>0.11</v>
      </c>
      <c r="BS29" s="18">
        <f>+All_Targets!P29</f>
        <v>17.733232279779813</v>
      </c>
      <c r="BT29" s="108">
        <f>+All_Targets!Q29</f>
        <v>-7.0000000000000007E-2</v>
      </c>
      <c r="BU29" s="36">
        <f>+All_Targets!R29</f>
        <v>14.857572991166867</v>
      </c>
      <c r="BV29" s="109">
        <f>+All_Targets!S29</f>
        <v>-0.33499999999999996</v>
      </c>
      <c r="BW29" s="18">
        <f>+All_Targets!T29</f>
        <v>10.623963482931149</v>
      </c>
      <c r="BX29" s="108">
        <f>+All_Targets!U29</f>
        <v>-0.6</v>
      </c>
      <c r="BY29" s="34">
        <f>+All_Targets!V29</f>
        <v>6.3903539746954277</v>
      </c>
    </row>
    <row r="30" spans="1:77" ht="20.100000000000001" customHeight="1" x14ac:dyDescent="0.25">
      <c r="A30" s="141" t="str">
        <f>+All_Targets!A30</f>
        <v>Hungary</v>
      </c>
      <c r="B30" s="84" t="str">
        <f>VLOOKUP($A30,NEWAGE_reg!$A$2:$B$29,2,FALSE)</f>
        <v>EUS</v>
      </c>
      <c r="C30" s="84"/>
      <c r="D30" s="119">
        <f>+All_Targets!C30</f>
        <v>41.645268560591987</v>
      </c>
      <c r="E30" s="130">
        <f>+All_Targets!D30</f>
        <v>36.736692918657198</v>
      </c>
      <c r="G30" s="3">
        <f>+All_Targets!AS30</f>
        <v>0.1</v>
      </c>
      <c r="H30" s="18">
        <f>+All_Targets!AT30</f>
        <v>45.809795416651191</v>
      </c>
      <c r="I30" s="108">
        <f>+All_Targets!AU30</f>
        <v>-7.0000000000000007E-2</v>
      </c>
      <c r="J30" s="36">
        <f>+All_Targets!AV30</f>
        <v>38.730099761350544</v>
      </c>
      <c r="K30" s="109">
        <f>+All_Targets!AW30</f>
        <v>-0.33499999999999996</v>
      </c>
      <c r="L30" s="18">
        <f>+All_Targets!AX30</f>
        <v>27.694103592793674</v>
      </c>
      <c r="M30" s="108">
        <f>+All_Targets!AY30</f>
        <v>-0.6</v>
      </c>
      <c r="N30" s="34">
        <f>+All_Targets!AZ30</f>
        <v>16.658107424236796</v>
      </c>
      <c r="P30" s="3">
        <f>+All_Targets!BB30</f>
        <v>0.1</v>
      </c>
      <c r="Q30" s="18">
        <f>+All_Targets!BC30</f>
        <v>45.809795416651191</v>
      </c>
      <c r="R30" s="108">
        <f>+All_Targets!BD30</f>
        <v>-7.0000000000000007E-2</v>
      </c>
      <c r="S30" s="36">
        <f>+All_Targets!BE30</f>
        <v>38.730099761350544</v>
      </c>
      <c r="T30" s="109">
        <f>+All_Targets!BF30</f>
        <v>-0.33499999999999996</v>
      </c>
      <c r="U30" s="18">
        <f>+All_Targets!BG30</f>
        <v>27.694103592793674</v>
      </c>
      <c r="V30" s="108">
        <f>+All_Targets!BH30</f>
        <v>-0.6</v>
      </c>
      <c r="W30" s="34">
        <f>+All_Targets!BI30</f>
        <v>16.658107424236796</v>
      </c>
      <c r="Y30" s="3">
        <f>+All_Targets!CM30</f>
        <v>0.1</v>
      </c>
      <c r="Z30" s="18">
        <f>+All_Targets!CN30</f>
        <v>45.809795416651191</v>
      </c>
      <c r="AA30" s="108">
        <f>+All_Targets!CO30</f>
        <v>-7.0000000000000062E-2</v>
      </c>
      <c r="AB30" s="36">
        <f>+All_Targets!CP30</f>
        <v>38.730099761350544</v>
      </c>
      <c r="AC30" s="109">
        <f>+All_Targets!CQ30</f>
        <v>-0.48838569723111624</v>
      </c>
      <c r="AD30" s="18">
        <f>+All_Targets!CR30</f>
        <v>21.306315038250187</v>
      </c>
      <c r="AE30" s="108">
        <f>+All_Targets!CS30</f>
        <v>-0.90677139446223243</v>
      </c>
      <c r="AF30" s="34">
        <f>+All_Targets!CT30</f>
        <v>3.8825303151498263</v>
      </c>
      <c r="AG30" s="1"/>
      <c r="AH30" s="3">
        <f>+All_Targets!CV30</f>
        <v>0.1</v>
      </c>
      <c r="AI30" s="18">
        <f>+All_Targets!CW30</f>
        <v>45.809795416651191</v>
      </c>
      <c r="AJ30" s="108">
        <f>+All_Targets!CX30</f>
        <v>-7.0000000000000062E-2</v>
      </c>
      <c r="AK30" s="36">
        <f>+All_Targets!CY30</f>
        <v>38.730099761350544</v>
      </c>
      <c r="AL30" s="109">
        <f>+All_Targets!CZ30</f>
        <v>-0.48838569723111624</v>
      </c>
      <c r="AM30" s="18">
        <f>+All_Targets!DA30</f>
        <v>21.306315038250187</v>
      </c>
      <c r="AN30" s="108">
        <f>+All_Targets!DB30</f>
        <v>-0.90677139446223243</v>
      </c>
      <c r="AO30" s="34">
        <f>+All_Targets!DC30</f>
        <v>3.8825303151498263</v>
      </c>
      <c r="AQ30" s="3">
        <f>+All_Targets!DL30</f>
        <v>0.1</v>
      </c>
      <c r="AR30" s="18">
        <f>+All_Targets!DM30</f>
        <v>45.809795416651191</v>
      </c>
      <c r="AS30" s="108">
        <f>+All_Targets!DN30</f>
        <v>-0.10202481438441668</v>
      </c>
      <c r="AT30" s="36">
        <f>+All_Targets!DO30</f>
        <v>37.396417765708406</v>
      </c>
      <c r="AU30" s="109">
        <f>+All_Targets!DP30</f>
        <v>-0.49491643221653481</v>
      </c>
      <c r="AV30" s="18">
        <f>+All_Targets!DQ30</f>
        <v>21.034340825884374</v>
      </c>
      <c r="AW30" s="108">
        <f>+All_Targets!DR30</f>
        <v>-0.88780805004865293</v>
      </c>
      <c r="AX30" s="34">
        <f>+All_Targets!DS30</f>
        <v>4.6722638860603425</v>
      </c>
      <c r="AZ30" s="3">
        <f>+All_Targets!DU30</f>
        <v>0.1</v>
      </c>
      <c r="BA30" s="18">
        <f>+All_Targets!DV30</f>
        <v>45.809795416651191</v>
      </c>
      <c r="BB30" s="108">
        <f>+All_Targets!DW30</f>
        <v>-0.10202481438441668</v>
      </c>
      <c r="BC30" s="36">
        <f>+All_Targets!DX30</f>
        <v>37.396417765708406</v>
      </c>
      <c r="BD30" s="109">
        <f>+All_Targets!DY30</f>
        <v>-0.49491643221653481</v>
      </c>
      <c r="BE30" s="18">
        <f>+All_Targets!DZ30</f>
        <v>21.034340825884374</v>
      </c>
      <c r="BF30" s="108">
        <f>+All_Targets!EA30</f>
        <v>-0.88780805004865293</v>
      </c>
      <c r="BG30" s="34">
        <f>+All_Targets!EB30</f>
        <v>4.6722638860603425</v>
      </c>
      <c r="BI30" s="3">
        <f>+All_Targets!F30</f>
        <v>0.1</v>
      </c>
      <c r="BJ30" s="18">
        <f>+All_Targets!G30</f>
        <v>45.809795416651191</v>
      </c>
      <c r="BK30" s="108">
        <f>+All_Targets!H30</f>
        <v>-7.0000000000000007E-2</v>
      </c>
      <c r="BL30" s="36">
        <f>+All_Targets!I30</f>
        <v>38.730099761350544</v>
      </c>
      <c r="BM30" s="109">
        <f>+All_Targets!J30</f>
        <v>-0.33499999999999996</v>
      </c>
      <c r="BN30" s="18">
        <f>+All_Targets!K30</f>
        <v>27.69410359279367</v>
      </c>
      <c r="BO30" s="108">
        <f>+All_Targets!L30</f>
        <v>-0.6</v>
      </c>
      <c r="BP30" s="34">
        <f>+All_Targets!M30</f>
        <v>16.658107424236796</v>
      </c>
      <c r="BR30" s="3">
        <f>+All_Targets!O30</f>
        <v>0.1</v>
      </c>
      <c r="BS30" s="18">
        <f>+All_Targets!P30</f>
        <v>45.809795416651191</v>
      </c>
      <c r="BT30" s="108">
        <f>+All_Targets!Q30</f>
        <v>-7.0000000000000007E-2</v>
      </c>
      <c r="BU30" s="36">
        <f>+All_Targets!R30</f>
        <v>38.730099761350544</v>
      </c>
      <c r="BV30" s="109">
        <f>+All_Targets!S30</f>
        <v>-0.33499999999999996</v>
      </c>
      <c r="BW30" s="18">
        <f>+All_Targets!T30</f>
        <v>27.694103592793674</v>
      </c>
      <c r="BX30" s="108">
        <f>+All_Targets!U30</f>
        <v>-0.6</v>
      </c>
      <c r="BY30" s="34">
        <f>+All_Targets!V30</f>
        <v>16.658107424236796</v>
      </c>
    </row>
    <row r="31" spans="1:77" ht="20.100000000000001" customHeight="1" x14ac:dyDescent="0.25">
      <c r="A31" s="141" t="str">
        <f>+All_Targets!A31</f>
        <v>Greece</v>
      </c>
      <c r="B31" s="87" t="str">
        <f>VLOOKUP($A31,NEWAGE_reg!$A$2:$B$29,2,FALSE)</f>
        <v>EUS</v>
      </c>
      <c r="C31" s="87"/>
      <c r="D31" s="119">
        <f>+All_Targets!C31</f>
        <v>57.979763699629586</v>
      </c>
      <c r="E31" s="130">
        <f>+All_Targets!D31</f>
        <v>50.030956488916274</v>
      </c>
      <c r="G31" s="3">
        <f>+All_Targets!AS31</f>
        <v>-0.04</v>
      </c>
      <c r="H31" s="18">
        <f>+All_Targets!AT31</f>
        <v>55.6605731516444</v>
      </c>
      <c r="I31" s="108">
        <f>+All_Targets!AU31</f>
        <v>-0.16</v>
      </c>
      <c r="J31" s="36">
        <f>+All_Targets!AV31</f>
        <v>48.703001507688853</v>
      </c>
      <c r="K31" s="109">
        <f>+All_Targets!AW31</f>
        <v>-0.38</v>
      </c>
      <c r="L31" s="18">
        <f>+All_Targets!AX31</f>
        <v>35.947453493770347</v>
      </c>
      <c r="M31" s="108">
        <f>+All_Targets!AY31</f>
        <v>-0.6</v>
      </c>
      <c r="N31" s="34">
        <f>+All_Targets!AZ31</f>
        <v>23.191905479851837</v>
      </c>
      <c r="P31" s="3">
        <f>+All_Targets!BB31</f>
        <v>-0.04</v>
      </c>
      <c r="Q31" s="18">
        <f>+All_Targets!BC31</f>
        <v>55.6605731516444</v>
      </c>
      <c r="R31" s="108">
        <f>+All_Targets!BD31</f>
        <v>-0.16</v>
      </c>
      <c r="S31" s="36">
        <f>+All_Targets!BE31</f>
        <v>48.703001507688853</v>
      </c>
      <c r="T31" s="109">
        <f>+All_Targets!BF31</f>
        <v>-0.38</v>
      </c>
      <c r="U31" s="18">
        <f>+All_Targets!BG31</f>
        <v>35.947453493770347</v>
      </c>
      <c r="V31" s="108">
        <f>+All_Targets!BH31</f>
        <v>-0.6</v>
      </c>
      <c r="W31" s="34">
        <f>+All_Targets!BI31</f>
        <v>23.191905479851837</v>
      </c>
      <c r="Y31" s="3">
        <f>+All_Targets!CM31</f>
        <v>-0.04</v>
      </c>
      <c r="Z31" s="18">
        <f>+All_Targets!CN31</f>
        <v>55.6605731516444</v>
      </c>
      <c r="AA31" s="108">
        <f>+All_Targets!CO31</f>
        <v>-0.16000000000000003</v>
      </c>
      <c r="AB31" s="36">
        <f>+All_Targets!CP31</f>
        <v>48.703001507688853</v>
      </c>
      <c r="AC31" s="109">
        <f>+All_Targets!CQ31</f>
        <v>-0.53789675878939525</v>
      </c>
      <c r="AD31" s="18">
        <f>+All_Targets!CR31</f>
        <v>26.792636730223794</v>
      </c>
      <c r="AE31" s="108">
        <f>+All_Targets!CS31</f>
        <v>-0.91579351757879057</v>
      </c>
      <c r="AF31" s="34">
        <f>+All_Targets!CT31</f>
        <v>4.8822719527587379</v>
      </c>
      <c r="AG31" s="1"/>
      <c r="AH31" s="3">
        <f>+All_Targets!CV31</f>
        <v>-0.04</v>
      </c>
      <c r="AI31" s="18">
        <f>+All_Targets!CW31</f>
        <v>55.6605731516444</v>
      </c>
      <c r="AJ31" s="108">
        <f>+All_Targets!CX31</f>
        <v>-0.16000000000000003</v>
      </c>
      <c r="AK31" s="36">
        <f>+All_Targets!CY31</f>
        <v>48.703001507688853</v>
      </c>
      <c r="AL31" s="109">
        <f>+All_Targets!CZ31</f>
        <v>-0.53789675878939525</v>
      </c>
      <c r="AM31" s="18">
        <f>+All_Targets!DA31</f>
        <v>26.792636730223794</v>
      </c>
      <c r="AN31" s="108">
        <f>+All_Targets!DB31</f>
        <v>-0.91579351757879057</v>
      </c>
      <c r="AO31" s="34">
        <f>+All_Targets!DC31</f>
        <v>4.8822719527587379</v>
      </c>
      <c r="AQ31" s="3">
        <f>+All_Targets!DL31</f>
        <v>-0.04</v>
      </c>
      <c r="AR31" s="18">
        <f>+All_Targets!DM31</f>
        <v>55.6605731516444</v>
      </c>
      <c r="AS31" s="108">
        <f>+All_Targets!DN31</f>
        <v>-0.23319957573580918</v>
      </c>
      <c r="AT31" s="36">
        <f>+All_Targets!DO31</f>
        <v>44.458907403613495</v>
      </c>
      <c r="AU31" s="109">
        <f>+All_Targets!DP31</f>
        <v>-0.568698222100948</v>
      </c>
      <c r="AV31" s="18">
        <f>+All_Targets!DQ31</f>
        <v>25.006775165817153</v>
      </c>
      <c r="AW31" s="108">
        <f>+All_Targets!DR31</f>
        <v>-0.90419686846608682</v>
      </c>
      <c r="AX31" s="34">
        <f>+All_Targets!DS31</f>
        <v>5.5546429280208143</v>
      </c>
      <c r="AZ31" s="3">
        <f>+All_Targets!DU31</f>
        <v>-0.04</v>
      </c>
      <c r="BA31" s="18">
        <f>+All_Targets!DV31</f>
        <v>55.6605731516444</v>
      </c>
      <c r="BB31" s="108">
        <f>+All_Targets!DW31</f>
        <v>-0.23319957573580918</v>
      </c>
      <c r="BC31" s="36">
        <f>+All_Targets!DX31</f>
        <v>44.458907403613495</v>
      </c>
      <c r="BD31" s="109">
        <f>+All_Targets!DY31</f>
        <v>-0.568698222100948</v>
      </c>
      <c r="BE31" s="18">
        <f>+All_Targets!DZ31</f>
        <v>25.006775165817153</v>
      </c>
      <c r="BF31" s="108">
        <f>+All_Targets!EA31</f>
        <v>-0.90419686846608682</v>
      </c>
      <c r="BG31" s="34">
        <f>+All_Targets!EB31</f>
        <v>5.5546429280208143</v>
      </c>
      <c r="BI31" s="3">
        <f>+All_Targets!F31</f>
        <v>-0.04</v>
      </c>
      <c r="BJ31" s="18">
        <f>+All_Targets!G31</f>
        <v>55.6605731516444</v>
      </c>
      <c r="BK31" s="108">
        <f>+All_Targets!H31</f>
        <v>-0.16</v>
      </c>
      <c r="BL31" s="36">
        <f>+All_Targets!I31</f>
        <v>48.703001507688853</v>
      </c>
      <c r="BM31" s="109">
        <f>+All_Targets!J31</f>
        <v>-0.38</v>
      </c>
      <c r="BN31" s="18">
        <f>+All_Targets!K31</f>
        <v>35.947453493770347</v>
      </c>
      <c r="BO31" s="108">
        <f>+All_Targets!L31</f>
        <v>-0.6</v>
      </c>
      <c r="BP31" s="34">
        <f>+All_Targets!M31</f>
        <v>23.191905479851837</v>
      </c>
      <c r="BR31" s="3">
        <f>+All_Targets!O31</f>
        <v>-0.04</v>
      </c>
      <c r="BS31" s="18">
        <f>+All_Targets!P31</f>
        <v>55.6605731516444</v>
      </c>
      <c r="BT31" s="108">
        <f>+All_Targets!Q31</f>
        <v>-0.16</v>
      </c>
      <c r="BU31" s="36">
        <f>+All_Targets!R31</f>
        <v>48.703001507688853</v>
      </c>
      <c r="BV31" s="109">
        <f>+All_Targets!S31</f>
        <v>-0.38</v>
      </c>
      <c r="BW31" s="18">
        <f>+All_Targets!T31</f>
        <v>35.947453493770347</v>
      </c>
      <c r="BX31" s="108">
        <f>+All_Targets!U31</f>
        <v>-0.6</v>
      </c>
      <c r="BY31" s="34">
        <f>+All_Targets!V31</f>
        <v>23.191905479851837</v>
      </c>
    </row>
    <row r="32" spans="1:77" ht="20.100000000000001" customHeight="1" x14ac:dyDescent="0.25">
      <c r="A32" s="141" t="str">
        <f>+All_Targets!A32</f>
        <v>Slovakia</v>
      </c>
      <c r="B32" s="87" t="str">
        <f>VLOOKUP($A32,NEWAGE_reg!$A$2:$B$29,2,FALSE)</f>
        <v>EUS</v>
      </c>
      <c r="C32" s="87"/>
      <c r="D32" s="119">
        <f>+All_Targets!C32</f>
        <v>20.782580891152513</v>
      </c>
      <c r="E32" s="130">
        <f>+All_Targets!D32</f>
        <v>20.77694649044259</v>
      </c>
      <c r="G32" s="3">
        <f>+All_Targets!AS32</f>
        <v>0.13</v>
      </c>
      <c r="H32" s="18">
        <f>+All_Targets!AT32</f>
        <v>23.484316407002339</v>
      </c>
      <c r="I32" s="108">
        <f>+All_Targets!AU32</f>
        <v>-0.12</v>
      </c>
      <c r="J32" s="36">
        <f>+All_Targets!AV32</f>
        <v>18.288671184214213</v>
      </c>
      <c r="K32" s="109">
        <f>+All_Targets!AW32</f>
        <v>-0.36</v>
      </c>
      <c r="L32" s="18">
        <f>+All_Targets!AX32</f>
        <v>13.300851770337609</v>
      </c>
      <c r="M32" s="108">
        <f>+All_Targets!AY32</f>
        <v>-0.6</v>
      </c>
      <c r="N32" s="34">
        <f>+All_Targets!AZ32</f>
        <v>8.3130323564610062</v>
      </c>
      <c r="P32" s="3">
        <f>+All_Targets!BB32</f>
        <v>0.13</v>
      </c>
      <c r="Q32" s="18">
        <f>+All_Targets!BC32</f>
        <v>23.484316407002339</v>
      </c>
      <c r="R32" s="108">
        <f>+All_Targets!BD32</f>
        <v>-0.12</v>
      </c>
      <c r="S32" s="36">
        <f>+All_Targets!BE32</f>
        <v>18.288671184214213</v>
      </c>
      <c r="T32" s="109">
        <f>+All_Targets!BF32</f>
        <v>-0.36</v>
      </c>
      <c r="U32" s="18">
        <f>+All_Targets!BG32</f>
        <v>13.300851770337609</v>
      </c>
      <c r="V32" s="108">
        <f>+All_Targets!BH32</f>
        <v>-0.6</v>
      </c>
      <c r="W32" s="34">
        <f>+All_Targets!BI32</f>
        <v>8.3130323564610062</v>
      </c>
      <c r="Y32" s="3">
        <f>+All_Targets!CM32</f>
        <v>0.13</v>
      </c>
      <c r="Z32" s="18">
        <f>+All_Targets!CN32</f>
        <v>23.484316407002339</v>
      </c>
      <c r="AA32" s="108">
        <f>+All_Targets!CO32</f>
        <v>-0.11999999999999988</v>
      </c>
      <c r="AB32" s="36">
        <f>+All_Targets!CP32</f>
        <v>18.288671184214213</v>
      </c>
      <c r="AC32" s="109">
        <f>+All_Targets!CQ32</f>
        <v>-0.51589184254127118</v>
      </c>
      <c r="AD32" s="18">
        <f>+All_Targets!CR32</f>
        <v>10.061016942452829</v>
      </c>
      <c r="AE32" s="108">
        <f>+All_Targets!CS32</f>
        <v>-0.91178368508254248</v>
      </c>
      <c r="AF32" s="34">
        <f>+All_Targets!CT32</f>
        <v>1.8333627006914455</v>
      </c>
      <c r="AG32" s="1"/>
      <c r="AH32" s="3">
        <f>+All_Targets!CV32</f>
        <v>0.13</v>
      </c>
      <c r="AI32" s="18">
        <f>+All_Targets!CW32</f>
        <v>23.484316407002339</v>
      </c>
      <c r="AJ32" s="108">
        <f>+All_Targets!CX32</f>
        <v>-0.11999999999999988</v>
      </c>
      <c r="AK32" s="36">
        <f>+All_Targets!CY32</f>
        <v>18.288671184214213</v>
      </c>
      <c r="AL32" s="109">
        <f>+All_Targets!CZ32</f>
        <v>-0.51589184254127118</v>
      </c>
      <c r="AM32" s="18">
        <f>+All_Targets!DA32</f>
        <v>10.061016942452829</v>
      </c>
      <c r="AN32" s="108">
        <f>+All_Targets!DB32</f>
        <v>-0.91178368508254248</v>
      </c>
      <c r="AO32" s="34">
        <f>+All_Targets!DC32</f>
        <v>1.8333627006914455</v>
      </c>
      <c r="AQ32" s="3">
        <f>+All_Targets!DL32</f>
        <v>0.13</v>
      </c>
      <c r="AR32" s="18">
        <f>+All_Targets!DM32</f>
        <v>23.484316407002339</v>
      </c>
      <c r="AS32" s="108">
        <f>+All_Targets!DN32</f>
        <v>-0.17489968180185689</v>
      </c>
      <c r="AT32" s="36">
        <f>+All_Targets!DO32</f>
        <v>17.147714106268587</v>
      </c>
      <c r="AU32" s="109">
        <f>+All_Targets!DP32</f>
        <v>-0.53590631548565315</v>
      </c>
      <c r="AV32" s="18">
        <f>+All_Targets!DQ32</f>
        <v>9.6450645394924273</v>
      </c>
      <c r="AW32" s="108">
        <f>+All_Targets!DR32</f>
        <v>-0.89691294916944952</v>
      </c>
      <c r="AX32" s="34">
        <f>+All_Targets!DS32</f>
        <v>2.1424149727162654</v>
      </c>
      <c r="AZ32" s="3">
        <f>+All_Targets!DU32</f>
        <v>0.13</v>
      </c>
      <c r="BA32" s="18">
        <f>+All_Targets!DV32</f>
        <v>23.484316407002339</v>
      </c>
      <c r="BB32" s="108">
        <f>+All_Targets!DW32</f>
        <v>-0.17489968180185689</v>
      </c>
      <c r="BC32" s="36">
        <f>+All_Targets!DX32</f>
        <v>17.147714106268587</v>
      </c>
      <c r="BD32" s="109">
        <f>+All_Targets!DY32</f>
        <v>-0.53590631548565315</v>
      </c>
      <c r="BE32" s="18">
        <f>+All_Targets!DZ32</f>
        <v>9.6450645394924273</v>
      </c>
      <c r="BF32" s="108">
        <f>+All_Targets!EA32</f>
        <v>-0.89691294916944952</v>
      </c>
      <c r="BG32" s="34">
        <f>+All_Targets!EB32</f>
        <v>2.1424149727162654</v>
      </c>
      <c r="BI32" s="3">
        <f>+All_Targets!F32</f>
        <v>0.13</v>
      </c>
      <c r="BJ32" s="18">
        <f>+All_Targets!G32</f>
        <v>23.484316407002339</v>
      </c>
      <c r="BK32" s="108">
        <f>+All_Targets!H32</f>
        <v>-0.12</v>
      </c>
      <c r="BL32" s="36">
        <f>+All_Targets!I32</f>
        <v>18.288671184214213</v>
      </c>
      <c r="BM32" s="109">
        <f>+All_Targets!J32</f>
        <v>-0.36</v>
      </c>
      <c r="BN32" s="18">
        <f>+All_Targets!K32</f>
        <v>13.300851770337609</v>
      </c>
      <c r="BO32" s="108">
        <f>+All_Targets!L32</f>
        <v>-0.6</v>
      </c>
      <c r="BP32" s="34">
        <f>+All_Targets!M32</f>
        <v>8.3130323564610062</v>
      </c>
      <c r="BR32" s="3">
        <f>+All_Targets!O32</f>
        <v>0.13</v>
      </c>
      <c r="BS32" s="18">
        <f>+All_Targets!P32</f>
        <v>23.484316407002339</v>
      </c>
      <c r="BT32" s="108">
        <f>+All_Targets!Q32</f>
        <v>-0.12</v>
      </c>
      <c r="BU32" s="36">
        <f>+All_Targets!R32</f>
        <v>18.288671184214213</v>
      </c>
      <c r="BV32" s="109">
        <f>+All_Targets!S32</f>
        <v>-0.36</v>
      </c>
      <c r="BW32" s="18">
        <f>+All_Targets!T32</f>
        <v>13.300851770337609</v>
      </c>
      <c r="BX32" s="108">
        <f>+All_Targets!U32</f>
        <v>-0.6</v>
      </c>
      <c r="BY32" s="34">
        <f>+All_Targets!V32</f>
        <v>8.3130323564610062</v>
      </c>
    </row>
    <row r="33" spans="1:77" ht="20.100000000000001" customHeight="1" x14ac:dyDescent="0.25">
      <c r="A33" s="141" t="str">
        <f>+All_Targets!A33</f>
        <v>Slovenia</v>
      </c>
      <c r="B33" s="84" t="str">
        <f>VLOOKUP($A33,NEWAGE_reg!$A$2:$B$29,2,FALSE)</f>
        <v>EUS</v>
      </c>
      <c r="C33" s="84"/>
      <c r="D33" s="119">
        <f>+All_Targets!C33</f>
        <v>10.96403176989808</v>
      </c>
      <c r="E33" s="130">
        <f>+All_Targets!D33</f>
        <v>11.085624785753687</v>
      </c>
      <c r="G33" s="3">
        <f>+All_Targets!AS33</f>
        <v>0.04</v>
      </c>
      <c r="H33" s="18">
        <f>+All_Targets!AT33</f>
        <v>11.402593040694004</v>
      </c>
      <c r="I33" s="108">
        <f>+All_Targets!AU33</f>
        <v>-0.15</v>
      </c>
      <c r="J33" s="36">
        <f>+All_Targets!AV33</f>
        <v>9.3194270044133685</v>
      </c>
      <c r="K33" s="109">
        <f>+All_Targets!AW33</f>
        <v>-0.375</v>
      </c>
      <c r="L33" s="18">
        <f>+All_Targets!AX33</f>
        <v>6.8525198561862997</v>
      </c>
      <c r="M33" s="108">
        <f>+All_Targets!AY33</f>
        <v>-0.6</v>
      </c>
      <c r="N33" s="34">
        <f>+All_Targets!AZ33</f>
        <v>4.3856127079592317</v>
      </c>
      <c r="P33" s="3">
        <f>+All_Targets!BB33</f>
        <v>0.04</v>
      </c>
      <c r="Q33" s="18">
        <f>+All_Targets!BC33</f>
        <v>11.402593040694004</v>
      </c>
      <c r="R33" s="108">
        <f>+All_Targets!BD33</f>
        <v>-0.15</v>
      </c>
      <c r="S33" s="36">
        <f>+All_Targets!BE33</f>
        <v>9.3194270044133685</v>
      </c>
      <c r="T33" s="109">
        <f>+All_Targets!BF33</f>
        <v>-0.375</v>
      </c>
      <c r="U33" s="18">
        <f>+All_Targets!BG33</f>
        <v>6.8525198561862997</v>
      </c>
      <c r="V33" s="108">
        <f>+All_Targets!BH33</f>
        <v>-0.6</v>
      </c>
      <c r="W33" s="34">
        <f>+All_Targets!BI33</f>
        <v>4.3856127079592317</v>
      </c>
      <c r="Y33" s="3">
        <f>+All_Targets!CM33</f>
        <v>0.04</v>
      </c>
      <c r="Z33" s="18">
        <f>+All_Targets!CN33</f>
        <v>11.402593040694004</v>
      </c>
      <c r="AA33" s="108">
        <f>+All_Targets!CO33</f>
        <v>-0.14999999999999991</v>
      </c>
      <c r="AB33" s="36">
        <f>+All_Targets!CP33</f>
        <v>9.3194270044133685</v>
      </c>
      <c r="AC33" s="109">
        <f>+All_Targets!CQ33</f>
        <v>-0.53239552972736415</v>
      </c>
      <c r="AD33" s="18">
        <f>+All_Targets!CR33</f>
        <v>5.1268302678155413</v>
      </c>
      <c r="AE33" s="108">
        <f>+All_Targets!CS33</f>
        <v>-0.91479105945472849</v>
      </c>
      <c r="AF33" s="34">
        <f>+All_Targets!CT33</f>
        <v>0.93423353121771335</v>
      </c>
      <c r="AG33" s="1"/>
      <c r="AH33" s="3">
        <f>+All_Targets!CV33</f>
        <v>0.04</v>
      </c>
      <c r="AI33" s="18">
        <f>+All_Targets!CW33</f>
        <v>11.402593040694004</v>
      </c>
      <c r="AJ33" s="108">
        <f>+All_Targets!CX33</f>
        <v>-0.14999999999999991</v>
      </c>
      <c r="AK33" s="36">
        <f>+All_Targets!CY33</f>
        <v>9.3194270044133685</v>
      </c>
      <c r="AL33" s="109">
        <f>+All_Targets!CZ33</f>
        <v>-0.53239552972736415</v>
      </c>
      <c r="AM33" s="18">
        <f>+All_Targets!DA33</f>
        <v>5.1268302678155413</v>
      </c>
      <c r="AN33" s="108">
        <f>+All_Targets!DB33</f>
        <v>-0.91479105945472849</v>
      </c>
      <c r="AO33" s="34">
        <f>+All_Targets!DC33</f>
        <v>0.93423353121771335</v>
      </c>
      <c r="AQ33" s="3">
        <f>+All_Targets!DL33</f>
        <v>0.04</v>
      </c>
      <c r="AR33" s="18">
        <f>+All_Targets!DM33</f>
        <v>11.402593040694004</v>
      </c>
      <c r="AS33" s="108">
        <f>+All_Targets!DN33</f>
        <v>-0.21862460225232105</v>
      </c>
      <c r="AT33" s="36">
        <f>+All_Targets!DO33</f>
        <v>8.5670246851223002</v>
      </c>
      <c r="AU33" s="109">
        <f>+All_Targets!DP33</f>
        <v>-0.56050024544712429</v>
      </c>
      <c r="AV33" s="18">
        <f>+All_Targets!DQ33</f>
        <v>4.8186892717801371</v>
      </c>
      <c r="AW33" s="108">
        <f>+All_Targets!DR33</f>
        <v>-0.90237588864192753</v>
      </c>
      <c r="AX33" s="34">
        <f>+All_Targets!DS33</f>
        <v>1.0703538584379741</v>
      </c>
      <c r="AZ33" s="3">
        <f>+All_Targets!DU33</f>
        <v>0.04</v>
      </c>
      <c r="BA33" s="18">
        <f>+All_Targets!DV33</f>
        <v>11.402593040694004</v>
      </c>
      <c r="BB33" s="108">
        <f>+All_Targets!DW33</f>
        <v>-0.21862460225232105</v>
      </c>
      <c r="BC33" s="36">
        <f>+All_Targets!DX33</f>
        <v>8.5670246851223002</v>
      </c>
      <c r="BD33" s="109">
        <f>+All_Targets!DY33</f>
        <v>-0.56050024544712429</v>
      </c>
      <c r="BE33" s="18">
        <f>+All_Targets!DZ33</f>
        <v>4.8186892717801371</v>
      </c>
      <c r="BF33" s="108">
        <f>+All_Targets!EA33</f>
        <v>-0.90237588864192753</v>
      </c>
      <c r="BG33" s="34">
        <f>+All_Targets!EB33</f>
        <v>1.0703538584379741</v>
      </c>
      <c r="BI33" s="3">
        <f>+All_Targets!F33</f>
        <v>0.04</v>
      </c>
      <c r="BJ33" s="18">
        <f>+All_Targets!G33</f>
        <v>11.402593040694004</v>
      </c>
      <c r="BK33" s="108">
        <f>+All_Targets!H33</f>
        <v>-0.15</v>
      </c>
      <c r="BL33" s="36">
        <f>+All_Targets!I33</f>
        <v>9.3194270044133685</v>
      </c>
      <c r="BM33" s="109">
        <f>+All_Targets!J33</f>
        <v>-0.375</v>
      </c>
      <c r="BN33" s="18">
        <f>+All_Targets!K33</f>
        <v>6.8525198561862997</v>
      </c>
      <c r="BO33" s="108">
        <f>+All_Targets!L33</f>
        <v>-0.6</v>
      </c>
      <c r="BP33" s="34">
        <f>+All_Targets!M33</f>
        <v>4.3856127079592317</v>
      </c>
      <c r="BR33" s="3">
        <f>+All_Targets!O33</f>
        <v>0.04</v>
      </c>
      <c r="BS33" s="18">
        <f>+All_Targets!P33</f>
        <v>11.402593040694004</v>
      </c>
      <c r="BT33" s="108">
        <f>+All_Targets!Q33</f>
        <v>-0.15</v>
      </c>
      <c r="BU33" s="36">
        <f>+All_Targets!R33</f>
        <v>9.3194270044133685</v>
      </c>
      <c r="BV33" s="109">
        <f>+All_Targets!S33</f>
        <v>-0.375</v>
      </c>
      <c r="BW33" s="18">
        <f>+All_Targets!T33</f>
        <v>6.8525198561862997</v>
      </c>
      <c r="BX33" s="108">
        <f>+All_Targets!U33</f>
        <v>-0.6</v>
      </c>
      <c r="BY33" s="34">
        <f>+All_Targets!V33</f>
        <v>4.3856127079592317</v>
      </c>
    </row>
    <row r="34" spans="1:77" ht="20.100000000000001" customHeight="1" x14ac:dyDescent="0.25">
      <c r="A34" s="141" t="str">
        <f>+All_Targets!A34</f>
        <v>Cyprus</v>
      </c>
      <c r="B34" s="87" t="str">
        <f>VLOOKUP($A34,NEWAGE_reg!$A$2:$B$29,2,FALSE)</f>
        <v>EUS</v>
      </c>
      <c r="C34" s="87"/>
      <c r="D34" s="119">
        <f>+All_Targets!C34</f>
        <v>3.8115391285948368</v>
      </c>
      <c r="E34" s="130">
        <f>+All_Targets!D34</f>
        <v>4.0485859102332569</v>
      </c>
      <c r="G34" s="3">
        <f>+All_Targets!AS34</f>
        <v>-0.05</v>
      </c>
      <c r="H34" s="18">
        <f>+All_Targets!AT34</f>
        <v>3.6209621721650946</v>
      </c>
      <c r="I34" s="108">
        <f>+All_Targets!AU34</f>
        <v>-0.24</v>
      </c>
      <c r="J34" s="36">
        <f>+All_Targets!AV34</f>
        <v>2.8967697377320758</v>
      </c>
      <c r="K34" s="109">
        <f>+All_Targets!AW34</f>
        <v>-0.42</v>
      </c>
      <c r="L34" s="18">
        <f>+All_Targets!AX34</f>
        <v>2.2106926945850054</v>
      </c>
      <c r="M34" s="108">
        <f>+All_Targets!AY34</f>
        <v>-0.6</v>
      </c>
      <c r="N34" s="34">
        <f>+All_Targets!AZ34</f>
        <v>1.5246156514379348</v>
      </c>
      <c r="P34" s="3">
        <f>+All_Targets!BB34</f>
        <v>-0.05</v>
      </c>
      <c r="Q34" s="18">
        <f>+All_Targets!BC34</f>
        <v>3.6209621721650946</v>
      </c>
      <c r="R34" s="108">
        <f>+All_Targets!BD34</f>
        <v>-0.24</v>
      </c>
      <c r="S34" s="36">
        <f>+All_Targets!BE34</f>
        <v>2.8967697377320758</v>
      </c>
      <c r="T34" s="109">
        <f>+All_Targets!BF34</f>
        <v>-0.42</v>
      </c>
      <c r="U34" s="18">
        <f>+All_Targets!BG34</f>
        <v>2.2106926945850054</v>
      </c>
      <c r="V34" s="108">
        <f>+All_Targets!BH34</f>
        <v>-0.6</v>
      </c>
      <c r="W34" s="34">
        <f>+All_Targets!BI34</f>
        <v>1.5246156514379348</v>
      </c>
      <c r="Y34" s="3">
        <f>+All_Targets!CM34</f>
        <v>-0.05</v>
      </c>
      <c r="Z34" s="18">
        <f>+All_Targets!CN34</f>
        <v>3.6209621721650946</v>
      </c>
      <c r="AA34" s="108">
        <f>+All_Targets!CO34</f>
        <v>-0.24</v>
      </c>
      <c r="AB34" s="36">
        <f>+All_Targets!CP34</f>
        <v>2.8967697377320758</v>
      </c>
      <c r="AC34" s="109">
        <f>+All_Targets!CQ34</f>
        <v>-0.58190659128564337</v>
      </c>
      <c r="AD34" s="18">
        <f>+All_Targets!CR34</f>
        <v>1.593579386722364</v>
      </c>
      <c r="AE34" s="108">
        <f>+All_Targets!CS34</f>
        <v>-0.92381318257128664</v>
      </c>
      <c r="AF34" s="34">
        <f>+All_Targets!CT34</f>
        <v>0.29038903571265196</v>
      </c>
      <c r="AG34" s="1"/>
      <c r="AH34" s="3">
        <f>+All_Targets!CV34</f>
        <v>-0.05</v>
      </c>
      <c r="AI34" s="18">
        <f>+All_Targets!CW34</f>
        <v>3.6209621721650946</v>
      </c>
      <c r="AJ34" s="108">
        <f>+All_Targets!CX34</f>
        <v>-0.24</v>
      </c>
      <c r="AK34" s="36">
        <f>+All_Targets!CY34</f>
        <v>2.8967697377320758</v>
      </c>
      <c r="AL34" s="109">
        <f>+All_Targets!CZ34</f>
        <v>-0.58190659128564337</v>
      </c>
      <c r="AM34" s="18">
        <f>+All_Targets!DA34</f>
        <v>1.593579386722364</v>
      </c>
      <c r="AN34" s="108">
        <f>+All_Targets!DB34</f>
        <v>-0.92381318257128664</v>
      </c>
      <c r="AO34" s="34">
        <f>+All_Targets!DC34</f>
        <v>0.29038903571265196</v>
      </c>
      <c r="AQ34" s="3">
        <f>+All_Targets!DL34</f>
        <v>-0.05</v>
      </c>
      <c r="AR34" s="18">
        <f>+All_Targets!DM34</f>
        <v>3.6209621721650946</v>
      </c>
      <c r="AS34" s="108">
        <f>+All_Targets!DN34</f>
        <v>-0.349799363603714</v>
      </c>
      <c r="AT34" s="36">
        <f>+All_Targets!DO34</f>
        <v>2.4782651670617084</v>
      </c>
      <c r="AU34" s="109">
        <f>+All_Targets!DP34</f>
        <v>-0.63428203533153771</v>
      </c>
      <c r="AV34" s="18">
        <f>+All_Targets!DQ34</f>
        <v>1.3939483323639079</v>
      </c>
      <c r="AW34" s="108">
        <f>+All_Targets!DR34</f>
        <v>-0.91876470705936153</v>
      </c>
      <c r="AX34" s="34">
        <f>+All_Targets!DS34</f>
        <v>0.30963149766610748</v>
      </c>
      <c r="AZ34" s="3">
        <f>+All_Targets!DU34</f>
        <v>-0.05</v>
      </c>
      <c r="BA34" s="18">
        <f>+All_Targets!DV34</f>
        <v>3.6209621721650946</v>
      </c>
      <c r="BB34" s="108">
        <f>+All_Targets!DW34</f>
        <v>-0.349799363603714</v>
      </c>
      <c r="BC34" s="36">
        <f>+All_Targets!DX34</f>
        <v>2.4782651670617084</v>
      </c>
      <c r="BD34" s="109">
        <f>+All_Targets!DY34</f>
        <v>-0.63428203533153771</v>
      </c>
      <c r="BE34" s="18">
        <f>+All_Targets!DZ34</f>
        <v>1.3939483323639079</v>
      </c>
      <c r="BF34" s="108">
        <f>+All_Targets!EA34</f>
        <v>-0.91876470705936153</v>
      </c>
      <c r="BG34" s="34">
        <f>+All_Targets!EB34</f>
        <v>0.30963149766610748</v>
      </c>
      <c r="BI34" s="3">
        <f>+All_Targets!F34</f>
        <v>-0.05</v>
      </c>
      <c r="BJ34" s="18">
        <f>+All_Targets!G34</f>
        <v>3.6209621721650946</v>
      </c>
      <c r="BK34" s="108">
        <f>+All_Targets!H34</f>
        <v>-0.24</v>
      </c>
      <c r="BL34" s="36">
        <f>+All_Targets!I34</f>
        <v>2.8967697377320758</v>
      </c>
      <c r="BM34" s="109">
        <f>+All_Targets!J34</f>
        <v>-0.42</v>
      </c>
      <c r="BN34" s="18">
        <f>+All_Targets!K34</f>
        <v>2.2106926945850054</v>
      </c>
      <c r="BO34" s="108">
        <f>+All_Targets!L34</f>
        <v>-0.6</v>
      </c>
      <c r="BP34" s="34">
        <f>+All_Targets!M34</f>
        <v>1.5246156514379348</v>
      </c>
      <c r="BR34" s="3">
        <f>+All_Targets!O34</f>
        <v>-0.05</v>
      </c>
      <c r="BS34" s="18">
        <f>+All_Targets!P34</f>
        <v>3.6209621721650946</v>
      </c>
      <c r="BT34" s="108">
        <f>+All_Targets!Q34</f>
        <v>-0.24</v>
      </c>
      <c r="BU34" s="36">
        <f>+All_Targets!R34</f>
        <v>2.8967697377320758</v>
      </c>
      <c r="BV34" s="109">
        <f>+All_Targets!S34</f>
        <v>-0.42</v>
      </c>
      <c r="BW34" s="18">
        <f>+All_Targets!T34</f>
        <v>2.2106926945850054</v>
      </c>
      <c r="BX34" s="108">
        <f>+All_Targets!U34</f>
        <v>-0.6</v>
      </c>
      <c r="BY34" s="34">
        <f>+All_Targets!V34</f>
        <v>1.5246156514379348</v>
      </c>
    </row>
    <row r="35" spans="1:77" ht="20.100000000000001" customHeight="1" x14ac:dyDescent="0.25">
      <c r="A35" s="142" t="str">
        <f>+All_Targets!A35</f>
        <v>Malta</v>
      </c>
      <c r="B35" s="89" t="str">
        <f>VLOOKUP($A35,NEWAGE_reg!$A$2:$B$29,2,FALSE)</f>
        <v>EUS</v>
      </c>
      <c r="C35" s="89"/>
      <c r="D35" s="121">
        <f>+All_Targets!C35</f>
        <v>0.82179633315626988</v>
      </c>
      <c r="E35" s="131">
        <f>+All_Targets!D35</f>
        <v>0.92670502777647945</v>
      </c>
      <c r="G35" s="9">
        <f>+All_Targets!AS35</f>
        <v>0.05</v>
      </c>
      <c r="H35" s="80">
        <f>+All_Targets!AT35</f>
        <v>0.8628861498140834</v>
      </c>
      <c r="I35" s="110">
        <f>+All_Targets!AU35</f>
        <v>-0.19</v>
      </c>
      <c r="J35" s="38">
        <f>+All_Targets!AV35</f>
        <v>0.66565502985657865</v>
      </c>
      <c r="K35" s="111">
        <f>+All_Targets!AW35</f>
        <v>-0.39500000000000002</v>
      </c>
      <c r="L35" s="80">
        <f>+All_Targets!AX35</f>
        <v>0.49718678155954327</v>
      </c>
      <c r="M35" s="110">
        <f>+All_Targets!AY35</f>
        <v>-0.6</v>
      </c>
      <c r="N35" s="35">
        <f>+All_Targets!AZ35</f>
        <v>0.32871853326250799</v>
      </c>
      <c r="P35" s="9">
        <f>+All_Targets!BB35</f>
        <v>0.05</v>
      </c>
      <c r="Q35" s="80">
        <f>+All_Targets!BC35</f>
        <v>0.8628861498140834</v>
      </c>
      <c r="R35" s="110">
        <f>+All_Targets!BD35</f>
        <v>-0.19</v>
      </c>
      <c r="S35" s="38">
        <f>+All_Targets!BE35</f>
        <v>0.66565502985657865</v>
      </c>
      <c r="T35" s="111">
        <f>+All_Targets!BF35</f>
        <v>-0.39500000000000002</v>
      </c>
      <c r="U35" s="80">
        <f>+All_Targets!BG35</f>
        <v>0.49718678155954327</v>
      </c>
      <c r="V35" s="110">
        <f>+All_Targets!BH35</f>
        <v>-0.6</v>
      </c>
      <c r="W35" s="35">
        <f>+All_Targets!BI35</f>
        <v>0.32871853326250799</v>
      </c>
      <c r="Y35" s="9">
        <f>+All_Targets!CM35</f>
        <v>0.05</v>
      </c>
      <c r="Z35" s="80">
        <f>+All_Targets!CN35</f>
        <v>0.8628861498140834</v>
      </c>
      <c r="AA35" s="110">
        <f>+All_Targets!CO35</f>
        <v>-0.18999999999999995</v>
      </c>
      <c r="AB35" s="38">
        <f>+All_Targets!CP35</f>
        <v>0.66565502985657865</v>
      </c>
      <c r="AC35" s="111">
        <f>+All_Targets!CQ35</f>
        <v>-0.55440044597548832</v>
      </c>
      <c r="AD35" s="80">
        <f>+All_Targets!CR35</f>
        <v>0.36619207955341293</v>
      </c>
      <c r="AE35" s="110">
        <f>+All_Targets!CS35</f>
        <v>-0.91880089195097658</v>
      </c>
      <c r="AF35" s="35">
        <f>+All_Targets!CT35</f>
        <v>6.672912925024721E-2</v>
      </c>
      <c r="AG35" s="1"/>
      <c r="AH35" s="9">
        <f>+All_Targets!CV35</f>
        <v>0.05</v>
      </c>
      <c r="AI35" s="80">
        <f>+All_Targets!CW35</f>
        <v>0.8628861498140834</v>
      </c>
      <c r="AJ35" s="110">
        <f>+All_Targets!CX35</f>
        <v>-0.18999999999999995</v>
      </c>
      <c r="AK35" s="38">
        <f>+All_Targets!CY35</f>
        <v>0.66565502985657865</v>
      </c>
      <c r="AL35" s="111">
        <f>+All_Targets!CZ35</f>
        <v>-0.55440044597548832</v>
      </c>
      <c r="AM35" s="80">
        <f>+All_Targets!DA35</f>
        <v>0.36619207955341293</v>
      </c>
      <c r="AN35" s="110">
        <f>+All_Targets!DB35</f>
        <v>-0.91880089195097658</v>
      </c>
      <c r="AO35" s="35">
        <f>+All_Targets!DC35</f>
        <v>6.672912925024721E-2</v>
      </c>
      <c r="AQ35" s="9">
        <f>+All_Targets!DL35</f>
        <v>0.05</v>
      </c>
      <c r="AR35" s="80">
        <f>+All_Targets!DM35</f>
        <v>0.8628861498140834</v>
      </c>
      <c r="AS35" s="110">
        <f>+All_Targets!DN35</f>
        <v>-0.27692449618627335</v>
      </c>
      <c r="AT35" s="38">
        <f>+All_Targets!DO35</f>
        <v>0.59422079762924296</v>
      </c>
      <c r="AU35" s="111">
        <f>+All_Targets!DP35</f>
        <v>-0.59329215206241903</v>
      </c>
      <c r="AV35" s="80">
        <f>+All_Targets!DQ35</f>
        <v>0.33423101810098177</v>
      </c>
      <c r="AW35" s="110">
        <f>+All_Targets!DR35</f>
        <v>-0.90965980793856482</v>
      </c>
      <c r="AX35" s="35">
        <f>+All_Targets!DS35</f>
        <v>7.4241238572720553E-2</v>
      </c>
      <c r="AZ35" s="9">
        <f>+All_Targets!DU35</f>
        <v>0.05</v>
      </c>
      <c r="BA35" s="80">
        <f>+All_Targets!DV35</f>
        <v>0.8628861498140834</v>
      </c>
      <c r="BB35" s="110">
        <f>+All_Targets!DW35</f>
        <v>-0.27692449618627335</v>
      </c>
      <c r="BC35" s="38">
        <f>+All_Targets!DX35</f>
        <v>0.59422079762924296</v>
      </c>
      <c r="BD35" s="111">
        <f>+All_Targets!DY35</f>
        <v>-0.59329215206241903</v>
      </c>
      <c r="BE35" s="80">
        <f>+All_Targets!DZ35</f>
        <v>0.33423101810098177</v>
      </c>
      <c r="BF35" s="110">
        <f>+All_Targets!EA35</f>
        <v>-0.90965980793856482</v>
      </c>
      <c r="BG35" s="35">
        <f>+All_Targets!EB35</f>
        <v>7.4241238572720553E-2</v>
      </c>
      <c r="BI35" s="9">
        <f>+All_Targets!F35</f>
        <v>0.05</v>
      </c>
      <c r="BJ35" s="80">
        <f>+All_Targets!G35</f>
        <v>0.8628861498140834</v>
      </c>
      <c r="BK35" s="110">
        <f>+All_Targets!H35</f>
        <v>-0.19</v>
      </c>
      <c r="BL35" s="38">
        <f>+All_Targets!I35</f>
        <v>0.66565502985657865</v>
      </c>
      <c r="BM35" s="111">
        <f>+All_Targets!J35</f>
        <v>-0.39500000000000002</v>
      </c>
      <c r="BN35" s="80">
        <f>+All_Targets!K35</f>
        <v>0.49718678155954332</v>
      </c>
      <c r="BO35" s="110">
        <f>+All_Targets!L35</f>
        <v>-0.6</v>
      </c>
      <c r="BP35" s="35">
        <f>+All_Targets!M35</f>
        <v>0.32871853326250799</v>
      </c>
      <c r="BR35" s="9">
        <f>+All_Targets!O35</f>
        <v>0.05</v>
      </c>
      <c r="BS35" s="80">
        <f>+All_Targets!P35</f>
        <v>0.8628861498140834</v>
      </c>
      <c r="BT35" s="110">
        <f>+All_Targets!Q35</f>
        <v>-0.19</v>
      </c>
      <c r="BU35" s="38">
        <f>+All_Targets!R35</f>
        <v>0.66565502985657865</v>
      </c>
      <c r="BV35" s="111">
        <f>+All_Targets!S35</f>
        <v>-0.39500000000000002</v>
      </c>
      <c r="BW35" s="80">
        <f>+All_Targets!T35</f>
        <v>0.49718678155954327</v>
      </c>
      <c r="BX35" s="110">
        <f>+All_Targets!U35</f>
        <v>-0.6</v>
      </c>
      <c r="BY35" s="35">
        <f>+All_Targets!V35</f>
        <v>0.32871853326250799</v>
      </c>
    </row>
    <row r="36" spans="1:77" ht="60" customHeight="1" x14ac:dyDescent="0.25">
      <c r="A36" s="67"/>
      <c r="B36" s="67"/>
      <c r="C36" s="100">
        <f>+All_Targets!B36</f>
        <v>1990</v>
      </c>
      <c r="D36" s="122">
        <f>+All_Targets!C36</f>
        <v>2005</v>
      </c>
      <c r="E36" s="132">
        <f>+All_Targets!D36</f>
        <v>2011</v>
      </c>
      <c r="G36" s="246" t="str">
        <f>+All_Targets!AS36</f>
        <v>Target for 2020 (compared to 1990)</v>
      </c>
      <c r="H36" s="243"/>
      <c r="I36" s="241" t="str">
        <f>+All_Targets!AU36</f>
        <v>Target for 2030 (compared to 1990)</v>
      </c>
      <c r="J36" s="242"/>
      <c r="K36" s="243" t="str">
        <f>+All_Targets!AW36</f>
        <v>Target for 2040 (compared to 1990)</v>
      </c>
      <c r="L36" s="243"/>
      <c r="M36" s="241" t="str">
        <f>+All_Targets!AY36</f>
        <v>Target for 2050 (compared to 1990)</v>
      </c>
      <c r="N36" s="244"/>
      <c r="P36" s="246" t="str">
        <f>+All_Targets!BB36</f>
        <v>Target for 2020 (compared to 1990)</v>
      </c>
      <c r="Q36" s="243"/>
      <c r="R36" s="241" t="str">
        <f>+All_Targets!BD36</f>
        <v>Target for 2030 (compared to 1990)</v>
      </c>
      <c r="S36" s="242"/>
      <c r="T36" s="243" t="str">
        <f>+All_Targets!BF36</f>
        <v>Target for 2040 (compared to 1990)</v>
      </c>
      <c r="U36" s="243"/>
      <c r="V36" s="241" t="str">
        <f>+All_Targets!BH36</f>
        <v>Target for 2050 (compared to 1990)</v>
      </c>
      <c r="W36" s="244"/>
      <c r="Y36" s="246" t="str">
        <f>+All_Targets!CM36</f>
        <v>Target for 2020 (compared to 1990)</v>
      </c>
      <c r="Z36" s="243"/>
      <c r="AA36" s="241" t="str">
        <f>+All_Targets!CO36</f>
        <v>Target for 2030 (compared to 1990)</v>
      </c>
      <c r="AB36" s="242"/>
      <c r="AC36" s="243" t="str">
        <f>+All_Targets!CQ36</f>
        <v>Target for 2040 (compared to 1990)</v>
      </c>
      <c r="AD36" s="243"/>
      <c r="AE36" s="241" t="str">
        <f>+All_Targets!CS36</f>
        <v>Target for 2050 (compared to 1990)</v>
      </c>
      <c r="AF36" s="244"/>
      <c r="AG36" s="1"/>
      <c r="AH36" s="246" t="str">
        <f>+All_Targets!CV36</f>
        <v>Target for 2020 (compared to 1990)</v>
      </c>
      <c r="AI36" s="243"/>
      <c r="AJ36" s="241" t="str">
        <f>+All_Targets!CX36</f>
        <v>Target for 2030 (compared to 1990)</v>
      </c>
      <c r="AK36" s="242"/>
      <c r="AL36" s="243" t="str">
        <f>+All_Targets!CZ36</f>
        <v>Target for 2040 (compared to 1990)</v>
      </c>
      <c r="AM36" s="243"/>
      <c r="AN36" s="241" t="str">
        <f>+All_Targets!DB36</f>
        <v>Target for 2050 (compared to 1990)</v>
      </c>
      <c r="AO36" s="244"/>
      <c r="AQ36" s="246" t="str">
        <f>+All_Targets!DL36</f>
        <v>Target for 2020 (compared to 1990)</v>
      </c>
      <c r="AR36" s="243"/>
      <c r="AS36" s="241" t="str">
        <f>+All_Targets!DN36</f>
        <v>Target for 2030 (compared to 1990)</v>
      </c>
      <c r="AT36" s="242"/>
      <c r="AU36" s="243" t="str">
        <f>+All_Targets!DP36</f>
        <v>Target for 2040 (compared to 1990)</v>
      </c>
      <c r="AV36" s="243"/>
      <c r="AW36" s="241" t="str">
        <f>+All_Targets!DR36</f>
        <v>Target for 2050 (compared to 1990)</v>
      </c>
      <c r="AX36" s="244"/>
      <c r="AZ36" s="246" t="str">
        <f>+All_Targets!DU36</f>
        <v>Target for 2020 (compared to 1990)</v>
      </c>
      <c r="BA36" s="243"/>
      <c r="BB36" s="241" t="str">
        <f>+All_Targets!DW36</f>
        <v>Target for 2030 (compared to 1990)</v>
      </c>
      <c r="BC36" s="242"/>
      <c r="BD36" s="243" t="str">
        <f>+All_Targets!DY36</f>
        <v>Target for 2040 (compared to 1990)</v>
      </c>
      <c r="BE36" s="243"/>
      <c r="BF36" s="241" t="str">
        <f>+All_Targets!EA36</f>
        <v>Target for 2050 (compared to 1990)</v>
      </c>
      <c r="BG36" s="244"/>
      <c r="BI36" s="246" t="str">
        <f>+All_Targets!F36</f>
        <v>Target for 2020 (compared to 1990)</v>
      </c>
      <c r="BJ36" s="243"/>
      <c r="BK36" s="241" t="str">
        <f>+All_Targets!H36</f>
        <v>Target for 2030 (compared to 1990)</v>
      </c>
      <c r="BL36" s="242"/>
      <c r="BM36" s="243" t="str">
        <f>+All_Targets!J36</f>
        <v>Target for 2040 (compared to 1990)</v>
      </c>
      <c r="BN36" s="243"/>
      <c r="BO36" s="241" t="str">
        <f>+All_Targets!L36</f>
        <v>Target for 2050 (compared to 1990)</v>
      </c>
      <c r="BP36" s="244"/>
      <c r="BR36" s="246" t="str">
        <f>+All_Targets!O36</f>
        <v>Target for 2020 (compared to 1990)</v>
      </c>
      <c r="BS36" s="243"/>
      <c r="BT36" s="241" t="str">
        <f>+All_Targets!Q36</f>
        <v>Target for 2030 (compared to 1990)</v>
      </c>
      <c r="BU36" s="242"/>
      <c r="BV36" s="243" t="str">
        <f>+All_Targets!S36</f>
        <v>Target for 2040 (compared to 1990)</v>
      </c>
      <c r="BW36" s="243"/>
      <c r="BX36" s="241" t="str">
        <f>+All_Targets!U36</f>
        <v>Target for 2050 (compared to 1990)</v>
      </c>
      <c r="BY36" s="244"/>
    </row>
    <row r="37" spans="1:77" ht="20.100000000000001" customHeight="1" x14ac:dyDescent="0.25">
      <c r="A37" s="70" t="str">
        <f>+All_Targets!A37</f>
        <v>Germany: Target</v>
      </c>
      <c r="B37" s="70"/>
      <c r="C37" s="99">
        <f>+All_Targets!B37</f>
        <v>1211.1566313063843</v>
      </c>
      <c r="D37" s="118">
        <f>+All_Targets!C37</f>
        <v>971.89948580231442</v>
      </c>
      <c r="E37" s="128">
        <f>+All_Targets!D37</f>
        <v>905.61661818257119</v>
      </c>
      <c r="G37" s="231" t="str">
        <f>+All_Targets!AS37</f>
        <v>without target</v>
      </c>
      <c r="H37" s="234"/>
      <c r="I37" s="233" t="str">
        <f>+All_Targets!AU37</f>
        <v>without target</v>
      </c>
      <c r="J37" s="234"/>
      <c r="K37" s="233" t="str">
        <f>+All_Targets!AW37</f>
        <v>without target</v>
      </c>
      <c r="L37" s="234"/>
      <c r="M37" s="233" t="str">
        <f>+All_Targets!AY37</f>
        <v>without target</v>
      </c>
      <c r="N37" s="247"/>
      <c r="P37" s="104">
        <f>+All_Targets!BB37</f>
        <v>-0.4</v>
      </c>
      <c r="Q37" s="25">
        <f>+All_Targets!BC37</f>
        <v>726.69397878383052</v>
      </c>
      <c r="R37" s="106">
        <f>+All_Targets!BD37</f>
        <v>-0.65</v>
      </c>
      <c r="S37" s="25">
        <f>+All_Targets!BE37</f>
        <v>423.90482095723445</v>
      </c>
      <c r="T37" s="106">
        <f>+All_Targets!BF37</f>
        <v>-0.8</v>
      </c>
      <c r="U37" s="25">
        <f>+All_Targets!BG37</f>
        <v>242.23132626127688</v>
      </c>
      <c r="V37" s="106">
        <f>+All_Targets!BH37</f>
        <v>-0.95</v>
      </c>
      <c r="W37" s="22">
        <f>+All_Targets!BI37</f>
        <v>60.557831565319219</v>
      </c>
      <c r="Y37" s="231" t="str">
        <f>+All_Targets!CM37</f>
        <v>without target</v>
      </c>
      <c r="Z37" s="234"/>
      <c r="AA37" s="233" t="str">
        <f>+All_Targets!CO37</f>
        <v>without target</v>
      </c>
      <c r="AB37" s="234"/>
      <c r="AC37" s="233" t="str">
        <f>+All_Targets!CQ37</f>
        <v>without target</v>
      </c>
      <c r="AD37" s="234"/>
      <c r="AE37" s="233" t="str">
        <f>+All_Targets!CS37</f>
        <v>without target</v>
      </c>
      <c r="AF37" s="247"/>
      <c r="AG37" s="1"/>
      <c r="AH37" s="104">
        <f>+All_Targets!CV37</f>
        <v>-0.4</v>
      </c>
      <c r="AI37" s="25">
        <f>+All_Targets!CW37</f>
        <v>726.69397878383052</v>
      </c>
      <c r="AJ37" s="106">
        <f>+All_Targets!CX37</f>
        <v>-0.65</v>
      </c>
      <c r="AK37" s="25">
        <f>+All_Targets!CY37</f>
        <v>423.90482095723445</v>
      </c>
      <c r="AL37" s="106">
        <f>+All_Targets!CZ37</f>
        <v>-0.8</v>
      </c>
      <c r="AM37" s="25">
        <f>+All_Targets!DA37</f>
        <v>242.23132626127688</v>
      </c>
      <c r="AN37" s="106">
        <f>+All_Targets!DB37</f>
        <v>-0.95</v>
      </c>
      <c r="AO37" s="22">
        <f>+All_Targets!DC37</f>
        <v>60.557831565319219</v>
      </c>
      <c r="AQ37" s="231" t="str">
        <f>+All_Targets!DL37</f>
        <v>without target</v>
      </c>
      <c r="AR37" s="234"/>
      <c r="AS37" s="233" t="str">
        <f>+All_Targets!DN37</f>
        <v>without target</v>
      </c>
      <c r="AT37" s="234"/>
      <c r="AU37" s="233" t="str">
        <f>+All_Targets!DP37</f>
        <v>without target</v>
      </c>
      <c r="AV37" s="234"/>
      <c r="AW37" s="233" t="str">
        <f>+All_Targets!DR37</f>
        <v>without target</v>
      </c>
      <c r="AX37" s="247"/>
      <c r="AZ37" s="104">
        <f>+All_Targets!DU37</f>
        <v>-0.4</v>
      </c>
      <c r="BA37" s="25">
        <f>+All_Targets!DV37</f>
        <v>726.69397878383052</v>
      </c>
      <c r="BB37" s="106">
        <f>+All_Targets!DW37</f>
        <v>-0.65</v>
      </c>
      <c r="BC37" s="25">
        <f>+All_Targets!DX37</f>
        <v>423.90482095723445</v>
      </c>
      <c r="BD37" s="106">
        <f>+All_Targets!DY37</f>
        <v>-0.8</v>
      </c>
      <c r="BE37" s="25">
        <f>+All_Targets!DZ37</f>
        <v>242.23132626127688</v>
      </c>
      <c r="BF37" s="106">
        <f>+All_Targets!EA37</f>
        <v>-0.95</v>
      </c>
      <c r="BG37" s="22">
        <f>+All_Targets!EB37</f>
        <v>60.557831565319219</v>
      </c>
      <c r="BI37" s="231" t="str">
        <f>+All_Targets!F37</f>
        <v>without target</v>
      </c>
      <c r="BJ37" s="234"/>
      <c r="BK37" s="233" t="str">
        <f>+All_Targets!H37</f>
        <v>without target</v>
      </c>
      <c r="BL37" s="234"/>
      <c r="BM37" s="233" t="str">
        <f>+All_Targets!J37</f>
        <v>without target</v>
      </c>
      <c r="BN37" s="234"/>
      <c r="BO37" s="233" t="str">
        <f>+All_Targets!L37</f>
        <v>without target</v>
      </c>
      <c r="BP37" s="247"/>
      <c r="BR37" s="104">
        <f>+All_Targets!O37</f>
        <v>-0.4</v>
      </c>
      <c r="BS37" s="25">
        <f>+All_Targets!P37</f>
        <v>726.69397878383052</v>
      </c>
      <c r="BT37" s="106">
        <f>+All_Targets!Q37</f>
        <v>-0.55000000000000004</v>
      </c>
      <c r="BU37" s="25">
        <f>+All_Targets!R37</f>
        <v>545.02048408787289</v>
      </c>
      <c r="BV37" s="106">
        <f>+All_Targets!S37</f>
        <v>-0.7</v>
      </c>
      <c r="BW37" s="25">
        <f>+All_Targets!T37</f>
        <v>363.34698939191526</v>
      </c>
      <c r="BX37" s="106">
        <f>+All_Targets!U37</f>
        <v>-0.85</v>
      </c>
      <c r="BY37" s="22">
        <f>+All_Targets!V37</f>
        <v>181.67349469595763</v>
      </c>
    </row>
    <row r="38" spans="1:77" x14ac:dyDescent="0.25">
      <c r="A38" s="7"/>
      <c r="B38" s="7"/>
      <c r="C38" s="7"/>
      <c r="D38" s="7"/>
      <c r="E38" s="7"/>
      <c r="G38" s="12"/>
      <c r="H38" s="12"/>
      <c r="I38" s="12"/>
      <c r="J38" s="12"/>
      <c r="K38" s="12"/>
      <c r="L38" s="12"/>
      <c r="M38" s="12"/>
      <c r="N38" s="12"/>
      <c r="P38" s="12"/>
      <c r="Q38" s="12"/>
      <c r="R38" s="12"/>
      <c r="S38" s="12"/>
      <c r="T38" s="12"/>
      <c r="U38" s="12"/>
      <c r="V38" s="12"/>
      <c r="W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Q38" s="12"/>
      <c r="AR38" s="12"/>
      <c r="AS38" s="12"/>
      <c r="AT38" s="12"/>
      <c r="AU38" s="12"/>
      <c r="AV38" s="12"/>
      <c r="AW38" s="12"/>
      <c r="AX38" s="12"/>
      <c r="AZ38" s="12"/>
      <c r="BA38" s="12"/>
      <c r="BB38" s="12"/>
      <c r="BC38" s="12"/>
      <c r="BD38" s="12"/>
      <c r="BE38" s="12"/>
      <c r="BF38" s="12"/>
      <c r="BG38" s="12"/>
      <c r="BI38" s="12"/>
      <c r="BJ38" s="12"/>
      <c r="BK38" s="12"/>
      <c r="BL38" s="12"/>
      <c r="BM38" s="12"/>
      <c r="BN38" s="12"/>
      <c r="BO38" s="12"/>
      <c r="BP38" s="12"/>
      <c r="BR38" s="12"/>
      <c r="BS38" s="12"/>
      <c r="BT38" s="12"/>
      <c r="BU38" s="12"/>
      <c r="BV38" s="12"/>
      <c r="BW38" s="12"/>
      <c r="BX38" s="12"/>
      <c r="BY38" s="12"/>
    </row>
    <row r="39" spans="1:77" x14ac:dyDescent="0.25">
      <c r="G39" s="12"/>
      <c r="H39" s="12"/>
      <c r="I39" s="12"/>
      <c r="J39" s="12"/>
      <c r="K39" s="12"/>
      <c r="L39" s="12"/>
      <c r="M39" s="12"/>
      <c r="N39" s="12"/>
      <c r="P39" s="12"/>
      <c r="Q39" s="12"/>
      <c r="R39" s="12"/>
      <c r="S39" s="12"/>
      <c r="T39" s="12"/>
      <c r="U39" s="12"/>
      <c r="V39" s="12"/>
      <c r="W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Q39" s="12"/>
      <c r="AR39" s="12"/>
      <c r="AS39" s="12"/>
      <c r="AT39" s="12"/>
      <c r="AU39" s="12"/>
      <c r="AV39" s="12"/>
      <c r="AW39" s="12"/>
      <c r="AX39" s="12"/>
      <c r="AZ39" s="12"/>
      <c r="BA39" s="12"/>
      <c r="BB39" s="12"/>
      <c r="BC39" s="12"/>
      <c r="BD39" s="12"/>
      <c r="BE39" s="12"/>
      <c r="BF39" s="12"/>
      <c r="BG39" s="12"/>
      <c r="BI39" s="12"/>
      <c r="BJ39" s="12"/>
      <c r="BK39" s="12"/>
      <c r="BL39" s="12"/>
      <c r="BM39" s="12"/>
      <c r="BN39" s="12"/>
      <c r="BO39" s="12"/>
      <c r="BP39" s="12"/>
      <c r="BR39" s="12"/>
      <c r="BS39" s="12"/>
      <c r="BT39" s="12"/>
      <c r="BU39" s="12"/>
      <c r="BV39" s="12"/>
      <c r="BW39" s="12"/>
      <c r="BX39" s="12"/>
      <c r="BY39" s="12"/>
    </row>
    <row r="40" spans="1:77" x14ac:dyDescent="0.25">
      <c r="A40" s="7"/>
      <c r="B40" s="7"/>
      <c r="C40" s="7"/>
      <c r="D40" s="7"/>
      <c r="E40" s="7"/>
      <c r="G40" s="12"/>
      <c r="H40" s="12"/>
      <c r="I40" s="12"/>
      <c r="J40" s="12"/>
      <c r="K40" s="12"/>
      <c r="L40" s="12"/>
      <c r="M40" s="12"/>
      <c r="N40" s="12"/>
      <c r="P40" s="12"/>
      <c r="Q40" s="12"/>
      <c r="R40" s="12"/>
      <c r="S40" s="12"/>
      <c r="T40" s="12"/>
      <c r="U40" s="12"/>
      <c r="V40" s="12"/>
      <c r="W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Q40" s="12"/>
      <c r="AR40" s="12"/>
      <c r="AS40" s="12"/>
      <c r="AT40" s="12"/>
      <c r="AU40" s="12"/>
      <c r="AV40" s="12"/>
      <c r="AW40" s="12"/>
      <c r="AX40" s="12"/>
      <c r="AZ40" s="12"/>
      <c r="BA40" s="12"/>
      <c r="BB40" s="12"/>
      <c r="BC40" s="12"/>
      <c r="BD40" s="12"/>
      <c r="BE40" s="12"/>
      <c r="BF40" s="12"/>
      <c r="BG40" s="12"/>
      <c r="BI40" s="12"/>
      <c r="BJ40" s="12"/>
      <c r="BK40" s="12"/>
      <c r="BL40" s="12"/>
      <c r="BM40" s="12"/>
      <c r="BN40" s="12"/>
      <c r="BO40" s="12"/>
      <c r="BP40" s="12"/>
      <c r="BR40" s="12"/>
      <c r="BS40" s="12"/>
      <c r="BT40" s="12"/>
      <c r="BU40" s="12"/>
      <c r="BV40" s="12"/>
      <c r="BW40" s="12"/>
      <c r="BX40" s="12"/>
      <c r="BY40" s="12"/>
    </row>
    <row r="41" spans="1:77" x14ac:dyDescent="0.25">
      <c r="A41" s="7"/>
      <c r="B41" s="7"/>
      <c r="C41" s="7"/>
      <c r="D41" s="7"/>
      <c r="E41" s="7"/>
      <c r="G41" s="12"/>
      <c r="H41" s="12"/>
      <c r="I41" s="12"/>
      <c r="J41" s="12"/>
      <c r="K41" s="12"/>
      <c r="L41" s="12"/>
      <c r="M41" s="12"/>
      <c r="N41" s="12"/>
      <c r="P41" s="12"/>
      <c r="Q41" s="12"/>
      <c r="R41" s="12"/>
      <c r="S41" s="12"/>
      <c r="T41" s="12"/>
      <c r="U41" s="12"/>
      <c r="V41" s="12"/>
      <c r="W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Q41" s="12"/>
      <c r="AR41" s="12"/>
      <c r="AS41" s="12"/>
      <c r="AT41" s="12"/>
      <c r="AU41" s="12"/>
      <c r="AV41" s="12"/>
      <c r="AW41" s="12"/>
      <c r="AX41" s="12"/>
      <c r="AZ41" s="12"/>
      <c r="BA41" s="12"/>
      <c r="BB41" s="12"/>
      <c r="BC41" s="12"/>
      <c r="BD41" s="12"/>
      <c r="BE41" s="12"/>
      <c r="BF41" s="12"/>
      <c r="BG41" s="12"/>
      <c r="BI41" s="12"/>
      <c r="BJ41" s="12"/>
      <c r="BK41" s="12"/>
      <c r="BL41" s="12"/>
      <c r="BM41" s="12"/>
      <c r="BN41" s="12"/>
      <c r="BO41" s="12"/>
      <c r="BP41" s="12"/>
      <c r="BR41" s="12"/>
      <c r="BS41" s="12"/>
      <c r="BT41" s="12"/>
      <c r="BU41" s="12"/>
      <c r="BV41" s="12"/>
      <c r="BW41" s="12"/>
      <c r="BX41" s="12"/>
      <c r="BY41" s="12"/>
    </row>
    <row r="42" spans="1:77" x14ac:dyDescent="0.25">
      <c r="G42" s="12"/>
      <c r="H42" s="12"/>
      <c r="I42" s="12"/>
      <c r="J42" s="12"/>
      <c r="K42" s="12"/>
      <c r="L42" s="12"/>
      <c r="M42" s="12"/>
      <c r="N42" s="12"/>
      <c r="P42" s="12"/>
      <c r="Q42" s="12"/>
      <c r="R42" s="12"/>
      <c r="S42" s="12"/>
      <c r="T42" s="12"/>
      <c r="U42" s="12"/>
      <c r="V42" s="12"/>
      <c r="W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Q42" s="12"/>
      <c r="AR42" s="12"/>
      <c r="AS42" s="12"/>
      <c r="AT42" s="12"/>
      <c r="AU42" s="12"/>
      <c r="AV42" s="12"/>
      <c r="AW42" s="12"/>
      <c r="AX42" s="12"/>
      <c r="AZ42" s="12"/>
      <c r="BA42" s="12"/>
      <c r="BB42" s="12"/>
      <c r="BC42" s="12"/>
      <c r="BD42" s="12"/>
      <c r="BE42" s="12"/>
      <c r="BF42" s="12"/>
      <c r="BG42" s="12"/>
      <c r="BI42" s="12"/>
      <c r="BJ42" s="12"/>
      <c r="BK42" s="12"/>
      <c r="BL42" s="12"/>
      <c r="BM42" s="12"/>
      <c r="BN42" s="12"/>
      <c r="BO42" s="12"/>
      <c r="BP42" s="12"/>
      <c r="BR42" s="12"/>
      <c r="BS42" s="12"/>
      <c r="BT42" s="12"/>
      <c r="BU42" s="12"/>
      <c r="BV42" s="12"/>
      <c r="BW42" s="12"/>
      <c r="BX42" s="12"/>
      <c r="BY42" s="12"/>
    </row>
    <row r="43" spans="1:77" x14ac:dyDescent="0.25">
      <c r="A43" s="7"/>
      <c r="B43" s="7"/>
      <c r="C43" s="7"/>
      <c r="D43" s="7"/>
      <c r="E43" s="7"/>
      <c r="G43" s="12"/>
      <c r="H43" s="12"/>
      <c r="I43" s="12"/>
      <c r="J43" s="12"/>
      <c r="K43" s="12"/>
      <c r="L43" s="12"/>
      <c r="M43" s="12"/>
      <c r="N43" s="12"/>
      <c r="P43" s="12"/>
      <c r="Q43" s="12"/>
      <c r="R43" s="12"/>
      <c r="S43" s="12"/>
      <c r="T43" s="12"/>
      <c r="U43" s="12"/>
      <c r="V43" s="12"/>
      <c r="W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Q43" s="12"/>
      <c r="AR43" s="12"/>
      <c r="AS43" s="12"/>
      <c r="AT43" s="12"/>
      <c r="AU43" s="12"/>
      <c r="AV43" s="12"/>
      <c r="AW43" s="12"/>
      <c r="AX43" s="12"/>
      <c r="AZ43" s="12"/>
      <c r="BA43" s="12"/>
      <c r="BB43" s="12"/>
      <c r="BC43" s="12"/>
      <c r="BD43" s="12"/>
      <c r="BE43" s="12"/>
      <c r="BF43" s="12"/>
      <c r="BG43" s="12"/>
      <c r="BI43" s="12"/>
      <c r="BJ43" s="12"/>
      <c r="BK43" s="12"/>
      <c r="BL43" s="12"/>
      <c r="BM43" s="12"/>
      <c r="BN43" s="12"/>
      <c r="BO43" s="12"/>
      <c r="BP43" s="12"/>
      <c r="BR43" s="12"/>
      <c r="BS43" s="12"/>
      <c r="BT43" s="12"/>
      <c r="BU43" s="12"/>
      <c r="BV43" s="12"/>
      <c r="BW43" s="12"/>
      <c r="BX43" s="12"/>
      <c r="BY43" s="12"/>
    </row>
    <row r="44" spans="1:77" x14ac:dyDescent="0.25">
      <c r="A44" s="7"/>
      <c r="B44" s="7"/>
      <c r="C44" s="7"/>
      <c r="D44" s="7"/>
      <c r="E44" s="7"/>
      <c r="G44" s="12"/>
      <c r="H44" s="12"/>
      <c r="I44" s="12"/>
      <c r="J44" s="12"/>
      <c r="K44" s="12"/>
      <c r="L44" s="12"/>
      <c r="M44" s="12"/>
      <c r="N44" s="12"/>
      <c r="P44" s="12"/>
      <c r="Q44" s="12"/>
      <c r="R44" s="12"/>
      <c r="S44" s="12"/>
      <c r="T44" s="12"/>
      <c r="U44" s="12"/>
      <c r="V44" s="12"/>
      <c r="W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Q44" s="12"/>
      <c r="AR44" s="12"/>
      <c r="AS44" s="12"/>
      <c r="AT44" s="12"/>
      <c r="AU44" s="12"/>
      <c r="AV44" s="12"/>
      <c r="AW44" s="12"/>
      <c r="AX44" s="12"/>
      <c r="AZ44" s="12"/>
      <c r="BA44" s="12"/>
      <c r="BB44" s="12"/>
      <c r="BC44" s="12"/>
      <c r="BD44" s="12"/>
      <c r="BE44" s="12"/>
      <c r="BF44" s="12"/>
      <c r="BG44" s="12"/>
      <c r="BI44" s="12"/>
      <c r="BJ44" s="12"/>
      <c r="BK44" s="12"/>
      <c r="BL44" s="12"/>
      <c r="BM44" s="12"/>
      <c r="BN44" s="12"/>
      <c r="BO44" s="12"/>
      <c r="BP44" s="12"/>
      <c r="BR44" s="12"/>
      <c r="BS44" s="12"/>
      <c r="BT44" s="12"/>
      <c r="BU44" s="12"/>
      <c r="BV44" s="12"/>
      <c r="BW44" s="12"/>
      <c r="BX44" s="12"/>
      <c r="BY44" s="12"/>
    </row>
    <row r="45" spans="1:77" x14ac:dyDescent="0.25">
      <c r="G45" s="12"/>
      <c r="H45" s="12"/>
      <c r="I45" s="12"/>
      <c r="J45" s="12"/>
      <c r="K45" s="12"/>
      <c r="L45" s="12"/>
      <c r="M45" s="12"/>
      <c r="N45" s="12"/>
      <c r="P45" s="12"/>
      <c r="Q45" s="12"/>
      <c r="R45" s="12"/>
      <c r="S45" s="12"/>
      <c r="T45" s="12"/>
      <c r="U45" s="12"/>
      <c r="V45" s="12"/>
      <c r="W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Q45" s="12"/>
      <c r="AR45" s="12"/>
      <c r="AS45" s="12"/>
      <c r="AT45" s="12"/>
      <c r="AU45" s="12"/>
      <c r="AV45" s="12"/>
      <c r="AW45" s="12"/>
      <c r="AX45" s="12"/>
      <c r="AZ45" s="12"/>
      <c r="BA45" s="12"/>
      <c r="BB45" s="12"/>
      <c r="BC45" s="12"/>
      <c r="BD45" s="12"/>
      <c r="BE45" s="12"/>
      <c r="BF45" s="12"/>
      <c r="BG45" s="12"/>
      <c r="BI45" s="12"/>
      <c r="BJ45" s="12"/>
      <c r="BK45" s="12"/>
      <c r="BL45" s="12"/>
      <c r="BM45" s="12"/>
      <c r="BN45" s="12"/>
      <c r="BO45" s="12"/>
      <c r="BP45" s="12"/>
      <c r="BR45" s="12"/>
      <c r="BS45" s="12"/>
      <c r="BT45" s="12"/>
      <c r="BU45" s="12"/>
      <c r="BV45" s="12"/>
      <c r="BW45" s="12"/>
      <c r="BX45" s="12"/>
      <c r="BY45" s="12"/>
    </row>
    <row r="46" spans="1:77" x14ac:dyDescent="0.25">
      <c r="A46" s="7"/>
      <c r="B46" s="7"/>
      <c r="C46" s="7"/>
      <c r="D46" s="7"/>
      <c r="E46" s="7"/>
      <c r="G46" s="12"/>
      <c r="H46" s="12"/>
      <c r="I46" s="12"/>
      <c r="J46" s="12"/>
      <c r="K46" s="12"/>
      <c r="L46" s="12"/>
      <c r="M46" s="12"/>
      <c r="N46" s="12"/>
      <c r="P46" s="12"/>
      <c r="Q46" s="12"/>
      <c r="R46" s="12"/>
      <c r="S46" s="12"/>
      <c r="T46" s="12"/>
      <c r="U46" s="12"/>
      <c r="V46" s="12"/>
      <c r="W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Q46" s="12"/>
      <c r="AR46" s="12"/>
      <c r="AS46" s="12"/>
      <c r="AT46" s="12"/>
      <c r="AU46" s="12"/>
      <c r="AV46" s="12"/>
      <c r="AW46" s="12"/>
      <c r="AX46" s="12"/>
      <c r="AZ46" s="12"/>
      <c r="BA46" s="12"/>
      <c r="BB46" s="12"/>
      <c r="BC46" s="12"/>
      <c r="BD46" s="12"/>
      <c r="BE46" s="12"/>
      <c r="BF46" s="12"/>
      <c r="BG46" s="12"/>
      <c r="BI46" s="12"/>
      <c r="BJ46" s="12"/>
      <c r="BK46" s="12"/>
      <c r="BL46" s="12"/>
      <c r="BM46" s="12"/>
      <c r="BN46" s="12"/>
      <c r="BO46" s="12"/>
      <c r="BP46" s="12"/>
      <c r="BR46" s="12"/>
      <c r="BS46" s="12"/>
      <c r="BT46" s="12"/>
      <c r="BU46" s="12"/>
      <c r="BV46" s="12"/>
      <c r="BW46" s="12"/>
      <c r="BX46" s="12"/>
      <c r="BY46" s="12"/>
    </row>
    <row r="47" spans="1:77" x14ac:dyDescent="0.25">
      <c r="A47" s="7"/>
      <c r="B47" s="7"/>
      <c r="C47" s="7"/>
      <c r="D47" s="7"/>
      <c r="E47" s="7"/>
      <c r="G47" s="12"/>
      <c r="H47" s="12"/>
      <c r="I47" s="12"/>
      <c r="J47" s="12"/>
      <c r="K47" s="12"/>
      <c r="L47" s="12"/>
      <c r="M47" s="12"/>
      <c r="N47" s="12"/>
      <c r="P47" s="12"/>
      <c r="Q47" s="12"/>
      <c r="R47" s="12"/>
      <c r="S47" s="12"/>
      <c r="T47" s="12"/>
      <c r="U47" s="12"/>
      <c r="V47" s="12"/>
      <c r="W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Q47" s="12"/>
      <c r="AR47" s="12"/>
      <c r="AS47" s="12"/>
      <c r="AT47" s="12"/>
      <c r="AU47" s="12"/>
      <c r="AV47" s="12"/>
      <c r="AW47" s="12"/>
      <c r="AX47" s="12"/>
      <c r="AZ47" s="12"/>
      <c r="BA47" s="12"/>
      <c r="BB47" s="12"/>
      <c r="BC47" s="12"/>
      <c r="BD47" s="12"/>
      <c r="BE47" s="12"/>
      <c r="BF47" s="12"/>
      <c r="BG47" s="12"/>
      <c r="BI47" s="12"/>
      <c r="BJ47" s="12"/>
      <c r="BK47" s="12"/>
      <c r="BL47" s="12"/>
      <c r="BM47" s="12"/>
      <c r="BN47" s="12"/>
      <c r="BO47" s="12"/>
      <c r="BP47" s="12"/>
      <c r="BR47" s="12"/>
      <c r="BS47" s="12"/>
      <c r="BT47" s="12"/>
      <c r="BU47" s="12"/>
      <c r="BV47" s="12"/>
      <c r="BW47" s="12"/>
      <c r="BX47" s="12"/>
      <c r="BY47" s="12"/>
    </row>
    <row r="48" spans="1:77" x14ac:dyDescent="0.25">
      <c r="G48" s="12"/>
      <c r="H48" s="12"/>
      <c r="I48" s="12"/>
      <c r="J48" s="12"/>
      <c r="K48" s="12"/>
      <c r="L48" s="12"/>
      <c r="M48" s="12"/>
      <c r="N48" s="12"/>
      <c r="P48" s="12"/>
      <c r="Q48" s="12"/>
      <c r="R48" s="12"/>
      <c r="S48" s="12"/>
      <c r="T48" s="12"/>
      <c r="U48" s="12"/>
      <c r="V48" s="12"/>
      <c r="W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Q48" s="12"/>
      <c r="AR48" s="12"/>
      <c r="AS48" s="12"/>
      <c r="AT48" s="12"/>
      <c r="AU48" s="12"/>
      <c r="AV48" s="12"/>
      <c r="AW48" s="12"/>
      <c r="AX48" s="12"/>
      <c r="AZ48" s="12"/>
      <c r="BA48" s="12"/>
      <c r="BB48" s="12"/>
      <c r="BC48" s="12"/>
      <c r="BD48" s="12"/>
      <c r="BE48" s="12"/>
      <c r="BF48" s="12"/>
      <c r="BG48" s="12"/>
      <c r="BI48" s="12"/>
      <c r="BJ48" s="12"/>
      <c r="BK48" s="12"/>
      <c r="BL48" s="12"/>
      <c r="BM48" s="12"/>
      <c r="BN48" s="12"/>
      <c r="BO48" s="12"/>
      <c r="BP48" s="12"/>
      <c r="BR48" s="12"/>
      <c r="BS48" s="12"/>
      <c r="BT48" s="12"/>
      <c r="BU48" s="12"/>
      <c r="BV48" s="12"/>
      <c r="BW48" s="12"/>
      <c r="BX48" s="12"/>
      <c r="BY48" s="12"/>
    </row>
    <row r="49" spans="1:77" x14ac:dyDescent="0.25">
      <c r="A49" s="7"/>
      <c r="B49" s="7"/>
      <c r="C49" s="7"/>
      <c r="D49" s="7"/>
      <c r="E49" s="7"/>
      <c r="G49" s="12"/>
      <c r="H49" s="12"/>
      <c r="I49" s="12"/>
      <c r="J49" s="12"/>
      <c r="K49" s="12"/>
      <c r="L49" s="12"/>
      <c r="M49" s="12"/>
      <c r="N49" s="12"/>
      <c r="P49" s="12"/>
      <c r="Q49" s="12"/>
      <c r="R49" s="12"/>
      <c r="S49" s="12"/>
      <c r="T49" s="12"/>
      <c r="U49" s="12"/>
      <c r="V49" s="12"/>
      <c r="W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Q49" s="12"/>
      <c r="AR49" s="12"/>
      <c r="AS49" s="12"/>
      <c r="AT49" s="12"/>
      <c r="AU49" s="12"/>
      <c r="AV49" s="12"/>
      <c r="AW49" s="12"/>
      <c r="AX49" s="12"/>
      <c r="AZ49" s="12"/>
      <c r="BA49" s="12"/>
      <c r="BB49" s="12"/>
      <c r="BC49" s="12"/>
      <c r="BD49" s="12"/>
      <c r="BE49" s="12"/>
      <c r="BF49" s="12"/>
      <c r="BG49" s="12"/>
      <c r="BI49" s="12"/>
      <c r="BJ49" s="12"/>
      <c r="BK49" s="12"/>
      <c r="BL49" s="12"/>
      <c r="BM49" s="12"/>
      <c r="BN49" s="12"/>
      <c r="BO49" s="12"/>
      <c r="BP49" s="12"/>
      <c r="BR49" s="12"/>
      <c r="BS49" s="12"/>
      <c r="BT49" s="12"/>
      <c r="BU49" s="12"/>
      <c r="BV49" s="12"/>
      <c r="BW49" s="12"/>
      <c r="BX49" s="12"/>
      <c r="BY49" s="12"/>
    </row>
    <row r="50" spans="1:77" x14ac:dyDescent="0.25">
      <c r="A50" s="7"/>
      <c r="B50" s="7"/>
      <c r="C50" s="7"/>
      <c r="D50" s="7"/>
      <c r="E50" s="7"/>
      <c r="G50" s="12"/>
      <c r="H50" s="12"/>
      <c r="I50" s="12"/>
      <c r="J50" s="12"/>
      <c r="K50" s="12"/>
      <c r="L50" s="12"/>
      <c r="M50" s="12"/>
      <c r="N50" s="12"/>
      <c r="P50" s="12"/>
      <c r="Q50" s="12"/>
      <c r="R50" s="12"/>
      <c r="S50" s="12"/>
      <c r="T50" s="12"/>
      <c r="U50" s="12"/>
      <c r="V50" s="12"/>
      <c r="W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Q50" s="12"/>
      <c r="AR50" s="12"/>
      <c r="AS50" s="12"/>
      <c r="AT50" s="12"/>
      <c r="AU50" s="12"/>
      <c r="AV50" s="12"/>
      <c r="AW50" s="12"/>
      <c r="AX50" s="12"/>
      <c r="AZ50" s="12"/>
      <c r="BA50" s="12"/>
      <c r="BB50" s="12"/>
      <c r="BC50" s="12"/>
      <c r="BD50" s="12"/>
      <c r="BE50" s="12"/>
      <c r="BF50" s="12"/>
      <c r="BG50" s="12"/>
      <c r="BI50" s="12"/>
      <c r="BJ50" s="12"/>
      <c r="BK50" s="12"/>
      <c r="BL50" s="12"/>
      <c r="BM50" s="12"/>
      <c r="BN50" s="12"/>
      <c r="BO50" s="12"/>
      <c r="BP50" s="12"/>
      <c r="BR50" s="12"/>
      <c r="BS50" s="12"/>
      <c r="BT50" s="12"/>
      <c r="BU50" s="12"/>
      <c r="BV50" s="12"/>
      <c r="BW50" s="12"/>
      <c r="BX50" s="12"/>
      <c r="BY50" s="12"/>
    </row>
    <row r="51" spans="1:77" x14ac:dyDescent="0.25">
      <c r="G51" s="12"/>
      <c r="H51" s="12"/>
      <c r="I51" s="12"/>
      <c r="J51" s="12"/>
      <c r="K51" s="12"/>
      <c r="L51" s="12"/>
      <c r="M51" s="12"/>
      <c r="N51" s="12"/>
      <c r="P51" s="12"/>
      <c r="Q51" s="12"/>
      <c r="R51" s="12"/>
      <c r="S51" s="12"/>
      <c r="T51" s="12"/>
      <c r="U51" s="12"/>
      <c r="V51" s="12"/>
      <c r="W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Q51" s="12"/>
      <c r="AR51" s="12"/>
      <c r="AS51" s="12"/>
      <c r="AT51" s="12"/>
      <c r="AU51" s="12"/>
      <c r="AV51" s="12"/>
      <c r="AW51" s="12"/>
      <c r="AX51" s="12"/>
      <c r="AZ51" s="12"/>
      <c r="BA51" s="12"/>
      <c r="BB51" s="12"/>
      <c r="BC51" s="12"/>
      <c r="BD51" s="12"/>
      <c r="BE51" s="12"/>
      <c r="BF51" s="12"/>
      <c r="BG51" s="12"/>
      <c r="BI51" s="12"/>
      <c r="BJ51" s="12"/>
      <c r="BK51" s="12"/>
      <c r="BL51" s="12"/>
      <c r="BM51" s="12"/>
      <c r="BN51" s="12"/>
      <c r="BO51" s="12"/>
      <c r="BP51" s="12"/>
      <c r="BR51" s="12"/>
      <c r="BS51" s="12"/>
      <c r="BT51" s="12"/>
      <c r="BU51" s="12"/>
      <c r="BV51" s="12"/>
      <c r="BW51" s="12"/>
      <c r="BX51" s="12"/>
      <c r="BY51" s="12"/>
    </row>
  </sheetData>
  <mergeCells count="153">
    <mergeCell ref="AU37:AV37"/>
    <mergeCell ref="AW37:AX37"/>
    <mergeCell ref="AE37:AF37"/>
    <mergeCell ref="AQ37:AR37"/>
    <mergeCell ref="AS37:AT37"/>
    <mergeCell ref="Y37:Z37"/>
    <mergeCell ref="AA37:AB37"/>
    <mergeCell ref="AC37:AD37"/>
    <mergeCell ref="I37:J37"/>
    <mergeCell ref="K37:L37"/>
    <mergeCell ref="M37:N37"/>
    <mergeCell ref="BV36:BW36"/>
    <mergeCell ref="BX36:BY36"/>
    <mergeCell ref="BI36:BJ36"/>
    <mergeCell ref="BK36:BL36"/>
    <mergeCell ref="BM36:BN36"/>
    <mergeCell ref="BO36:BP36"/>
    <mergeCell ref="BR36:BS36"/>
    <mergeCell ref="BT36:BU36"/>
    <mergeCell ref="G37:H37"/>
    <mergeCell ref="BD36:BE36"/>
    <mergeCell ref="BF36:BG36"/>
    <mergeCell ref="BI37:BJ37"/>
    <mergeCell ref="BK37:BL37"/>
    <mergeCell ref="BM37:BN37"/>
    <mergeCell ref="BO37:BP37"/>
    <mergeCell ref="AQ36:AR36"/>
    <mergeCell ref="AS36:AT36"/>
    <mergeCell ref="AU36:AV36"/>
    <mergeCell ref="AW36:AX36"/>
    <mergeCell ref="AZ36:BA36"/>
    <mergeCell ref="BB36:BC36"/>
    <mergeCell ref="AJ36:AK36"/>
    <mergeCell ref="AL36:AM36"/>
    <mergeCell ref="AN36:AO36"/>
    <mergeCell ref="AH6:AI6"/>
    <mergeCell ref="AJ6:AK6"/>
    <mergeCell ref="AL6:AM6"/>
    <mergeCell ref="AN6:AO6"/>
    <mergeCell ref="M36:N36"/>
    <mergeCell ref="P36:Q36"/>
    <mergeCell ref="R36:S36"/>
    <mergeCell ref="T36:U36"/>
    <mergeCell ref="G36:H36"/>
    <mergeCell ref="Y36:Z36"/>
    <mergeCell ref="AA36:AB36"/>
    <mergeCell ref="AC36:AD36"/>
    <mergeCell ref="AE36:AF36"/>
    <mergeCell ref="AH36:AI36"/>
    <mergeCell ref="V36:W36"/>
    <mergeCell ref="I36:J36"/>
    <mergeCell ref="K36:L36"/>
    <mergeCell ref="Y6:Z6"/>
    <mergeCell ref="AA6:AB6"/>
    <mergeCell ref="AC6:AD6"/>
    <mergeCell ref="AE6:AF6"/>
    <mergeCell ref="T6:U6"/>
    <mergeCell ref="V6:W6"/>
    <mergeCell ref="G6:H6"/>
    <mergeCell ref="I6:J6"/>
    <mergeCell ref="K6:L6"/>
    <mergeCell ref="M6:N6"/>
    <mergeCell ref="P6:Q6"/>
    <mergeCell ref="R6:S6"/>
    <mergeCell ref="AZ4:BA4"/>
    <mergeCell ref="BB4:BC4"/>
    <mergeCell ref="BD4:BE4"/>
    <mergeCell ref="AL4:AM4"/>
    <mergeCell ref="AN4:AO4"/>
    <mergeCell ref="AQ4:AR4"/>
    <mergeCell ref="BB6:BC6"/>
    <mergeCell ref="BD6:BE6"/>
    <mergeCell ref="AQ6:AR6"/>
    <mergeCell ref="AS6:AT6"/>
    <mergeCell ref="AU6:AV6"/>
    <mergeCell ref="AW6:AX6"/>
    <mergeCell ref="AZ6:BA6"/>
    <mergeCell ref="K4:L4"/>
    <mergeCell ref="M4:N4"/>
    <mergeCell ref="P4:Q4"/>
    <mergeCell ref="R4:S4"/>
    <mergeCell ref="T4:U4"/>
    <mergeCell ref="V4:W4"/>
    <mergeCell ref="BT6:BU6"/>
    <mergeCell ref="BV6:BW6"/>
    <mergeCell ref="BX6:BY6"/>
    <mergeCell ref="BF4:BG4"/>
    <mergeCell ref="BI6:BJ6"/>
    <mergeCell ref="BK6:BL6"/>
    <mergeCell ref="BM6:BN6"/>
    <mergeCell ref="BO6:BP6"/>
    <mergeCell ref="BR6:BS6"/>
    <mergeCell ref="BF6:BG6"/>
    <mergeCell ref="AS4:AT4"/>
    <mergeCell ref="AU4:AV4"/>
    <mergeCell ref="AW4:AX4"/>
    <mergeCell ref="AN2:AO2"/>
    <mergeCell ref="Y2:Z2"/>
    <mergeCell ref="AA2:AB2"/>
    <mergeCell ref="Y4:Z4"/>
    <mergeCell ref="AA4:AB4"/>
    <mergeCell ref="AC4:AD4"/>
    <mergeCell ref="AE4:AF4"/>
    <mergeCell ref="AH4:AI4"/>
    <mergeCell ref="AJ4:AK4"/>
    <mergeCell ref="M2:N2"/>
    <mergeCell ref="P2:Q2"/>
    <mergeCell ref="R2:S2"/>
    <mergeCell ref="G4:H4"/>
    <mergeCell ref="I4:J4"/>
    <mergeCell ref="BX4:BY4"/>
    <mergeCell ref="BB2:BC2"/>
    <mergeCell ref="BD2:BE2"/>
    <mergeCell ref="BF2:BG2"/>
    <mergeCell ref="BI4:BJ4"/>
    <mergeCell ref="BK4:BL4"/>
    <mergeCell ref="BM4:BN4"/>
    <mergeCell ref="BO4:BP4"/>
    <mergeCell ref="BR4:BS4"/>
    <mergeCell ref="BT4:BU4"/>
    <mergeCell ref="BV4:BW4"/>
    <mergeCell ref="AQ2:AR2"/>
    <mergeCell ref="AS2:AT2"/>
    <mergeCell ref="AU2:AV2"/>
    <mergeCell ref="AW2:AX2"/>
    <mergeCell ref="AZ2:BA2"/>
    <mergeCell ref="AH2:AI2"/>
    <mergeCell ref="AJ2:AK2"/>
    <mergeCell ref="AL2:AM2"/>
    <mergeCell ref="G1:N1"/>
    <mergeCell ref="P1:W1"/>
    <mergeCell ref="C1:E1"/>
    <mergeCell ref="BI1:BP1"/>
    <mergeCell ref="BR1:BY1"/>
    <mergeCell ref="BT2:BU2"/>
    <mergeCell ref="BV2:BW2"/>
    <mergeCell ref="BX2:BY2"/>
    <mergeCell ref="Y1:AF1"/>
    <mergeCell ref="AH1:AO1"/>
    <mergeCell ref="AQ1:AX1"/>
    <mergeCell ref="AZ1:BG1"/>
    <mergeCell ref="BI2:BJ2"/>
    <mergeCell ref="BK2:BL2"/>
    <mergeCell ref="BM2:BN2"/>
    <mergeCell ref="BO2:BP2"/>
    <mergeCell ref="BR2:BS2"/>
    <mergeCell ref="AC2:AD2"/>
    <mergeCell ref="AE2:AF2"/>
    <mergeCell ref="T2:U2"/>
    <mergeCell ref="V2:W2"/>
    <mergeCell ref="G2:H2"/>
    <mergeCell ref="I2:J2"/>
    <mergeCell ref="K2:L2"/>
  </mergeCells>
  <pageMargins left="0.70866141732283472" right="0.70866141732283472" top="0.78740157480314965" bottom="0.78740157480314965" header="0.31496062992125984" footer="0.31496062992125984"/>
  <pageSetup paperSize="9" scale="34" fitToWidth="2" orientation="landscape" r:id="rId1"/>
  <headerFooter>
    <oddHeader>&amp;C&amp;A</oddHeader>
    <oddFooter>&amp;R&amp;Z&amp;F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C1" sqref="C1"/>
    </sheetView>
  </sheetViews>
  <sheetFormatPr baseColWidth="10" defaultColWidth="11.42578125" defaultRowHeight="15" x14ac:dyDescent="0.25"/>
  <cols>
    <col min="1" max="1" width="5.140625" style="143" customWidth="1"/>
    <col min="2" max="3" width="13.140625" customWidth="1"/>
  </cols>
  <sheetData>
    <row r="1" spans="1:5" ht="45.75" thickTop="1" x14ac:dyDescent="0.25">
      <c r="A1" s="143" t="s">
        <v>76</v>
      </c>
      <c r="B1" s="144" t="s">
        <v>77</v>
      </c>
      <c r="C1" s="151" t="s">
        <v>78</v>
      </c>
      <c r="D1">
        <f>105.3/100.5</f>
        <v>1.0477611940298508</v>
      </c>
      <c r="E1" t="s">
        <v>82</v>
      </c>
    </row>
    <row r="2" spans="1:5" x14ac:dyDescent="0.25">
      <c r="A2" s="143">
        <v>2020</v>
      </c>
      <c r="B2" s="150">
        <v>0</v>
      </c>
      <c r="C2" s="152">
        <f>+B2/D2</f>
        <v>0</v>
      </c>
      <c r="D2" s="145">
        <v>1.018</v>
      </c>
      <c r="E2" t="s">
        <v>81</v>
      </c>
    </row>
    <row r="3" spans="1:5" x14ac:dyDescent="0.25">
      <c r="A3" s="143">
        <f>+A2+1</f>
        <v>2021</v>
      </c>
      <c r="B3" s="150">
        <v>25</v>
      </c>
      <c r="C3" s="153">
        <f>+B3/D3</f>
        <v>24.123729644396924</v>
      </c>
      <c r="D3" s="145">
        <f>+D2*D$2</f>
        <v>1.036324</v>
      </c>
    </row>
    <row r="4" spans="1:5" x14ac:dyDescent="0.25">
      <c r="A4" s="143">
        <f t="shared" ref="A4:A32" si="0">+A3+1</f>
        <v>2022</v>
      </c>
      <c r="B4" s="150">
        <v>30</v>
      </c>
      <c r="C4" s="153">
        <f t="shared" ref="C4:C8" si="1">+B4/D4</f>
        <v>28.436616476695786</v>
      </c>
      <c r="D4" s="145">
        <f t="shared" ref="D4:D32" si="2">+D3*D$2</f>
        <v>1.0549778320000001</v>
      </c>
    </row>
    <row r="5" spans="1:5" x14ac:dyDescent="0.25">
      <c r="A5" s="143">
        <f t="shared" si="0"/>
        <v>2023</v>
      </c>
      <c r="B5" s="150">
        <v>35</v>
      </c>
      <c r="C5" s="153">
        <f t="shared" si="1"/>
        <v>32.589442589533483</v>
      </c>
      <c r="D5" s="145">
        <f t="shared" si="2"/>
        <v>1.0739674329760001</v>
      </c>
    </row>
    <row r="6" spans="1:5" x14ac:dyDescent="0.25">
      <c r="A6" s="143">
        <f t="shared" si="0"/>
        <v>2024</v>
      </c>
      <c r="B6" s="150">
        <v>45</v>
      </c>
      <c r="C6" s="153">
        <f t="shared" si="1"/>
        <v>41.159834873112729</v>
      </c>
      <c r="D6" s="145">
        <f t="shared" si="2"/>
        <v>1.0932988467695681</v>
      </c>
    </row>
    <row r="7" spans="1:5" x14ac:dyDescent="0.25">
      <c r="A7" s="143">
        <f t="shared" si="0"/>
        <v>2025</v>
      </c>
      <c r="B7" s="150">
        <v>55</v>
      </c>
      <c r="C7" s="153">
        <f t="shared" si="1"/>
        <v>49.416959572608604</v>
      </c>
      <c r="D7" s="145">
        <f t="shared" si="2"/>
        <v>1.1129782260114203</v>
      </c>
    </row>
    <row r="8" spans="1:5" x14ac:dyDescent="0.25">
      <c r="A8" s="143">
        <f t="shared" si="0"/>
        <v>2026</v>
      </c>
      <c r="B8" s="150">
        <v>65</v>
      </c>
      <c r="C8" s="153">
        <f t="shared" si="1"/>
        <v>57.369215435248428</v>
      </c>
      <c r="D8" s="145">
        <f t="shared" si="2"/>
        <v>1.1330118340796258</v>
      </c>
    </row>
    <row r="9" spans="1:5" x14ac:dyDescent="0.25">
      <c r="A9" s="147">
        <f t="shared" si="0"/>
        <v>2027</v>
      </c>
      <c r="B9" s="148">
        <f>+C9*D9</f>
        <v>72.695620941861179</v>
      </c>
      <c r="C9" s="154">
        <f>+C$8+((C$12-C$8)/(A$12-A$8)*(A9-A$8))</f>
        <v>63.026911576436319</v>
      </c>
      <c r="D9" s="149">
        <f t="shared" si="2"/>
        <v>1.1534060470930592</v>
      </c>
    </row>
    <row r="10" spans="1:5" x14ac:dyDescent="0.25">
      <c r="A10" s="143">
        <f t="shared" si="0"/>
        <v>2028</v>
      </c>
      <c r="B10" s="146">
        <f>+C10*D10</f>
        <v>80.647224237629374</v>
      </c>
      <c r="C10" s="153">
        <f>+C$8+((C$12-C$8)/(A$12-A$8)*(A10-A$8))</f>
        <v>68.684607717624218</v>
      </c>
      <c r="D10" s="145">
        <f t="shared" si="2"/>
        <v>1.1741673559407342</v>
      </c>
    </row>
    <row r="11" spans="1:5" x14ac:dyDescent="0.25">
      <c r="A11" s="143">
        <f t="shared" si="0"/>
        <v>2029</v>
      </c>
      <c r="B11" s="146">
        <f t="shared" ref="B11:B32" si="3">+C11*D11</f>
        <v>88.861531870860034</v>
      </c>
      <c r="C11" s="153">
        <f>+C$8+((C$12-C$8)/(A$12-A$8)*(A11-A$8))</f>
        <v>74.342303858812102</v>
      </c>
      <c r="D11" s="145">
        <f t="shared" si="2"/>
        <v>1.1953023683476673</v>
      </c>
    </row>
    <row r="12" spans="1:5" x14ac:dyDescent="0.25">
      <c r="A12" s="143">
        <f t="shared" si="0"/>
        <v>2030</v>
      </c>
      <c r="B12" s="146">
        <f t="shared" si="3"/>
        <v>97.345424878234027</v>
      </c>
      <c r="C12" s="155">
        <v>80</v>
      </c>
      <c r="D12" s="145">
        <f t="shared" si="2"/>
        <v>1.2168178109779253</v>
      </c>
    </row>
    <row r="13" spans="1:5" x14ac:dyDescent="0.25">
      <c r="A13" s="143">
        <f t="shared" si="0"/>
        <v>2031</v>
      </c>
      <c r="B13" s="146">
        <f t="shared" si="3"/>
        <v>104.05252465234435</v>
      </c>
      <c r="C13" s="156">
        <f>+C$12+((C$17-C$12)/(A$17-A$12)*(A13-A$12))</f>
        <v>84</v>
      </c>
      <c r="D13" s="145">
        <f t="shared" si="2"/>
        <v>1.2387205315755279</v>
      </c>
    </row>
    <row r="14" spans="1:5" x14ac:dyDescent="0.25">
      <c r="A14" s="143">
        <f t="shared" si="0"/>
        <v>2032</v>
      </c>
      <c r="B14" s="146">
        <f t="shared" si="3"/>
        <v>110.96954010066209</v>
      </c>
      <c r="C14" s="156">
        <f>+C$12+((C$17-C$12)/(A$17-A$12)*(A14-A$12))</f>
        <v>88</v>
      </c>
      <c r="D14" s="145">
        <f t="shared" si="2"/>
        <v>1.2610175011438873</v>
      </c>
    </row>
    <row r="15" spans="1:5" x14ac:dyDescent="0.25">
      <c r="A15" s="143">
        <f t="shared" si="0"/>
        <v>2033</v>
      </c>
      <c r="B15" s="146">
        <f t="shared" si="3"/>
        <v>118.10185508713191</v>
      </c>
      <c r="C15" s="156">
        <f>+C$12+((C$17-C$12)/(A$17-A$12)*(A15-A$12))</f>
        <v>92</v>
      </c>
      <c r="D15" s="145">
        <f t="shared" si="2"/>
        <v>1.2837158161644773</v>
      </c>
    </row>
    <row r="16" spans="1:5" x14ac:dyDescent="0.25">
      <c r="A16" s="143">
        <f t="shared" si="0"/>
        <v>2034</v>
      </c>
      <c r="B16" s="146">
        <f t="shared" si="3"/>
        <v>125.45497928212203</v>
      </c>
      <c r="C16" s="156">
        <f>+C$12+((C$17-C$12)/(A$17-A$12)*(A16-A$12))</f>
        <v>96</v>
      </c>
      <c r="D16" s="145">
        <f t="shared" si="2"/>
        <v>1.3068227008554378</v>
      </c>
    </row>
    <row r="17" spans="1:4" x14ac:dyDescent="0.25">
      <c r="A17" s="143">
        <f t="shared" si="0"/>
        <v>2035</v>
      </c>
      <c r="B17" s="146">
        <f t="shared" si="3"/>
        <v>133.03455094708357</v>
      </c>
      <c r="C17" s="155">
        <v>100</v>
      </c>
      <c r="D17" s="145">
        <f t="shared" si="2"/>
        <v>1.3303455094708356</v>
      </c>
    </row>
    <row r="18" spans="1:4" x14ac:dyDescent="0.25">
      <c r="A18" s="143">
        <f t="shared" si="0"/>
        <v>2036</v>
      </c>
      <c r="B18" s="146">
        <f t="shared" si="3"/>
        <v>142.20063150733762</v>
      </c>
      <c r="C18" s="156">
        <f>+C$17+((C$22-C$17)/(A$22-A$17)*(A18-A$17))</f>
        <v>105</v>
      </c>
      <c r="D18" s="145">
        <f t="shared" si="2"/>
        <v>1.3542917286413108</v>
      </c>
    </row>
    <row r="19" spans="1:4" x14ac:dyDescent="0.25">
      <c r="A19" s="143">
        <f t="shared" si="0"/>
        <v>2037</v>
      </c>
      <c r="B19" s="146">
        <f t="shared" si="3"/>
        <v>151.65358777325397</v>
      </c>
      <c r="C19" s="156">
        <f t="shared" ref="C19:C21" si="4">+C$17+((C$22-C$17)/(A$22-A$17)*(A19-A$17))</f>
        <v>110</v>
      </c>
      <c r="D19" s="145">
        <f t="shared" si="2"/>
        <v>1.3786689797568543</v>
      </c>
    </row>
    <row r="20" spans="1:4" x14ac:dyDescent="0.25">
      <c r="A20" s="143">
        <f t="shared" si="0"/>
        <v>2038</v>
      </c>
      <c r="B20" s="146">
        <f t="shared" si="3"/>
        <v>161.40077746013492</v>
      </c>
      <c r="C20" s="156">
        <f t="shared" si="4"/>
        <v>115</v>
      </c>
      <c r="D20" s="145">
        <f t="shared" si="2"/>
        <v>1.4034850213924777</v>
      </c>
    </row>
    <row r="21" spans="1:4" x14ac:dyDescent="0.25">
      <c r="A21" s="143">
        <f t="shared" si="0"/>
        <v>2039</v>
      </c>
      <c r="B21" s="146">
        <f t="shared" si="3"/>
        <v>171.44973021330506</v>
      </c>
      <c r="C21" s="156">
        <f t="shared" si="4"/>
        <v>120</v>
      </c>
      <c r="D21" s="145">
        <f t="shared" si="2"/>
        <v>1.4287477517775422</v>
      </c>
    </row>
    <row r="22" spans="1:4" x14ac:dyDescent="0.25">
      <c r="A22" s="143">
        <f t="shared" si="0"/>
        <v>2040</v>
      </c>
      <c r="B22" s="146">
        <f t="shared" si="3"/>
        <v>181.80815141369226</v>
      </c>
      <c r="C22" s="155">
        <v>125</v>
      </c>
      <c r="D22" s="145">
        <f t="shared" si="2"/>
        <v>1.454465211309538</v>
      </c>
    </row>
    <row r="23" spans="1:4" x14ac:dyDescent="0.25">
      <c r="A23" s="143">
        <f t="shared" si="0"/>
        <v>2041</v>
      </c>
      <c r="B23" s="146">
        <f t="shared" si="3"/>
        <v>199.88715399026981</v>
      </c>
      <c r="C23" s="156">
        <f>+C$22+((C$27-C$22)/(A$27-A$22)*(A23-A$22))</f>
        <v>135</v>
      </c>
      <c r="D23" s="145">
        <f t="shared" si="2"/>
        <v>1.4806455851131097</v>
      </c>
    </row>
    <row r="24" spans="1:4" x14ac:dyDescent="0.25">
      <c r="A24" s="143">
        <f t="shared" si="0"/>
        <v>2042</v>
      </c>
      <c r="B24" s="146">
        <f t="shared" si="3"/>
        <v>218.55809481854612</v>
      </c>
      <c r="C24" s="156">
        <f>+C$22+((C$27-C$22)/(A$27-A$22)*(A24-A$22))</f>
        <v>145</v>
      </c>
      <c r="D24" s="145">
        <f t="shared" si="2"/>
        <v>1.5072972056451457</v>
      </c>
    </row>
    <row r="25" spans="1:4" x14ac:dyDescent="0.25">
      <c r="A25" s="143">
        <f t="shared" si="0"/>
        <v>2043</v>
      </c>
      <c r="B25" s="146">
        <f t="shared" si="3"/>
        <v>237.83642607874754</v>
      </c>
      <c r="C25" s="156">
        <f>+C$22+((C$27-C$22)/(A$27-A$22)*(A25-A$22))</f>
        <v>155</v>
      </c>
      <c r="D25" s="145">
        <f t="shared" si="2"/>
        <v>1.5344285553467583</v>
      </c>
    </row>
    <row r="26" spans="1:4" x14ac:dyDescent="0.25">
      <c r="A26" s="143">
        <f t="shared" si="0"/>
        <v>2044</v>
      </c>
      <c r="B26" s="146">
        <f t="shared" si="3"/>
        <v>257.73796444159501</v>
      </c>
      <c r="C26" s="156">
        <f>+C$22+((C$27-C$22)/(A$27-A$22)*(A26-A$22))</f>
        <v>165</v>
      </c>
      <c r="D26" s="145">
        <f t="shared" si="2"/>
        <v>1.562048269343</v>
      </c>
    </row>
    <row r="27" spans="1:4" x14ac:dyDescent="0.25">
      <c r="A27" s="143">
        <f t="shared" si="0"/>
        <v>2045</v>
      </c>
      <c r="B27" s="146">
        <f t="shared" si="3"/>
        <v>278.27889918345545</v>
      </c>
      <c r="C27" s="155">
        <v>175</v>
      </c>
      <c r="D27" s="145">
        <f t="shared" si="2"/>
        <v>1.5901651381911741</v>
      </c>
    </row>
    <row r="28" spans="1:4" x14ac:dyDescent="0.25">
      <c r="A28" s="143">
        <f t="shared" si="0"/>
        <v>2046</v>
      </c>
      <c r="B28" s="146">
        <f t="shared" si="3"/>
        <v>304.33216480757966</v>
      </c>
      <c r="C28" s="156">
        <f>+C$27+((C$32-C$27)/(A$32-A$27)*(A28-A$27))</f>
        <v>188</v>
      </c>
      <c r="D28" s="145">
        <f t="shared" si="2"/>
        <v>1.6187881106786153</v>
      </c>
    </row>
    <row r="29" spans="1:4" x14ac:dyDescent="0.25">
      <c r="A29" s="143">
        <f t="shared" si="0"/>
        <v>2047</v>
      </c>
      <c r="B29" s="146">
        <f t="shared" si="3"/>
        <v>331.23318563083689</v>
      </c>
      <c r="C29" s="156">
        <f>+C$27+((C$32-C$27)/(A$32-A$27)*(A29-A$27))</f>
        <v>201</v>
      </c>
      <c r="D29" s="145">
        <f t="shared" si="2"/>
        <v>1.6479262966708303</v>
      </c>
    </row>
    <row r="30" spans="1:4" x14ac:dyDescent="0.25">
      <c r="A30" s="143">
        <f t="shared" si="0"/>
        <v>2048</v>
      </c>
      <c r="B30" s="146">
        <f t="shared" si="3"/>
        <v>359.00403958233375</v>
      </c>
      <c r="C30" s="156">
        <f>+C$27+((C$32-C$27)/(A$32-A$27)*(A30-A$27))</f>
        <v>214</v>
      </c>
      <c r="D30" s="145">
        <f t="shared" si="2"/>
        <v>1.6775889700109052</v>
      </c>
    </row>
    <row r="31" spans="1:4" x14ac:dyDescent="0.25">
      <c r="A31" s="143">
        <f t="shared" si="0"/>
        <v>2049</v>
      </c>
      <c r="B31" s="146">
        <f t="shared" si="3"/>
        <v>387.66732472394006</v>
      </c>
      <c r="C31" s="156">
        <f>+C$27+((C$32-C$27)/(A$32-A$27)*(A31-A$27))</f>
        <v>227</v>
      </c>
      <c r="D31" s="145">
        <f t="shared" si="2"/>
        <v>1.7077855714711017</v>
      </c>
    </row>
    <row r="32" spans="1:4" ht="15.75" thickBot="1" x14ac:dyDescent="0.3">
      <c r="A32" s="143">
        <f t="shared" si="0"/>
        <v>2050</v>
      </c>
      <c r="B32" s="146">
        <f t="shared" si="3"/>
        <v>417.24617082181953</v>
      </c>
      <c r="C32" s="157">
        <v>240</v>
      </c>
      <c r="D32" s="145">
        <f t="shared" si="2"/>
        <v>1.7385257117575814</v>
      </c>
    </row>
    <row r="33" spans="3:3" ht="15.75" thickTop="1" x14ac:dyDescent="0.25"/>
    <row r="34" spans="3:3" x14ac:dyDescent="0.25">
      <c r="C34" t="s">
        <v>79</v>
      </c>
    </row>
    <row r="35" spans="3:3" x14ac:dyDescent="0.25">
      <c r="C35" t="s">
        <v>80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51"/>
  <sheetViews>
    <sheetView zoomScale="70" zoomScaleNormal="70" workbookViewId="0">
      <pane xSplit="5" ySplit="2" topLeftCell="AA3" activePane="bottomRight" state="frozen"/>
      <selection pane="topRight" activeCell="E1" sqref="E1"/>
      <selection pane="bottomLeft" activeCell="A3" sqref="A3"/>
      <selection pane="bottomRight" activeCell="EF7" sqref="EF7"/>
    </sheetView>
  </sheetViews>
  <sheetFormatPr baseColWidth="10" defaultColWidth="11.42578125" defaultRowHeight="15" x14ac:dyDescent="0.25"/>
  <cols>
    <col min="1" max="1" width="16.42578125" style="1" customWidth="1"/>
    <col min="2" max="4" width="10.28515625" style="1" customWidth="1"/>
    <col min="5" max="5" width="4.7109375" style="1" customWidth="1"/>
    <col min="6" max="13" width="10.28515625" style="11" customWidth="1"/>
    <col min="14" max="14" width="4.7109375" style="1" customWidth="1"/>
    <col min="15" max="22" width="10.28515625" style="11" customWidth="1"/>
    <col min="23" max="23" width="4.7109375" style="1" customWidth="1"/>
    <col min="24" max="29" width="10.28515625" style="11" customWidth="1"/>
    <col min="30" max="30" width="4.7109375" style="1" customWidth="1"/>
    <col min="31" max="36" width="10.28515625" style="11" customWidth="1"/>
    <col min="37" max="37" width="4.7109375" style="1" customWidth="1"/>
    <col min="38" max="43" width="10.28515625" style="11" customWidth="1"/>
    <col min="44" max="44" width="4.7109375" style="1" customWidth="1"/>
    <col min="45" max="52" width="10.28515625" style="11" customWidth="1"/>
    <col min="53" max="53" width="4.7109375" style="1" customWidth="1"/>
    <col min="54" max="61" width="10.28515625" style="11" customWidth="1"/>
    <col min="62" max="62" width="4.7109375" style="1" customWidth="1"/>
    <col min="63" max="68" width="10.28515625" style="11" customWidth="1"/>
    <col min="69" max="69" width="4.7109375" style="1" customWidth="1"/>
    <col min="70" max="75" width="10.28515625" style="11" customWidth="1"/>
    <col min="76" max="76" width="4.7109375" style="1" customWidth="1"/>
    <col min="77" max="82" width="10.28515625" style="11" customWidth="1"/>
    <col min="83" max="83" width="4.7109375" style="11" customWidth="1"/>
    <col min="84" max="89" width="10.28515625" style="11" customWidth="1"/>
    <col min="90" max="90" width="4.7109375" style="1" customWidth="1"/>
    <col min="91" max="98" width="10.28515625" style="11" customWidth="1"/>
    <col min="99" max="99" width="4.7109375" style="11" customWidth="1"/>
    <col min="100" max="107" width="10.28515625" style="11" customWidth="1"/>
    <col min="108" max="108" width="4.7109375" style="1" customWidth="1"/>
    <col min="109" max="114" width="10.28515625" style="11" customWidth="1"/>
    <col min="115" max="115" width="4.7109375" style="1" customWidth="1"/>
    <col min="116" max="123" width="10.28515625" style="11" customWidth="1"/>
    <col min="124" max="124" width="4.7109375" style="1" customWidth="1"/>
    <col min="125" max="132" width="10.28515625" style="11" customWidth="1"/>
    <col min="133" max="16384" width="11.42578125" style="1"/>
  </cols>
  <sheetData>
    <row r="1" spans="1:138" ht="39.950000000000003" customHeight="1" x14ac:dyDescent="0.25">
      <c r="A1" s="66"/>
      <c r="B1" s="248" t="s">
        <v>50</v>
      </c>
      <c r="C1" s="229"/>
      <c r="D1" s="230"/>
      <c r="F1" s="221" t="s">
        <v>60</v>
      </c>
      <c r="G1" s="222"/>
      <c r="H1" s="222"/>
      <c r="I1" s="222"/>
      <c r="J1" s="222"/>
      <c r="K1" s="222"/>
      <c r="L1" s="222"/>
      <c r="M1" s="249"/>
      <c r="O1" s="262" t="s">
        <v>59</v>
      </c>
      <c r="P1" s="263"/>
      <c r="Q1" s="263"/>
      <c r="R1" s="263"/>
      <c r="S1" s="263"/>
      <c r="T1" s="263"/>
      <c r="U1" s="263"/>
      <c r="V1" s="263"/>
      <c r="X1" s="250" t="s">
        <v>37</v>
      </c>
      <c r="Y1" s="251"/>
      <c r="Z1" s="251"/>
      <c r="AA1" s="251"/>
      <c r="AB1" s="251"/>
      <c r="AC1" s="252"/>
      <c r="AE1" s="250" t="s">
        <v>38</v>
      </c>
      <c r="AF1" s="251"/>
      <c r="AG1" s="251"/>
      <c r="AH1" s="251"/>
      <c r="AI1" s="251"/>
      <c r="AJ1" s="252"/>
      <c r="AL1" s="218" t="s">
        <v>39</v>
      </c>
      <c r="AM1" s="219"/>
      <c r="AN1" s="219"/>
      <c r="AO1" s="219"/>
      <c r="AP1" s="219"/>
      <c r="AQ1" s="220"/>
      <c r="AS1" s="262" t="s">
        <v>55</v>
      </c>
      <c r="AT1" s="263"/>
      <c r="AU1" s="263"/>
      <c r="AV1" s="263"/>
      <c r="AW1" s="263"/>
      <c r="AX1" s="263"/>
      <c r="AY1" s="263"/>
      <c r="AZ1" s="263"/>
      <c r="BB1" s="262" t="s">
        <v>56</v>
      </c>
      <c r="BC1" s="263"/>
      <c r="BD1" s="263"/>
      <c r="BE1" s="263"/>
      <c r="BF1" s="263"/>
      <c r="BG1" s="263"/>
      <c r="BH1" s="263"/>
      <c r="BI1" s="263"/>
      <c r="BK1" s="218" t="s">
        <v>40</v>
      </c>
      <c r="BL1" s="219"/>
      <c r="BM1" s="219"/>
      <c r="BN1" s="219"/>
      <c r="BO1" s="219"/>
      <c r="BP1" s="220"/>
      <c r="BR1" s="218" t="s">
        <v>41</v>
      </c>
      <c r="BS1" s="219"/>
      <c r="BT1" s="219"/>
      <c r="BU1" s="219"/>
      <c r="BV1" s="219"/>
      <c r="BW1" s="220"/>
      <c r="BY1" s="250" t="s">
        <v>42</v>
      </c>
      <c r="BZ1" s="251"/>
      <c r="CA1" s="251"/>
      <c r="CB1" s="251"/>
      <c r="CC1" s="251"/>
      <c r="CD1" s="252"/>
      <c r="CE1" s="1"/>
      <c r="CF1" s="218" t="s">
        <v>44</v>
      </c>
      <c r="CG1" s="219"/>
      <c r="CH1" s="219"/>
      <c r="CI1" s="219"/>
      <c r="CJ1" s="219"/>
      <c r="CK1" s="220"/>
      <c r="CM1" s="221" t="s">
        <v>65</v>
      </c>
      <c r="CN1" s="222"/>
      <c r="CO1" s="222"/>
      <c r="CP1" s="222"/>
      <c r="CQ1" s="222"/>
      <c r="CR1" s="222"/>
      <c r="CS1" s="222"/>
      <c r="CT1" s="249"/>
      <c r="CU1" s="1"/>
      <c r="CV1" s="221" t="s">
        <v>62</v>
      </c>
      <c r="CW1" s="222"/>
      <c r="CX1" s="222"/>
      <c r="CY1" s="222"/>
      <c r="CZ1" s="222"/>
      <c r="DA1" s="222"/>
      <c r="DB1" s="222"/>
      <c r="DC1" s="249"/>
      <c r="DE1" s="218" t="s">
        <v>45</v>
      </c>
      <c r="DF1" s="219"/>
      <c r="DG1" s="219"/>
      <c r="DH1" s="219"/>
      <c r="DI1" s="219"/>
      <c r="DJ1" s="220"/>
      <c r="DL1" s="221" t="s">
        <v>57</v>
      </c>
      <c r="DM1" s="222"/>
      <c r="DN1" s="222"/>
      <c r="DO1" s="222"/>
      <c r="DP1" s="222"/>
      <c r="DQ1" s="222"/>
      <c r="DR1" s="222"/>
      <c r="DS1" s="249"/>
      <c r="DU1" s="221" t="s">
        <v>58</v>
      </c>
      <c r="DV1" s="222"/>
      <c r="DW1" s="222"/>
      <c r="DX1" s="222"/>
      <c r="DY1" s="222"/>
      <c r="DZ1" s="222"/>
      <c r="EA1" s="222"/>
      <c r="EB1" s="249"/>
      <c r="ED1" s="1">
        <v>1990</v>
      </c>
      <c r="EE1" s="1">
        <v>2005</v>
      </c>
      <c r="EF1" s="1">
        <v>2011</v>
      </c>
      <c r="EG1" s="1">
        <v>2030</v>
      </c>
    </row>
    <row r="2" spans="1:138" ht="60" customHeight="1" x14ac:dyDescent="0.25">
      <c r="A2" s="67"/>
      <c r="B2" s="112">
        <v>1990</v>
      </c>
      <c r="C2" s="114">
        <v>2005</v>
      </c>
      <c r="D2" s="113">
        <v>2011</v>
      </c>
      <c r="F2" s="223" t="s">
        <v>4</v>
      </c>
      <c r="G2" s="224"/>
      <c r="H2" s="225" t="s">
        <v>5</v>
      </c>
      <c r="I2" s="226"/>
      <c r="J2" s="225" t="s">
        <v>52</v>
      </c>
      <c r="K2" s="226"/>
      <c r="L2" s="229" t="s">
        <v>6</v>
      </c>
      <c r="M2" s="230"/>
      <c r="O2" s="223" t="s">
        <v>4</v>
      </c>
      <c r="P2" s="224"/>
      <c r="Q2" s="225" t="s">
        <v>5</v>
      </c>
      <c r="R2" s="226"/>
      <c r="S2" s="227" t="s">
        <v>46</v>
      </c>
      <c r="T2" s="228"/>
      <c r="U2" s="229" t="s">
        <v>48</v>
      </c>
      <c r="V2" s="230"/>
      <c r="X2" s="223" t="s">
        <v>4</v>
      </c>
      <c r="Y2" s="224"/>
      <c r="Z2" s="225" t="s">
        <v>5</v>
      </c>
      <c r="AA2" s="226"/>
      <c r="AB2" s="229" t="s">
        <v>6</v>
      </c>
      <c r="AC2" s="230"/>
      <c r="AE2" s="223" t="s">
        <v>4</v>
      </c>
      <c r="AF2" s="224"/>
      <c r="AG2" s="225" t="s">
        <v>5</v>
      </c>
      <c r="AH2" s="226"/>
      <c r="AI2" s="229" t="s">
        <v>6</v>
      </c>
      <c r="AJ2" s="230"/>
      <c r="AL2" s="223" t="s">
        <v>4</v>
      </c>
      <c r="AM2" s="224"/>
      <c r="AN2" s="225" t="s">
        <v>5</v>
      </c>
      <c r="AO2" s="226"/>
      <c r="AP2" s="229" t="s">
        <v>6</v>
      </c>
      <c r="AQ2" s="230"/>
      <c r="AS2" s="223" t="str">
        <f t="shared" ref="AS2:AS36" si="0">+BB2</f>
        <v>Targets for 2020 (compared to 1990)</v>
      </c>
      <c r="AT2" s="224"/>
      <c r="AU2" s="225" t="str">
        <f t="shared" ref="AU2:AU36" si="1">+BD2</f>
        <v>Targets for 2030 (compared to 1990) - Proposal</v>
      </c>
      <c r="AV2" s="226"/>
      <c r="AW2" s="224" t="str">
        <f t="shared" ref="AW2:AW36" si="2">+BF2</f>
        <v>Targets for 2040 (compared to 1990) – REEEM clusters</v>
      </c>
      <c r="AX2" s="224"/>
      <c r="AY2" s="225" t="str">
        <f t="shared" ref="AY2:AY36" si="3">+BH2</f>
        <v>Targets for 2050 (compared to 1990) – REEEM clusters</v>
      </c>
      <c r="AZ2" s="261"/>
      <c r="BB2" s="223" t="s">
        <v>4</v>
      </c>
      <c r="BC2" s="224"/>
      <c r="BD2" s="225" t="s">
        <v>5</v>
      </c>
      <c r="BE2" s="226"/>
      <c r="BF2" s="227" t="s">
        <v>46</v>
      </c>
      <c r="BG2" s="228"/>
      <c r="BH2" s="229" t="s">
        <v>48</v>
      </c>
      <c r="BI2" s="230"/>
      <c r="BK2" s="223" t="s">
        <v>4</v>
      </c>
      <c r="BL2" s="224"/>
      <c r="BM2" s="225" t="s">
        <v>5</v>
      </c>
      <c r="BN2" s="226"/>
      <c r="BO2" s="229" t="s">
        <v>6</v>
      </c>
      <c r="BP2" s="230"/>
      <c r="BR2" s="223" t="s">
        <v>4</v>
      </c>
      <c r="BS2" s="224"/>
      <c r="BT2" s="225" t="s">
        <v>5</v>
      </c>
      <c r="BU2" s="226"/>
      <c r="BV2" s="229" t="s">
        <v>6</v>
      </c>
      <c r="BW2" s="230"/>
      <c r="BY2" s="223" t="s">
        <v>4</v>
      </c>
      <c r="BZ2" s="224"/>
      <c r="CA2" s="225" t="s">
        <v>5</v>
      </c>
      <c r="CB2" s="226"/>
      <c r="CC2" s="229" t="s">
        <v>6</v>
      </c>
      <c r="CD2" s="230"/>
      <c r="CE2" s="1"/>
      <c r="CF2" s="223" t="s">
        <v>4</v>
      </c>
      <c r="CG2" s="224"/>
      <c r="CH2" s="225" t="s">
        <v>5</v>
      </c>
      <c r="CI2" s="226"/>
      <c r="CJ2" s="229" t="s">
        <v>6</v>
      </c>
      <c r="CK2" s="230"/>
      <c r="CM2" s="223" t="str">
        <f t="shared" ref="CM2:CM36" si="4">+CV2</f>
        <v>Targets for 2020 (compared to 1990)</v>
      </c>
      <c r="CN2" s="224"/>
      <c r="CO2" s="225" t="str">
        <f t="shared" ref="CO2:CO36" si="5">+CX2</f>
        <v>Targets for 2030 (compared to 1990) - Proposal</v>
      </c>
      <c r="CP2" s="226"/>
      <c r="CQ2" s="224" t="str">
        <f t="shared" ref="CQ2:CQ36" si="6">+CZ2</f>
        <v>Targets for 2040 (compared to 1990) - Proposal</v>
      </c>
      <c r="CR2" s="224"/>
      <c r="CS2" s="225" t="str">
        <f t="shared" ref="CS2:CS36" si="7">+DB2</f>
        <v>Target for 2050 (compared to 1990) – REEEM clusters</v>
      </c>
      <c r="CT2" s="261"/>
      <c r="CU2" s="1"/>
      <c r="CV2" s="223" t="s">
        <v>4</v>
      </c>
      <c r="CW2" s="224"/>
      <c r="CX2" s="225" t="s">
        <v>5</v>
      </c>
      <c r="CY2" s="226"/>
      <c r="CZ2" s="225" t="s">
        <v>52</v>
      </c>
      <c r="DA2" s="226"/>
      <c r="DB2" s="229" t="s">
        <v>6</v>
      </c>
      <c r="DC2" s="230"/>
      <c r="DE2" s="223" t="s">
        <v>4</v>
      </c>
      <c r="DF2" s="224"/>
      <c r="DG2" s="225" t="s">
        <v>5</v>
      </c>
      <c r="DH2" s="226"/>
      <c r="DI2" s="229" t="s">
        <v>6</v>
      </c>
      <c r="DJ2" s="230"/>
      <c r="DL2" s="223" t="str">
        <f t="shared" ref="DL2:DL36" si="8">+DU2</f>
        <v>Targets for 2020 (compared to 1990)</v>
      </c>
      <c r="DM2" s="224"/>
      <c r="DN2" s="225" t="str">
        <f t="shared" ref="DN2:DN36" si="9">+DW2</f>
        <v>Targets for 2030 (compared to 1990) - Proposal</v>
      </c>
      <c r="DO2" s="226"/>
      <c r="DP2" s="224" t="str">
        <f t="shared" ref="DP2:DP36" si="10">+DY2</f>
        <v>Targets for 2040 (compared to 1990) - Proposal</v>
      </c>
      <c r="DQ2" s="224"/>
      <c r="DR2" s="225" t="str">
        <f t="shared" ref="DR2:DR36" si="11">+EA2</f>
        <v>Target for 2050 (compared to 1990) – REEEM clusters</v>
      </c>
      <c r="DS2" s="261"/>
      <c r="DU2" s="223" t="s">
        <v>4</v>
      </c>
      <c r="DV2" s="224"/>
      <c r="DW2" s="225" t="s">
        <v>5</v>
      </c>
      <c r="DX2" s="226"/>
      <c r="DY2" s="225" t="s">
        <v>52</v>
      </c>
      <c r="DZ2" s="226"/>
      <c r="EA2" s="229" t="s">
        <v>6</v>
      </c>
      <c r="EB2" s="230"/>
    </row>
    <row r="3" spans="1:138" ht="20.100000000000001" customHeight="1" x14ac:dyDescent="0.25">
      <c r="A3" s="68" t="s">
        <v>3</v>
      </c>
      <c r="B3" s="83">
        <f>+ED3</f>
        <v>5407.223</v>
      </c>
      <c r="C3" s="115">
        <f>+EE3</f>
        <v>5037.0798099999993</v>
      </c>
      <c r="D3" s="90">
        <f>+EF3</f>
        <v>4473.6959458180554</v>
      </c>
      <c r="F3" s="104">
        <v>-0.2</v>
      </c>
      <c r="G3" s="14">
        <f>$ED3*0.8</f>
        <v>4325.7784000000001</v>
      </c>
      <c r="H3" s="106">
        <v>-0.4</v>
      </c>
      <c r="I3" s="23">
        <f>$ED3*0.6</f>
        <v>3244.3337999999999</v>
      </c>
      <c r="J3" s="106">
        <f>+(H3+L3)/2</f>
        <v>-0.60000000000000009</v>
      </c>
      <c r="K3" s="23">
        <f>+(I3+M3)/2</f>
        <v>2162.8892000000001</v>
      </c>
      <c r="L3" s="105">
        <v>-0.8</v>
      </c>
      <c r="M3" s="21">
        <f>$ED3*0.2</f>
        <v>1081.4446</v>
      </c>
      <c r="O3" s="51">
        <v>-0.2</v>
      </c>
      <c r="P3" s="14">
        <f>$ED3*0.8</f>
        <v>4325.7784000000001</v>
      </c>
      <c r="Q3" s="53">
        <v>-0.4</v>
      </c>
      <c r="R3" s="23">
        <f>$ED3*0.6</f>
        <v>3244.3337999999999</v>
      </c>
      <c r="S3" s="53">
        <f>+(Q3+U3)/2</f>
        <v>-0.60000000000000009</v>
      </c>
      <c r="T3" s="23">
        <f>$ED3*0.4</f>
        <v>2162.8892000000001</v>
      </c>
      <c r="U3" s="52">
        <v>-0.8</v>
      </c>
      <c r="V3" s="21">
        <f>$ED3*0.2</f>
        <v>1081.4446</v>
      </c>
      <c r="X3" s="15">
        <v>-0.2</v>
      </c>
      <c r="Y3" s="14">
        <f>+$G3</f>
        <v>4325.7784000000001</v>
      </c>
      <c r="Z3" s="29">
        <v>-0.5</v>
      </c>
      <c r="AA3" s="26">
        <f>$ED3*0.5</f>
        <v>2703.6115</v>
      </c>
      <c r="AB3" s="2">
        <v>-0.9</v>
      </c>
      <c r="AC3" s="28">
        <f>$ED3*0.1</f>
        <v>540.72230000000002</v>
      </c>
      <c r="AE3" s="15">
        <v>-0.2</v>
      </c>
      <c r="AF3" s="14">
        <f>+$G3</f>
        <v>4325.7784000000001</v>
      </c>
      <c r="AG3" s="29">
        <v>-0.55000000000000004</v>
      </c>
      <c r="AH3" s="26">
        <f>$ED3*0.45</f>
        <v>2433.2503500000003</v>
      </c>
      <c r="AI3" s="2">
        <v>-0.95</v>
      </c>
      <c r="AJ3" s="28">
        <f>$ED3*0.05</f>
        <v>270.36115000000001</v>
      </c>
      <c r="AL3" s="15">
        <v>-0.2</v>
      </c>
      <c r="AM3" s="14">
        <f>+$G3</f>
        <v>4325.7784000000001</v>
      </c>
      <c r="AN3" s="29">
        <v>-0.5</v>
      </c>
      <c r="AO3" s="26">
        <f>+$AA3</f>
        <v>2703.6115</v>
      </c>
      <c r="AP3" s="2">
        <v>-0.9</v>
      </c>
      <c r="AQ3" s="28">
        <f>+$AC3</f>
        <v>540.72230000000002</v>
      </c>
      <c r="AS3" s="104">
        <f t="shared" si="0"/>
        <v>-0.2</v>
      </c>
      <c r="AT3" s="14">
        <f>+BC3</f>
        <v>4325.7784000000001</v>
      </c>
      <c r="AU3" s="29">
        <f t="shared" si="1"/>
        <v>-0.55000000000000004</v>
      </c>
      <c r="AV3" s="26">
        <f>+BE3</f>
        <v>2433.2503500000003</v>
      </c>
      <c r="AW3" s="2">
        <f t="shared" si="2"/>
        <v>-0.75</v>
      </c>
      <c r="AX3" s="82">
        <f>+BG3</f>
        <v>1351.80575</v>
      </c>
      <c r="AY3" s="29">
        <f t="shared" si="3"/>
        <v>-0.95</v>
      </c>
      <c r="AZ3" s="28">
        <f>+BI3</f>
        <v>270.36115000000001</v>
      </c>
      <c r="BB3" s="51">
        <v>-0.2</v>
      </c>
      <c r="BC3" s="14">
        <f>+$G3</f>
        <v>4325.7784000000001</v>
      </c>
      <c r="BD3" s="29">
        <v>-0.55000000000000004</v>
      </c>
      <c r="BE3" s="26">
        <f>+$AH3</f>
        <v>2433.2503500000003</v>
      </c>
      <c r="BF3" s="29">
        <v>-0.75</v>
      </c>
      <c r="BG3" s="26">
        <f>$ED3*0.25</f>
        <v>1351.80575</v>
      </c>
      <c r="BH3" s="2">
        <v>-0.95</v>
      </c>
      <c r="BI3" s="28">
        <f>+$AJ3</f>
        <v>270.36115000000001</v>
      </c>
      <c r="BK3" s="15">
        <v>-0.2</v>
      </c>
      <c r="BL3" s="14">
        <f>+$G3</f>
        <v>4325.7784000000001</v>
      </c>
      <c r="BM3" s="29">
        <f>+AN3</f>
        <v>-0.5</v>
      </c>
      <c r="BN3" s="26">
        <f>+$AA3</f>
        <v>2703.6115</v>
      </c>
      <c r="BO3" s="2">
        <f>+AP3</f>
        <v>-0.9</v>
      </c>
      <c r="BP3" s="28">
        <f>+$AC3</f>
        <v>540.72230000000002</v>
      </c>
      <c r="BR3" s="15">
        <v>-0.2</v>
      </c>
      <c r="BS3" s="14">
        <f>+$G3</f>
        <v>4325.7784000000001</v>
      </c>
      <c r="BT3" s="29">
        <f>+BM3</f>
        <v>-0.5</v>
      </c>
      <c r="BU3" s="26">
        <f>+$AA3</f>
        <v>2703.6115</v>
      </c>
      <c r="BV3" s="2">
        <f>+BO3</f>
        <v>-0.9</v>
      </c>
      <c r="BW3" s="28">
        <f>+$AC3</f>
        <v>540.72230000000002</v>
      </c>
      <c r="BY3" s="15">
        <v>-0.2</v>
      </c>
      <c r="BZ3" s="14">
        <f>+$G3</f>
        <v>4325.7784000000001</v>
      </c>
      <c r="CA3" s="29">
        <f>+BT3</f>
        <v>-0.5</v>
      </c>
      <c r="CB3" s="26">
        <f>+$AA3</f>
        <v>2703.6115</v>
      </c>
      <c r="CC3" s="2">
        <f>+BV3</f>
        <v>-0.9</v>
      </c>
      <c r="CD3" s="28">
        <f>+$AC3</f>
        <v>540.72230000000002</v>
      </c>
      <c r="CE3" s="1"/>
      <c r="CF3" s="15">
        <v>-0.2</v>
      </c>
      <c r="CG3" s="14">
        <f>+$G3</f>
        <v>4325.7784000000001</v>
      </c>
      <c r="CH3" s="29">
        <f>+Z3</f>
        <v>-0.5</v>
      </c>
      <c r="CI3" s="26">
        <f>+$AA3</f>
        <v>2703.6115</v>
      </c>
      <c r="CJ3" s="2">
        <f>+AB3</f>
        <v>-0.9</v>
      </c>
      <c r="CK3" s="28">
        <f>+$AC3</f>
        <v>540.72230000000002</v>
      </c>
      <c r="CM3" s="104">
        <f t="shared" si="4"/>
        <v>-0.2</v>
      </c>
      <c r="CN3" s="14">
        <f>+CW3</f>
        <v>4325.7784000000001</v>
      </c>
      <c r="CO3" s="29">
        <f t="shared" si="5"/>
        <v>-0.55000000000000004</v>
      </c>
      <c r="CP3" s="26">
        <f>+CY3</f>
        <v>2433.2503500000003</v>
      </c>
      <c r="CQ3" s="2">
        <f t="shared" si="6"/>
        <v>-0.75</v>
      </c>
      <c r="CR3" s="82">
        <f>+DA3</f>
        <v>1351.8057500000002</v>
      </c>
      <c r="CS3" s="29">
        <f t="shared" si="7"/>
        <v>-0.95</v>
      </c>
      <c r="CT3" s="28">
        <f>+DC3</f>
        <v>270.36115000000001</v>
      </c>
      <c r="CU3" s="1"/>
      <c r="CV3" s="15">
        <v>-0.2</v>
      </c>
      <c r="CW3" s="14">
        <f>+$G3</f>
        <v>4325.7784000000001</v>
      </c>
      <c r="CX3" s="29">
        <f>+AG3</f>
        <v>-0.55000000000000004</v>
      </c>
      <c r="CY3" s="26">
        <f>+$AH3</f>
        <v>2433.2503500000003</v>
      </c>
      <c r="CZ3" s="29">
        <f>+(CX3+DB3)/2</f>
        <v>-0.75</v>
      </c>
      <c r="DA3" s="26">
        <f>+(CY3+DC3)/2</f>
        <v>1351.8057500000002</v>
      </c>
      <c r="DB3" s="2">
        <f>+AI3</f>
        <v>-0.95</v>
      </c>
      <c r="DC3" s="28">
        <f>+$AJ3</f>
        <v>270.36115000000001</v>
      </c>
      <c r="DE3" s="15">
        <v>-0.2</v>
      </c>
      <c r="DF3" s="14">
        <f>+$G3</f>
        <v>4325.7784000000001</v>
      </c>
      <c r="DG3" s="29">
        <f>+Z3</f>
        <v>-0.5</v>
      </c>
      <c r="DH3" s="26">
        <f>+$AA3</f>
        <v>2703.6115</v>
      </c>
      <c r="DI3" s="2">
        <f>+AB3</f>
        <v>-0.9</v>
      </c>
      <c r="DJ3" s="28">
        <f>+$AC3</f>
        <v>540.72230000000002</v>
      </c>
      <c r="DL3" s="104">
        <f t="shared" si="8"/>
        <v>-0.2</v>
      </c>
      <c r="DM3" s="14">
        <f>+DV3</f>
        <v>4325.7784000000001</v>
      </c>
      <c r="DN3" s="29">
        <f t="shared" si="9"/>
        <v>-0.55000000000000004</v>
      </c>
      <c r="DO3" s="26">
        <f>+DX3</f>
        <v>2433.2503500000003</v>
      </c>
      <c r="DP3" s="2">
        <f t="shared" si="10"/>
        <v>-0.75</v>
      </c>
      <c r="DQ3" s="82">
        <f>+DZ3</f>
        <v>1351.8057500000002</v>
      </c>
      <c r="DR3" s="29">
        <f t="shared" si="11"/>
        <v>-0.95</v>
      </c>
      <c r="DS3" s="28">
        <f>+EB3</f>
        <v>270.36115000000001</v>
      </c>
      <c r="DU3" s="15">
        <v>-0.2</v>
      </c>
      <c r="DV3" s="14">
        <f>+$G3</f>
        <v>4325.7784000000001</v>
      </c>
      <c r="DW3" s="29">
        <f>+AG3</f>
        <v>-0.55000000000000004</v>
      </c>
      <c r="DX3" s="26">
        <f>+$AH3</f>
        <v>2433.2503500000003</v>
      </c>
      <c r="DY3" s="29">
        <f>+(DW3+EA3)/2</f>
        <v>-0.75</v>
      </c>
      <c r="DZ3" s="26">
        <f>+(DX3+EB3)/2</f>
        <v>1351.8057500000002</v>
      </c>
      <c r="EA3" s="2">
        <f>+AI3</f>
        <v>-0.95</v>
      </c>
      <c r="EB3" s="28">
        <f>+$AJ3</f>
        <v>270.36115000000001</v>
      </c>
      <c r="ED3" s="50">
        <v>5407.223</v>
      </c>
      <c r="EE3" s="50">
        <v>5037.0798099999993</v>
      </c>
      <c r="EF3" s="50">
        <v>4473.6959458180554</v>
      </c>
      <c r="EG3" s="61">
        <v>3244.3337999999999</v>
      </c>
    </row>
    <row r="4" spans="1:138" ht="60" customHeight="1" x14ac:dyDescent="0.25">
      <c r="A4" s="69"/>
      <c r="B4" s="92">
        <f>+B2</f>
        <v>1990</v>
      </c>
      <c r="C4" s="116">
        <f>+C2</f>
        <v>2005</v>
      </c>
      <c r="D4" s="93">
        <f>+D2</f>
        <v>2011</v>
      </c>
      <c r="F4" s="231" t="s">
        <v>0</v>
      </c>
      <c r="G4" s="232"/>
      <c r="H4" s="233" t="s">
        <v>1</v>
      </c>
      <c r="I4" s="234"/>
      <c r="J4" s="233" t="s">
        <v>53</v>
      </c>
      <c r="K4" s="234"/>
      <c r="L4" s="237" t="s">
        <v>2</v>
      </c>
      <c r="M4" s="238"/>
      <c r="O4" s="231" t="s">
        <v>0</v>
      </c>
      <c r="P4" s="232"/>
      <c r="Q4" s="233" t="s">
        <v>1</v>
      </c>
      <c r="R4" s="234"/>
      <c r="S4" s="235" t="s">
        <v>47</v>
      </c>
      <c r="T4" s="236"/>
      <c r="U4" s="237" t="s">
        <v>49</v>
      </c>
      <c r="V4" s="238"/>
      <c r="X4" s="231" t="s">
        <v>0</v>
      </c>
      <c r="Y4" s="232"/>
      <c r="Z4" s="233" t="s">
        <v>1</v>
      </c>
      <c r="AA4" s="234"/>
      <c r="AB4" s="237" t="s">
        <v>2</v>
      </c>
      <c r="AC4" s="238"/>
      <c r="AE4" s="231" t="s">
        <v>0</v>
      </c>
      <c r="AF4" s="232"/>
      <c r="AG4" s="233" t="s">
        <v>1</v>
      </c>
      <c r="AH4" s="234"/>
      <c r="AI4" s="237" t="s">
        <v>2</v>
      </c>
      <c r="AJ4" s="238"/>
      <c r="AL4" s="231" t="s">
        <v>0</v>
      </c>
      <c r="AM4" s="232"/>
      <c r="AN4" s="233" t="s">
        <v>1</v>
      </c>
      <c r="AO4" s="234"/>
      <c r="AP4" s="253" t="s">
        <v>2</v>
      </c>
      <c r="AQ4" s="254"/>
      <c r="AS4" s="231" t="str">
        <f t="shared" si="0"/>
        <v>Targets for 2020 (compared to 2005)</v>
      </c>
      <c r="AT4" s="232"/>
      <c r="AU4" s="233" t="str">
        <f t="shared" si="1"/>
        <v>Targets for 2030 (compared to 2005) - Proposal</v>
      </c>
      <c r="AV4" s="234"/>
      <c r="AW4" s="232" t="str">
        <f t="shared" si="2"/>
        <v>Targets for 2040 (compared to 2005) – REEEM clusters</v>
      </c>
      <c r="AX4" s="232"/>
      <c r="AY4" s="233" t="str">
        <f t="shared" si="3"/>
        <v>Targets for 2050 (compared to 2005) – REEEM clusters</v>
      </c>
      <c r="AZ4" s="247"/>
      <c r="BB4" s="231" t="s">
        <v>0</v>
      </c>
      <c r="BC4" s="232"/>
      <c r="BD4" s="233" t="s">
        <v>1</v>
      </c>
      <c r="BE4" s="234"/>
      <c r="BF4" s="255" t="s">
        <v>47</v>
      </c>
      <c r="BG4" s="256"/>
      <c r="BH4" s="253" t="s">
        <v>49</v>
      </c>
      <c r="BI4" s="254"/>
      <c r="BK4" s="231" t="s">
        <v>0</v>
      </c>
      <c r="BL4" s="232"/>
      <c r="BM4" s="233" t="s">
        <v>1</v>
      </c>
      <c r="BN4" s="234"/>
      <c r="BO4" s="253" t="s">
        <v>2</v>
      </c>
      <c r="BP4" s="254"/>
      <c r="BR4" s="231" t="s">
        <v>0</v>
      </c>
      <c r="BS4" s="232"/>
      <c r="BT4" s="233" t="s">
        <v>1</v>
      </c>
      <c r="BU4" s="234"/>
      <c r="BV4" s="237" t="s">
        <v>2</v>
      </c>
      <c r="BW4" s="238"/>
      <c r="BY4" s="231" t="s">
        <v>0</v>
      </c>
      <c r="BZ4" s="232"/>
      <c r="CA4" s="233" t="s">
        <v>1</v>
      </c>
      <c r="CB4" s="234"/>
      <c r="CC4" s="237" t="s">
        <v>2</v>
      </c>
      <c r="CD4" s="238"/>
      <c r="CE4" s="1"/>
      <c r="CF4" s="231" t="s">
        <v>0</v>
      </c>
      <c r="CG4" s="232"/>
      <c r="CH4" s="233" t="s">
        <v>1</v>
      </c>
      <c r="CI4" s="234"/>
      <c r="CJ4" s="237" t="s">
        <v>2</v>
      </c>
      <c r="CK4" s="238"/>
      <c r="CM4" s="231" t="str">
        <f t="shared" si="4"/>
        <v>Targets for 2020 (compared to 2005)</v>
      </c>
      <c r="CN4" s="232"/>
      <c r="CO4" s="233" t="str">
        <f t="shared" si="5"/>
        <v>Targets for 2030 (compared to 2005) - Proposal</v>
      </c>
      <c r="CP4" s="234"/>
      <c r="CQ4" s="232" t="str">
        <f t="shared" si="6"/>
        <v>Targets for 2040 (compared to 2005) – REEEM clusters</v>
      </c>
      <c r="CR4" s="232"/>
      <c r="CS4" s="233" t="str">
        <f t="shared" si="7"/>
        <v>Target for 2050 (compared to 2005) – REEEM clusters</v>
      </c>
      <c r="CT4" s="247"/>
      <c r="CU4" s="1"/>
      <c r="CV4" s="231" t="s">
        <v>0</v>
      </c>
      <c r="CW4" s="232"/>
      <c r="CX4" s="233" t="s">
        <v>1</v>
      </c>
      <c r="CY4" s="234"/>
      <c r="CZ4" s="235" t="s">
        <v>47</v>
      </c>
      <c r="DA4" s="236"/>
      <c r="DB4" s="237" t="s">
        <v>2</v>
      </c>
      <c r="DC4" s="238"/>
      <c r="DE4" s="231" t="s">
        <v>0</v>
      </c>
      <c r="DF4" s="232"/>
      <c r="DG4" s="233" t="s">
        <v>1</v>
      </c>
      <c r="DH4" s="234"/>
      <c r="DI4" s="237" t="s">
        <v>2</v>
      </c>
      <c r="DJ4" s="238"/>
      <c r="DL4" s="231" t="str">
        <f t="shared" si="8"/>
        <v>Targets for 2020 (compared to 2005)</v>
      </c>
      <c r="DM4" s="232"/>
      <c r="DN4" s="233" t="str">
        <f t="shared" si="9"/>
        <v>Targets for 2030 (compared to 2005) - Proposal</v>
      </c>
      <c r="DO4" s="234"/>
      <c r="DP4" s="232" t="str">
        <f t="shared" si="10"/>
        <v>Targets for 2040 (compared to 2005) – REEEM clusters</v>
      </c>
      <c r="DQ4" s="232"/>
      <c r="DR4" s="233" t="str">
        <f t="shared" si="11"/>
        <v>Target for 2050 (compared to 2005) – REEEM clusters</v>
      </c>
      <c r="DS4" s="247"/>
      <c r="DU4" s="231" t="s">
        <v>0</v>
      </c>
      <c r="DV4" s="232"/>
      <c r="DW4" s="233" t="s">
        <v>1</v>
      </c>
      <c r="DX4" s="234"/>
      <c r="DY4" s="235" t="s">
        <v>47</v>
      </c>
      <c r="DZ4" s="236"/>
      <c r="EA4" s="237" t="s">
        <v>2</v>
      </c>
      <c r="EB4" s="238"/>
      <c r="ED4" s="50"/>
      <c r="EE4" s="50"/>
      <c r="EF4" s="50"/>
    </row>
    <row r="5" spans="1:138" ht="28.5" customHeight="1" x14ac:dyDescent="0.25">
      <c r="A5" s="70" t="s">
        <v>43</v>
      </c>
      <c r="B5" s="85"/>
      <c r="C5" s="117">
        <f>+EE5</f>
        <v>2340.279</v>
      </c>
      <c r="D5" s="91">
        <f>+EF5</f>
        <v>1984.4704999999999</v>
      </c>
      <c r="F5" s="104">
        <v>-0.21</v>
      </c>
      <c r="G5" s="17">
        <f>2340.279*79%</f>
        <v>1848.82041</v>
      </c>
      <c r="H5" s="106">
        <v>-0.43</v>
      </c>
      <c r="I5" s="25">
        <f>2340.279*57%</f>
        <v>1333.95903</v>
      </c>
      <c r="J5" s="106">
        <f>+(H5+L5)/2</f>
        <v>-0.63</v>
      </c>
      <c r="K5" s="23">
        <f>+(I5+M5)/2</f>
        <v>865.90323000000001</v>
      </c>
      <c r="L5" s="105">
        <v>-0.83</v>
      </c>
      <c r="M5" s="22">
        <f>2340.279*17%</f>
        <v>397.84743000000003</v>
      </c>
      <c r="O5" s="51">
        <v>-0.21</v>
      </c>
      <c r="P5" s="17">
        <f>2340.279*79%</f>
        <v>1848.82041</v>
      </c>
      <c r="Q5" s="53">
        <v>-0.43</v>
      </c>
      <c r="R5" s="25">
        <f>2340.279*57%</f>
        <v>1333.95903</v>
      </c>
      <c r="S5" s="53">
        <f>+(Q5+U5)/2</f>
        <v>-0.63</v>
      </c>
      <c r="T5" s="25">
        <f>2340.279*37%</f>
        <v>865.90323000000001</v>
      </c>
      <c r="U5" s="52">
        <v>-0.83</v>
      </c>
      <c r="V5" s="22">
        <f>2340.279*17%</f>
        <v>397.84743000000003</v>
      </c>
      <c r="X5" s="15">
        <v>-0.21</v>
      </c>
      <c r="Y5" s="14">
        <f>+$G5</f>
        <v>1848.82041</v>
      </c>
      <c r="Z5" s="233" t="s">
        <v>36</v>
      </c>
      <c r="AA5" s="234"/>
      <c r="AB5" s="232" t="s">
        <v>36</v>
      </c>
      <c r="AC5" s="247"/>
      <c r="AE5" s="15">
        <v>-0.21</v>
      </c>
      <c r="AF5" s="14">
        <f>+$G5</f>
        <v>1848.82041</v>
      </c>
      <c r="AG5" s="233" t="s">
        <v>36</v>
      </c>
      <c r="AH5" s="234"/>
      <c r="AI5" s="232" t="s">
        <v>36</v>
      </c>
      <c r="AJ5" s="247"/>
      <c r="AL5" s="15">
        <v>-0.21</v>
      </c>
      <c r="AM5" s="14">
        <f>+$G5</f>
        <v>1848.82041</v>
      </c>
      <c r="AN5" s="24">
        <v>-0.43</v>
      </c>
      <c r="AO5" s="23">
        <f>+$I5</f>
        <v>1333.95903</v>
      </c>
      <c r="AP5" s="16">
        <v>-0.83</v>
      </c>
      <c r="AQ5" s="21">
        <f>+$M5</f>
        <v>397.84743000000003</v>
      </c>
      <c r="AS5" s="104">
        <f t="shared" si="0"/>
        <v>-0.21</v>
      </c>
      <c r="AT5" s="14">
        <f>+BC5</f>
        <v>1848.82041</v>
      </c>
      <c r="AU5" s="106">
        <f t="shared" si="1"/>
        <v>-0.43</v>
      </c>
      <c r="AV5" s="23">
        <f>+BE5</f>
        <v>1333.95903</v>
      </c>
      <c r="AW5" s="105">
        <f t="shared" si="2"/>
        <v>-0.63</v>
      </c>
      <c r="AX5" s="14">
        <f>+BG5</f>
        <v>865.90323000000001</v>
      </c>
      <c r="AY5" s="106">
        <f t="shared" si="3"/>
        <v>-0.83</v>
      </c>
      <c r="AZ5" s="21">
        <f>+BI5</f>
        <v>397.84743000000003</v>
      </c>
      <c r="BB5" s="51">
        <f t="shared" ref="BB5:BI5" si="12">+O5</f>
        <v>-0.21</v>
      </c>
      <c r="BC5" s="14">
        <f t="shared" si="12"/>
        <v>1848.82041</v>
      </c>
      <c r="BD5" s="53">
        <f t="shared" si="12"/>
        <v>-0.43</v>
      </c>
      <c r="BE5" s="23">
        <f t="shared" si="12"/>
        <v>1333.95903</v>
      </c>
      <c r="BF5" s="53">
        <f t="shared" si="12"/>
        <v>-0.63</v>
      </c>
      <c r="BG5" s="23">
        <f t="shared" si="12"/>
        <v>865.90323000000001</v>
      </c>
      <c r="BH5" s="52">
        <f t="shared" si="12"/>
        <v>-0.83</v>
      </c>
      <c r="BI5" s="21">
        <f t="shared" si="12"/>
        <v>397.84743000000003</v>
      </c>
      <c r="BK5" s="15">
        <v>-0.21</v>
      </c>
      <c r="BL5" s="14">
        <f>+$G5</f>
        <v>1848.82041</v>
      </c>
      <c r="BM5" s="41">
        <f>-(0.01-((1+$H5)*(1+BM$3)/(1+$H$3)/100))*100</f>
        <v>-0.52499999999999991</v>
      </c>
      <c r="BN5" s="39">
        <f>2340.279*47.5%</f>
        <v>1111.632525</v>
      </c>
      <c r="BO5" s="4">
        <f>-(0.01-((1+$L5)*(1+BO$3)/(1+$L$3)/100))*100</f>
        <v>-0.91500000000000004</v>
      </c>
      <c r="BP5" s="40">
        <f>2340.279*8.5%</f>
        <v>198.92371500000002</v>
      </c>
      <c r="BR5" s="15">
        <v>-0.21</v>
      </c>
      <c r="BS5" s="14">
        <f>+$G5</f>
        <v>1848.82041</v>
      </c>
      <c r="BT5" s="41">
        <f>+BM5</f>
        <v>-0.52499999999999991</v>
      </c>
      <c r="BU5" s="26">
        <f>+BN5</f>
        <v>1111.632525</v>
      </c>
      <c r="BV5" s="4">
        <f>+BO5</f>
        <v>-0.91500000000000004</v>
      </c>
      <c r="BW5" s="28">
        <f>+BP5</f>
        <v>198.92371500000002</v>
      </c>
      <c r="BY5" s="15">
        <v>-0.21</v>
      </c>
      <c r="BZ5" s="14">
        <f>+$G5</f>
        <v>1848.82041</v>
      </c>
      <c r="CA5" s="49">
        <v>-0.6</v>
      </c>
      <c r="CB5" s="39">
        <f>2340.279*40%</f>
        <v>936.11160000000007</v>
      </c>
      <c r="CC5" s="42">
        <v>-0.97499999999999998</v>
      </c>
      <c r="CD5" s="40">
        <f>2340.279*2.5%</f>
        <v>58.506975000000004</v>
      </c>
      <c r="CE5" s="1"/>
      <c r="CF5" s="15">
        <v>-0.21</v>
      </c>
      <c r="CG5" s="14">
        <f>+$G5</f>
        <v>1848.82041</v>
      </c>
      <c r="CH5" s="41">
        <f>+CI5/2340.279-1</f>
        <v>-0.66105035767102982</v>
      </c>
      <c r="CI5" s="26">
        <f>+(CI$3-$I$3)*1+$I5</f>
        <v>793.23673000000008</v>
      </c>
      <c r="CJ5" s="41">
        <f>+CK5/$EE5-1</f>
        <v>-0.95</v>
      </c>
      <c r="CK5" s="40">
        <f>2340.279*5%</f>
        <v>117.01395000000001</v>
      </c>
      <c r="CM5" s="104">
        <f t="shared" si="4"/>
        <v>-0.21</v>
      </c>
      <c r="CN5" s="14">
        <f>+CW5</f>
        <v>1848.82041</v>
      </c>
      <c r="CO5" s="41">
        <f t="shared" si="5"/>
        <v>-0.77657553650654454</v>
      </c>
      <c r="CP5" s="26">
        <f>+CY5</f>
        <v>522.87558000000035</v>
      </c>
      <c r="CQ5" s="4">
        <f t="shared" si="6"/>
        <v>-0.8757877682532722</v>
      </c>
      <c r="CR5" s="82">
        <f>+DA5</f>
        <v>290.69127750000018</v>
      </c>
      <c r="CS5" s="41">
        <f t="shared" si="7"/>
        <v>-0.97499999999999998</v>
      </c>
      <c r="CT5" s="28">
        <f>+DC5</f>
        <v>58.506975000000004</v>
      </c>
      <c r="CU5" s="1"/>
      <c r="CV5" s="15">
        <v>-0.21</v>
      </c>
      <c r="CW5" s="14">
        <f>+$G5</f>
        <v>1848.82041</v>
      </c>
      <c r="CX5" s="41">
        <f>+CY5/2340.279-1</f>
        <v>-0.77657553650654454</v>
      </c>
      <c r="CY5" s="26">
        <f>+(CY$3-$I$3)*1+$I5</f>
        <v>522.87558000000035</v>
      </c>
      <c r="CZ5" s="41">
        <f>+(CX5+DB5)/2</f>
        <v>-0.8757877682532722</v>
      </c>
      <c r="DA5" s="26">
        <f>+(CY5+DC5)/2</f>
        <v>290.69127750000018</v>
      </c>
      <c r="DB5" s="41">
        <f>+DC5/$EE5-1</f>
        <v>-0.97499999999999998</v>
      </c>
      <c r="DC5" s="40">
        <f>2340.279*2.5%</f>
        <v>58.506975000000004</v>
      </c>
      <c r="DE5" s="15">
        <v>-0.21</v>
      </c>
      <c r="DF5" s="14">
        <f>+$G5</f>
        <v>1848.82041</v>
      </c>
      <c r="DG5" s="41">
        <f>+DH5/2340.279-1</f>
        <v>-0.55476719314235612</v>
      </c>
      <c r="DH5" s="26">
        <f>+(DH$3-$I$3)*0.54+$I5</f>
        <v>1041.9689880000001</v>
      </c>
      <c r="DI5" s="41">
        <f>+DJ5/$EE5-1</f>
        <v>-0.95</v>
      </c>
      <c r="DJ5" s="40">
        <f>2340.279*5%</f>
        <v>117.01395000000001</v>
      </c>
      <c r="DL5" s="104">
        <f t="shared" si="8"/>
        <v>-0.21</v>
      </c>
      <c r="DM5" s="14">
        <f>+DV5</f>
        <v>1848.82041</v>
      </c>
      <c r="DN5" s="41">
        <f t="shared" si="9"/>
        <v>-0.6171507897135341</v>
      </c>
      <c r="DO5" s="26">
        <f>+DX5</f>
        <v>895.97396700000013</v>
      </c>
      <c r="DP5" s="4">
        <f t="shared" si="10"/>
        <v>-0.79607539485676704</v>
      </c>
      <c r="DQ5" s="82">
        <f>+DZ5</f>
        <v>477.24047100000007</v>
      </c>
      <c r="DR5" s="41">
        <f t="shared" si="11"/>
        <v>-0.97499999999999998</v>
      </c>
      <c r="DS5" s="28">
        <f>+EB5</f>
        <v>58.506975000000004</v>
      </c>
      <c r="DU5" s="15">
        <v>-0.21</v>
      </c>
      <c r="DV5" s="14">
        <f>+$G5</f>
        <v>1848.82041</v>
      </c>
      <c r="DW5" s="41">
        <f>+DX5/2340.279-1</f>
        <v>-0.6171507897135341</v>
      </c>
      <c r="DX5" s="26">
        <f>+(DX$3-$I$3)*0.54+$I5</f>
        <v>895.97396700000013</v>
      </c>
      <c r="DY5" s="41">
        <f>+(DW5+EA5)/2</f>
        <v>-0.79607539485676704</v>
      </c>
      <c r="DZ5" s="26">
        <f>+(DX5+EB5)/2</f>
        <v>477.24047100000007</v>
      </c>
      <c r="EA5" s="41">
        <f>+EB5/$EE5-1</f>
        <v>-0.97499999999999998</v>
      </c>
      <c r="EB5" s="40">
        <f>2340.279*2.5%</f>
        <v>58.506975000000004</v>
      </c>
      <c r="ED5" s="50"/>
      <c r="EE5" s="50">
        <v>2340.279</v>
      </c>
      <c r="EF5" s="50">
        <v>1984.4704999999999</v>
      </c>
      <c r="EG5" s="62">
        <v>1333.95903</v>
      </c>
    </row>
    <row r="6" spans="1:138" ht="60" customHeight="1" x14ac:dyDescent="0.25">
      <c r="A6" s="69"/>
      <c r="B6" s="92">
        <f>+B2</f>
        <v>1990</v>
      </c>
      <c r="C6" s="116">
        <f>+C2</f>
        <v>2005</v>
      </c>
      <c r="D6" s="93">
        <f>+D2</f>
        <v>2011</v>
      </c>
      <c r="F6" s="231" t="s">
        <v>61</v>
      </c>
      <c r="G6" s="232"/>
      <c r="H6" s="233" t="s">
        <v>61</v>
      </c>
      <c r="I6" s="234"/>
      <c r="J6" s="233" t="s">
        <v>61</v>
      </c>
      <c r="K6" s="234"/>
      <c r="L6" s="237" t="s">
        <v>61</v>
      </c>
      <c r="M6" s="238"/>
      <c r="O6" s="231" t="s">
        <v>61</v>
      </c>
      <c r="P6" s="232"/>
      <c r="Q6" s="233" t="s">
        <v>61</v>
      </c>
      <c r="R6" s="234"/>
      <c r="S6" s="233" t="s">
        <v>61</v>
      </c>
      <c r="T6" s="234"/>
      <c r="U6" s="237" t="s">
        <v>61</v>
      </c>
      <c r="V6" s="238"/>
      <c r="X6" s="231" t="s">
        <v>61</v>
      </c>
      <c r="Y6" s="232"/>
      <c r="Z6" s="233" t="s">
        <v>61</v>
      </c>
      <c r="AA6" s="234"/>
      <c r="AB6" s="237" t="s">
        <v>61</v>
      </c>
      <c r="AC6" s="238"/>
      <c r="AE6" s="231" t="s">
        <v>61</v>
      </c>
      <c r="AF6" s="232"/>
      <c r="AG6" s="233" t="s">
        <v>61</v>
      </c>
      <c r="AH6" s="234"/>
      <c r="AI6" s="237" t="s">
        <v>61</v>
      </c>
      <c r="AJ6" s="238"/>
      <c r="AL6" s="231" t="s">
        <v>61</v>
      </c>
      <c r="AM6" s="232"/>
      <c r="AN6" s="233" t="s">
        <v>61</v>
      </c>
      <c r="AO6" s="234"/>
      <c r="AP6" s="237" t="s">
        <v>61</v>
      </c>
      <c r="AQ6" s="238"/>
      <c r="AS6" s="231" t="str">
        <f t="shared" si="0"/>
        <v>Effort sharing decision (compared to 2005) (ESD)</v>
      </c>
      <c r="AT6" s="232"/>
      <c r="AU6" s="233" t="str">
        <f t="shared" si="1"/>
        <v>Effort sharing decision (compared to 2005) (ESD)</v>
      </c>
      <c r="AV6" s="234"/>
      <c r="AW6" s="232" t="str">
        <f t="shared" si="2"/>
        <v>Effort sharing decision (compared to 2005) (ESD)</v>
      </c>
      <c r="AX6" s="232"/>
      <c r="AY6" s="233" t="str">
        <f t="shared" si="3"/>
        <v>Effort sharing decision (compared to 2005) (ESD)</v>
      </c>
      <c r="AZ6" s="247"/>
      <c r="BB6" s="231" t="s">
        <v>61</v>
      </c>
      <c r="BC6" s="232"/>
      <c r="BD6" s="233" t="s">
        <v>61</v>
      </c>
      <c r="BE6" s="234"/>
      <c r="BF6" s="233" t="s">
        <v>61</v>
      </c>
      <c r="BG6" s="234"/>
      <c r="BH6" s="237" t="s">
        <v>61</v>
      </c>
      <c r="BI6" s="238"/>
      <c r="BK6" s="231" t="s">
        <v>61</v>
      </c>
      <c r="BL6" s="232"/>
      <c r="BM6" s="233" t="s">
        <v>61</v>
      </c>
      <c r="BN6" s="234"/>
      <c r="BO6" s="237" t="s">
        <v>61</v>
      </c>
      <c r="BP6" s="238"/>
      <c r="BR6" s="231" t="s">
        <v>61</v>
      </c>
      <c r="BS6" s="232"/>
      <c r="BT6" s="233" t="s">
        <v>61</v>
      </c>
      <c r="BU6" s="234"/>
      <c r="BV6" s="237" t="s">
        <v>61</v>
      </c>
      <c r="BW6" s="238"/>
      <c r="BY6" s="231" t="s">
        <v>61</v>
      </c>
      <c r="BZ6" s="232"/>
      <c r="CA6" s="233" t="s">
        <v>61</v>
      </c>
      <c r="CB6" s="234"/>
      <c r="CC6" s="237" t="s">
        <v>61</v>
      </c>
      <c r="CD6" s="238"/>
      <c r="CE6" s="1"/>
      <c r="CF6" s="231" t="s">
        <v>61</v>
      </c>
      <c r="CG6" s="232"/>
      <c r="CH6" s="233" t="s">
        <v>61</v>
      </c>
      <c r="CI6" s="234"/>
      <c r="CJ6" s="237" t="s">
        <v>61</v>
      </c>
      <c r="CK6" s="238"/>
      <c r="CM6" s="231" t="str">
        <f t="shared" si="4"/>
        <v>Effort sharing decision (compared to 2005) (ESD)</v>
      </c>
      <c r="CN6" s="232"/>
      <c r="CO6" s="233" t="str">
        <f t="shared" si="5"/>
        <v>Effort sharing decision (compared to 2005) (ESD)</v>
      </c>
      <c r="CP6" s="234"/>
      <c r="CQ6" s="232" t="str">
        <f t="shared" si="6"/>
        <v>Effort sharing decision (compared to 2005) (ESD)</v>
      </c>
      <c r="CR6" s="232"/>
      <c r="CS6" s="233" t="str">
        <f t="shared" si="7"/>
        <v>Effort sharing decision (compared to 2005) (ESD)</v>
      </c>
      <c r="CT6" s="247"/>
      <c r="CU6" s="1"/>
      <c r="CV6" s="231" t="s">
        <v>61</v>
      </c>
      <c r="CW6" s="232"/>
      <c r="CX6" s="233" t="s">
        <v>61</v>
      </c>
      <c r="CY6" s="234"/>
      <c r="CZ6" s="233" t="s">
        <v>61</v>
      </c>
      <c r="DA6" s="234"/>
      <c r="DB6" s="237" t="s">
        <v>61</v>
      </c>
      <c r="DC6" s="238"/>
      <c r="DE6" s="231" t="s">
        <v>61</v>
      </c>
      <c r="DF6" s="232"/>
      <c r="DG6" s="233" t="s">
        <v>61</v>
      </c>
      <c r="DH6" s="234"/>
      <c r="DI6" s="237" t="s">
        <v>61</v>
      </c>
      <c r="DJ6" s="238"/>
      <c r="DL6" s="231" t="str">
        <f t="shared" si="8"/>
        <v>Effort sharing decision (compared to 2005) (ESD)</v>
      </c>
      <c r="DM6" s="232"/>
      <c r="DN6" s="233" t="str">
        <f t="shared" si="9"/>
        <v>Effort sharing decision (compared to 2005) (ESD)</v>
      </c>
      <c r="DO6" s="234"/>
      <c r="DP6" s="232" t="str">
        <f t="shared" si="10"/>
        <v>Effort sharing decision (compared to 2005) (ESD)</v>
      </c>
      <c r="DQ6" s="232"/>
      <c r="DR6" s="233" t="str">
        <f t="shared" si="11"/>
        <v>Effort sharing decision (compared to 2005) (ESD)</v>
      </c>
      <c r="DS6" s="247"/>
      <c r="DU6" s="231" t="s">
        <v>61</v>
      </c>
      <c r="DV6" s="232"/>
      <c r="DW6" s="233" t="s">
        <v>61</v>
      </c>
      <c r="DX6" s="234"/>
      <c r="DY6" s="233" t="s">
        <v>61</v>
      </c>
      <c r="DZ6" s="234"/>
      <c r="EA6" s="237" t="s">
        <v>61</v>
      </c>
      <c r="EB6" s="238"/>
      <c r="ED6" s="50"/>
      <c r="EE6" s="50"/>
      <c r="EF6" s="50"/>
    </row>
    <row r="7" spans="1:138" ht="20.100000000000001" customHeight="1" x14ac:dyDescent="0.25">
      <c r="A7" s="71" t="s">
        <v>35</v>
      </c>
      <c r="B7" s="86"/>
      <c r="C7" s="118">
        <f t="shared" ref="C7:D35" si="13">+EE7</f>
        <v>2696.8008099999993</v>
      </c>
      <c r="D7" s="95">
        <f t="shared" si="13"/>
        <v>2489.2254458180555</v>
      </c>
      <c r="F7" s="104">
        <v>-0.09</v>
      </c>
      <c r="G7" s="14">
        <f>2696.801*91%</f>
        <v>2454.0889099999999</v>
      </c>
      <c r="H7" s="106">
        <v>-0.3</v>
      </c>
      <c r="I7" s="23">
        <f>2696.801*70%</f>
        <v>1887.7606999999998</v>
      </c>
      <c r="J7" s="75">
        <f t="shared" ref="J7:J35" si="14">+(H7+L7)/2</f>
        <v>-0.52500000000000002</v>
      </c>
      <c r="K7" s="23">
        <f t="shared" ref="K7:K35" si="15">+(I7+M7)/2</f>
        <v>1280.9804749999998</v>
      </c>
      <c r="L7" s="105">
        <v>-0.75</v>
      </c>
      <c r="M7" s="21">
        <f>2696.801*25%</f>
        <v>674.20024999999998</v>
      </c>
      <c r="O7" s="51">
        <v>-0.09</v>
      </c>
      <c r="P7" s="14">
        <f>2696.801*91%</f>
        <v>2454.0889099999999</v>
      </c>
      <c r="Q7" s="53">
        <v>-0.3</v>
      </c>
      <c r="R7" s="23">
        <f>2696.801*70%</f>
        <v>1887.7606999999998</v>
      </c>
      <c r="S7" s="75">
        <f t="shared" ref="S7:S24" si="16">+(Q7+U7)/2</f>
        <v>-0.52500000000000002</v>
      </c>
      <c r="T7" s="23">
        <f>2696.801*47.5%</f>
        <v>1280.9804749999998</v>
      </c>
      <c r="U7" s="52">
        <v>-0.75</v>
      </c>
      <c r="V7" s="21">
        <f>2696.801*25%</f>
        <v>674.20024999999998</v>
      </c>
      <c r="X7" s="15">
        <v>-0.09</v>
      </c>
      <c r="Y7" s="14">
        <f>+$G7</f>
        <v>2454.0889099999999</v>
      </c>
      <c r="Z7" s="233" t="s">
        <v>36</v>
      </c>
      <c r="AA7" s="234"/>
      <c r="AB7" s="232" t="s">
        <v>36</v>
      </c>
      <c r="AC7" s="247"/>
      <c r="AE7" s="15">
        <v>-0.09</v>
      </c>
      <c r="AF7" s="14">
        <f>+$G7</f>
        <v>2454.0889099999999</v>
      </c>
      <c r="AG7" s="233" t="s">
        <v>36</v>
      </c>
      <c r="AH7" s="234"/>
      <c r="AI7" s="232" t="s">
        <v>36</v>
      </c>
      <c r="AJ7" s="247"/>
      <c r="AL7" s="15">
        <v>-0.09</v>
      </c>
      <c r="AM7" s="14">
        <f>+$G7</f>
        <v>2454.0889099999999</v>
      </c>
      <c r="AN7" s="24">
        <v>-0.3</v>
      </c>
      <c r="AO7" s="23">
        <f>+$I7</f>
        <v>1887.7606999999998</v>
      </c>
      <c r="AP7" s="16">
        <v>-0.75</v>
      </c>
      <c r="AQ7" s="21">
        <f>+$M7</f>
        <v>674.20024999999998</v>
      </c>
      <c r="AS7" s="104">
        <f t="shared" si="0"/>
        <v>-0.09</v>
      </c>
      <c r="AT7" s="14">
        <f t="shared" ref="AT7:AT35" si="17">+BC7</f>
        <v>2454.0889099999999</v>
      </c>
      <c r="AU7" s="106">
        <f t="shared" si="1"/>
        <v>-0.3</v>
      </c>
      <c r="AV7" s="23">
        <f t="shared" ref="AV7:AV35" si="18">+BE7</f>
        <v>1887.7606999999998</v>
      </c>
      <c r="AW7" s="123">
        <f t="shared" si="2"/>
        <v>-0.52500000000000002</v>
      </c>
      <c r="AX7" s="14">
        <f t="shared" ref="AX7:AX35" si="19">+BG7</f>
        <v>1280.9804749999998</v>
      </c>
      <c r="AY7" s="106">
        <f t="shared" si="3"/>
        <v>-0.75</v>
      </c>
      <c r="AZ7" s="21">
        <f t="shared" ref="AZ7:AZ35" si="20">+BI7</f>
        <v>674.20024999999998</v>
      </c>
      <c r="BB7" s="51">
        <f t="shared" ref="BB7:BI7" si="21">+O7</f>
        <v>-0.09</v>
      </c>
      <c r="BC7" s="14">
        <f t="shared" si="21"/>
        <v>2454.0889099999999</v>
      </c>
      <c r="BD7" s="53">
        <f t="shared" si="21"/>
        <v>-0.3</v>
      </c>
      <c r="BE7" s="23">
        <f t="shared" si="21"/>
        <v>1887.7606999999998</v>
      </c>
      <c r="BF7" s="75">
        <f t="shared" si="21"/>
        <v>-0.52500000000000002</v>
      </c>
      <c r="BG7" s="23">
        <f t="shared" si="21"/>
        <v>1280.9804749999998</v>
      </c>
      <c r="BH7" s="52">
        <f t="shared" si="21"/>
        <v>-0.75</v>
      </c>
      <c r="BI7" s="21">
        <f t="shared" si="21"/>
        <v>674.20024999999998</v>
      </c>
      <c r="BK7" s="15">
        <v>-0.09</v>
      </c>
      <c r="BL7" s="14">
        <f>+$G7</f>
        <v>2454.0889099999999</v>
      </c>
      <c r="BM7" s="41">
        <f>-(0.01-((1+$H7)*(1+BM$3)/(1+$H$3)/100))*100</f>
        <v>-0.41666666666666669</v>
      </c>
      <c r="BN7" s="26">
        <f>2696.801*58.333333%</f>
        <v>1573.1339076773299</v>
      </c>
      <c r="BO7" s="4">
        <f>-(0.01-((1+$L7)*(1+BO$3)/(1+$L$3)/100))*100</f>
        <v>-0.87500000000000011</v>
      </c>
      <c r="BP7" s="28">
        <f>2696.801*12.5%</f>
        <v>337.10012499999999</v>
      </c>
      <c r="BR7" s="15">
        <v>-0.09</v>
      </c>
      <c r="BS7" s="14">
        <f>+$G7</f>
        <v>2454.0889099999999</v>
      </c>
      <c r="BT7" s="41">
        <f>+BM7</f>
        <v>-0.41666666666666669</v>
      </c>
      <c r="BU7" s="26">
        <f>+BN7</f>
        <v>1573.1339076773299</v>
      </c>
      <c r="BV7" s="4">
        <f>+BO7</f>
        <v>-0.87500000000000011</v>
      </c>
      <c r="BW7" s="28">
        <f>+BP7</f>
        <v>337.10012499999999</v>
      </c>
      <c r="BY7" s="15">
        <v>-0.09</v>
      </c>
      <c r="BZ7" s="14">
        <f>+$G7</f>
        <v>2454.0889099999999</v>
      </c>
      <c r="CA7" s="24">
        <v>-0.3</v>
      </c>
      <c r="CB7" s="23">
        <f>+$I7</f>
        <v>1887.7606999999998</v>
      </c>
      <c r="CC7" s="13">
        <v>-0.8</v>
      </c>
      <c r="CD7" s="28">
        <f>2696.801*20%</f>
        <v>539.36019999999996</v>
      </c>
      <c r="CE7" s="1"/>
      <c r="CF7" s="15">
        <v>-0.09</v>
      </c>
      <c r="CG7" s="14">
        <f>+$G7</f>
        <v>2454.0889099999999</v>
      </c>
      <c r="CH7" s="41">
        <f>+CI7/2696.801-1</f>
        <v>-0.30000000000000004</v>
      </c>
      <c r="CI7" s="26">
        <f>+(CI$3-$I$3)*0+$I7</f>
        <v>1887.7606999999998</v>
      </c>
      <c r="CJ7" s="41">
        <f t="shared" ref="CJ7:CJ35" si="22">+CK7/$EE7-1</f>
        <v>-0.85127033538676522</v>
      </c>
      <c r="CK7" s="28">
        <f>+CK3-$I3+$I5-CK5+$I7</f>
        <v>401.0942799999998</v>
      </c>
      <c r="CM7" s="104">
        <f t="shared" si="4"/>
        <v>-0.09</v>
      </c>
      <c r="CN7" s="14">
        <f t="shared" ref="CN7:CN35" si="23">+CW7</f>
        <v>2454.0889099999999</v>
      </c>
      <c r="CO7" s="41">
        <f t="shared" si="5"/>
        <v>-0.30000000000000004</v>
      </c>
      <c r="CP7" s="26">
        <f t="shared" ref="CP7:CP35" si="24">+CY7</f>
        <v>1887.7606999999998</v>
      </c>
      <c r="CQ7" s="4">
        <f t="shared" si="6"/>
        <v>-0.61491396318588321</v>
      </c>
      <c r="CR7" s="82">
        <f t="shared" ref="CR7:CR35" si="25">+DA7</f>
        <v>1038.5004024999998</v>
      </c>
      <c r="CS7" s="41">
        <f t="shared" si="7"/>
        <v>-0.92982792637176637</v>
      </c>
      <c r="CT7" s="28">
        <f t="shared" ref="CT7:CT35" si="26">+DC7</f>
        <v>189.24010500000009</v>
      </c>
      <c r="CU7" s="1"/>
      <c r="CV7" s="15">
        <v>-0.09</v>
      </c>
      <c r="CW7" s="14">
        <f>+$G7</f>
        <v>2454.0889099999999</v>
      </c>
      <c r="CX7" s="41">
        <f>+CY7/2696.801-1</f>
        <v>-0.30000000000000004</v>
      </c>
      <c r="CY7" s="26">
        <f>+(CY$3-$I$3)*0+$I7</f>
        <v>1887.7606999999998</v>
      </c>
      <c r="CZ7" s="41">
        <f t="shared" ref="CZ7:CZ34" si="27">+(CX7+DB7)/2</f>
        <v>-0.61491396318588321</v>
      </c>
      <c r="DA7" s="26">
        <f t="shared" ref="DA7:DA35" si="28">+(CY7+DC7)/2</f>
        <v>1038.5004024999998</v>
      </c>
      <c r="DB7" s="41">
        <f t="shared" ref="DB7:DB35" si="29">+DC7/$EE7-1</f>
        <v>-0.92982792637176637</v>
      </c>
      <c r="DC7" s="28">
        <f>+DC3-$I3+$I5-DC5+$I7</f>
        <v>189.24010500000009</v>
      </c>
      <c r="DE7" s="15">
        <v>-0.09</v>
      </c>
      <c r="DF7" s="14">
        <f>+$G7</f>
        <v>2454.0889099999999</v>
      </c>
      <c r="DG7" s="41">
        <f>+DH7/2696.801-1</f>
        <v>-0.3922323367575139</v>
      </c>
      <c r="DH7" s="26">
        <f>+(DH$3-$I$3)*0.46+$I7</f>
        <v>1639.0284419999998</v>
      </c>
      <c r="DI7" s="41">
        <f t="shared" ref="DI7:DI35" si="30">+DJ7/$EE7-1</f>
        <v>-0.85127033538676522</v>
      </c>
      <c r="DJ7" s="28">
        <f>+DJ3-$I3+$I5-DJ5+$I7</f>
        <v>401.0942799999998</v>
      </c>
      <c r="DL7" s="104">
        <f t="shared" si="8"/>
        <v>-0.09</v>
      </c>
      <c r="DM7" s="14">
        <f t="shared" ref="DM7:DM35" si="31">+DV7</f>
        <v>2454.0889099999999</v>
      </c>
      <c r="DN7" s="41">
        <f t="shared" si="9"/>
        <v>-0.43834850513627066</v>
      </c>
      <c r="DO7" s="26">
        <f t="shared" ref="DO7:DO35" si="32">+DX7</f>
        <v>1514.662313</v>
      </c>
      <c r="DP7" s="4">
        <f t="shared" si="10"/>
        <v>-0.68408821575401846</v>
      </c>
      <c r="DQ7" s="82">
        <f t="shared" ref="DQ7:DQ35" si="33">+DZ7</f>
        <v>851.95120900000006</v>
      </c>
      <c r="DR7" s="41">
        <f t="shared" si="11"/>
        <v>-0.92982792637176637</v>
      </c>
      <c r="DS7" s="28">
        <f t="shared" ref="DS7:DS35" si="34">+EB7</f>
        <v>189.24010500000009</v>
      </c>
      <c r="DU7" s="15">
        <v>-0.09</v>
      </c>
      <c r="DV7" s="14">
        <f>+$G7</f>
        <v>2454.0889099999999</v>
      </c>
      <c r="DW7" s="41">
        <f>+DX7/2696.801-1</f>
        <v>-0.43834850513627066</v>
      </c>
      <c r="DX7" s="26">
        <f>+(DX$3-$I$3)*0.46+$I7</f>
        <v>1514.662313</v>
      </c>
      <c r="DY7" s="41">
        <f t="shared" ref="DY7:DY34" si="35">+(DW7+EA7)/2</f>
        <v>-0.68408821575401846</v>
      </c>
      <c r="DZ7" s="26">
        <f t="shared" ref="DZ7:DZ35" si="36">+(DX7+EB7)/2</f>
        <v>851.95120900000006</v>
      </c>
      <c r="EA7" s="41">
        <f t="shared" ref="EA7:EA35" si="37">+EB7/$EE7-1</f>
        <v>-0.92982792637176637</v>
      </c>
      <c r="EB7" s="28">
        <f>+EB3-$I3+$I5-EB5+$I7</f>
        <v>189.24010500000009</v>
      </c>
      <c r="ED7" s="50"/>
      <c r="EE7" s="50">
        <v>2696.8008099999993</v>
      </c>
      <c r="EF7" s="50">
        <v>2489.2254458180555</v>
      </c>
      <c r="EG7" s="61">
        <v>1887.7606999999998</v>
      </c>
      <c r="EH7" s="50">
        <f>+EG7-EE7</f>
        <v>-809.04010999999946</v>
      </c>
    </row>
    <row r="8" spans="1:138" ht="20.100000000000001" customHeight="1" x14ac:dyDescent="0.25">
      <c r="A8" s="69" t="s">
        <v>7</v>
      </c>
      <c r="B8" s="84"/>
      <c r="C8" s="119">
        <f t="shared" si="13"/>
        <v>383.22032174418473</v>
      </c>
      <c r="D8" s="96">
        <f t="shared" si="13"/>
        <v>350.97888858284506</v>
      </c>
      <c r="F8" s="3">
        <v>-0.14000000000000001</v>
      </c>
      <c r="G8" s="18">
        <f t="shared" ref="G8:G35" si="38">(1+F8)*$EE8</f>
        <v>329.56947669999886</v>
      </c>
      <c r="H8" s="108">
        <v>-0.37</v>
      </c>
      <c r="I8" s="37">
        <f t="shared" ref="I8:I35" si="39">(1+H8)*$EE8</f>
        <v>241.42880269883639</v>
      </c>
      <c r="J8" s="77">
        <f t="shared" si="14"/>
        <v>-0.58499999999999996</v>
      </c>
      <c r="K8" s="37">
        <f t="shared" si="15"/>
        <v>159.03643352383665</v>
      </c>
      <c r="L8" s="109">
        <v>-0.8</v>
      </c>
      <c r="M8" s="63">
        <f t="shared" ref="M8:M35" si="40">(1+L8)*$EE8</f>
        <v>76.644064348836935</v>
      </c>
      <c r="O8" s="3">
        <v>-0.14000000000000001</v>
      </c>
      <c r="P8" s="18">
        <f t="shared" ref="P8:P35" si="41">(1+O8)*$EE8</f>
        <v>329.56947669999886</v>
      </c>
      <c r="Q8" s="56">
        <v>-0.37</v>
      </c>
      <c r="R8" s="37">
        <f t="shared" ref="R8:R35" si="42">(1+Q8)*$EE8</f>
        <v>241.42880269883639</v>
      </c>
      <c r="S8" s="76">
        <f t="shared" si="16"/>
        <v>-0.58499999999999996</v>
      </c>
      <c r="T8" s="37">
        <f t="shared" ref="T8:T35" si="43">(1+S8)*$EE8</f>
        <v>159.03643352383668</v>
      </c>
      <c r="U8" s="54">
        <v>-0.8</v>
      </c>
      <c r="V8" s="63">
        <f t="shared" ref="V8:V35" si="44">(1+U8)*$EE8</f>
        <v>76.644064348836935</v>
      </c>
      <c r="X8" s="3">
        <v>-0.14000000000000001</v>
      </c>
      <c r="Y8" s="18">
        <f>+$G8</f>
        <v>329.56947669999886</v>
      </c>
      <c r="Z8" s="235" t="s">
        <v>36</v>
      </c>
      <c r="AA8" s="236"/>
      <c r="AB8" s="254" t="s">
        <v>36</v>
      </c>
      <c r="AC8" s="254"/>
      <c r="AE8" s="3">
        <v>-0.14000000000000001</v>
      </c>
      <c r="AF8" s="18">
        <f>+$G8</f>
        <v>329.56947669999886</v>
      </c>
      <c r="AG8" s="235" t="s">
        <v>36</v>
      </c>
      <c r="AH8" s="236"/>
      <c r="AI8" s="254" t="s">
        <v>36</v>
      </c>
      <c r="AJ8" s="254"/>
      <c r="AL8" s="3">
        <v>-0.14000000000000001</v>
      </c>
      <c r="AM8" s="18">
        <f>+$G8</f>
        <v>329.56947669999886</v>
      </c>
      <c r="AN8" s="31">
        <v>-0.37</v>
      </c>
      <c r="AO8" s="36">
        <f>+$I8</f>
        <v>241.42880269883639</v>
      </c>
      <c r="AP8" s="19">
        <v>-0.8</v>
      </c>
      <c r="AQ8" s="63">
        <f>+$M8</f>
        <v>76.644064348836935</v>
      </c>
      <c r="AS8" s="8">
        <f t="shared" si="0"/>
        <v>-0.14000000000000001</v>
      </c>
      <c r="AT8" s="79">
        <f t="shared" si="17"/>
        <v>329.56947669999886</v>
      </c>
      <c r="AU8" s="107">
        <f t="shared" si="1"/>
        <v>-0.37</v>
      </c>
      <c r="AV8" s="37">
        <f t="shared" si="18"/>
        <v>241.42880269883639</v>
      </c>
      <c r="AW8" s="135">
        <f t="shared" si="2"/>
        <v>-0.58499999999999996</v>
      </c>
      <c r="AX8" s="79">
        <f t="shared" si="19"/>
        <v>159.03643352383668</v>
      </c>
      <c r="AY8" s="107">
        <f t="shared" si="3"/>
        <v>-0.8</v>
      </c>
      <c r="AZ8" s="63">
        <f t="shared" si="20"/>
        <v>76.644064348836935</v>
      </c>
      <c r="BB8" s="8">
        <f t="shared" ref="BB8:BB35" si="45">+O8</f>
        <v>-0.14000000000000001</v>
      </c>
      <c r="BC8" s="79">
        <f t="shared" ref="BC8:BC35" si="46">+P8</f>
        <v>329.56947669999886</v>
      </c>
      <c r="BD8" s="59">
        <f t="shared" ref="BD8:BD35" si="47">+Q8</f>
        <v>-0.37</v>
      </c>
      <c r="BE8" s="37">
        <f t="shared" ref="BE8:BE35" si="48">+R8</f>
        <v>241.42880269883639</v>
      </c>
      <c r="BF8" s="77">
        <f t="shared" ref="BF8:BF35" si="49">+S8</f>
        <v>-0.58499999999999996</v>
      </c>
      <c r="BG8" s="37">
        <f t="shared" ref="BG8:BG35" si="50">+T8</f>
        <v>159.03643352383668</v>
      </c>
      <c r="BH8" s="55">
        <f t="shared" ref="BH8:BH35" si="51">+U8</f>
        <v>-0.8</v>
      </c>
      <c r="BI8" s="63">
        <f t="shared" ref="BI8:BI35" si="52">+V8</f>
        <v>76.644064348836935</v>
      </c>
      <c r="BK8" s="3">
        <v>-0.14000000000000001</v>
      </c>
      <c r="BL8" s="18">
        <f>+$G8</f>
        <v>329.56947669999886</v>
      </c>
      <c r="BM8" s="31">
        <v>-0.37</v>
      </c>
      <c r="BN8" s="36">
        <f>+$I8</f>
        <v>241.42880269883639</v>
      </c>
      <c r="BO8" s="19">
        <v>-0.8</v>
      </c>
      <c r="BP8" s="63">
        <f>+$M8</f>
        <v>76.644064348836935</v>
      </c>
      <c r="BR8" s="3">
        <v>-0.14000000000000001</v>
      </c>
      <c r="BS8" s="18">
        <f>+$G8</f>
        <v>329.56947669999886</v>
      </c>
      <c r="BT8" s="43">
        <f>-(0.01-((1+$H8)*(1+BT$7)/(1+$H$7)/100))*100</f>
        <v>-0.47500000000000009</v>
      </c>
      <c r="BU8" s="44">
        <f t="shared" ref="BU8:BU35" si="53">(1+BT8)*$EE8</f>
        <v>201.19066891569696</v>
      </c>
      <c r="BV8" s="5">
        <f>-(0.01-((1+$L8)*(1+BV$7)/(1+$L$7)/100))*100</f>
        <v>-0.90000000000000013</v>
      </c>
      <c r="BW8" s="64">
        <f t="shared" ref="BW8:BW35" si="54">(1+BV8)*$EE8</f>
        <v>38.322032174418425</v>
      </c>
      <c r="BY8" s="3">
        <v>-0.14000000000000001</v>
      </c>
      <c r="BZ8" s="18">
        <f>+$G8</f>
        <v>329.56947669999886</v>
      </c>
      <c r="CA8" s="31">
        <v>-0.37</v>
      </c>
      <c r="CB8" s="36">
        <f>+$I8</f>
        <v>241.42880269883639</v>
      </c>
      <c r="CC8" s="19">
        <v>-0.8</v>
      </c>
      <c r="CD8" s="63">
        <f>+$M8</f>
        <v>76.644064348836935</v>
      </c>
      <c r="CE8" s="1"/>
      <c r="CF8" s="3">
        <v>-0.14000000000000001</v>
      </c>
      <c r="CG8" s="18">
        <f>+$G8</f>
        <v>329.56947669999886</v>
      </c>
      <c r="CH8" s="43">
        <f t="shared" ref="CH8:CH35" si="55">+CI8/$EE8-1</f>
        <v>-0.37</v>
      </c>
      <c r="CI8" s="44">
        <f t="shared" ref="CI8:CI35" si="56">+((CI$7-$I$7)/$EH$36*$EH8)+$I8</f>
        <v>241.42880269883639</v>
      </c>
      <c r="CJ8" s="43">
        <f t="shared" si="22"/>
        <v>-0.86614331127880773</v>
      </c>
      <c r="CK8" s="64">
        <f t="shared" ref="CK8:CK35" si="57">+CI8/CI$7*CK$7</f>
        <v>51.296603319346467</v>
      </c>
      <c r="CM8" s="8">
        <f t="shared" si="4"/>
        <v>-0.14000000000000001</v>
      </c>
      <c r="CN8" s="79">
        <f t="shared" si="23"/>
        <v>329.56947669999886</v>
      </c>
      <c r="CO8" s="43">
        <f t="shared" si="5"/>
        <v>-0.37</v>
      </c>
      <c r="CP8" s="44">
        <f t="shared" si="24"/>
        <v>241.42880269883639</v>
      </c>
      <c r="CQ8" s="5">
        <f t="shared" si="6"/>
        <v>-0.65342256909204643</v>
      </c>
      <c r="CR8" s="138">
        <f t="shared" si="25"/>
        <v>132.81551458181892</v>
      </c>
      <c r="CS8" s="43">
        <f t="shared" si="7"/>
        <v>-0.93684513818409287</v>
      </c>
      <c r="CT8" s="64">
        <f t="shared" si="26"/>
        <v>24.202226464801452</v>
      </c>
      <c r="CU8" s="1"/>
      <c r="CV8" s="3">
        <v>-0.14000000000000001</v>
      </c>
      <c r="CW8" s="18">
        <f>+$G8</f>
        <v>329.56947669999886</v>
      </c>
      <c r="CX8" s="43">
        <f t="shared" ref="CX8:CX35" si="58">+CY8/$EE8-1</f>
        <v>-0.37</v>
      </c>
      <c r="CY8" s="44">
        <f t="shared" ref="CY8:CY35" si="59">+((CY$7-$I$7)/$EH$36*$EH8)+$I8</f>
        <v>241.42880269883639</v>
      </c>
      <c r="CZ8" s="45">
        <f t="shared" si="27"/>
        <v>-0.65342256909204643</v>
      </c>
      <c r="DA8" s="44">
        <f t="shared" si="28"/>
        <v>132.81551458181892</v>
      </c>
      <c r="DB8" s="43">
        <f t="shared" si="29"/>
        <v>-0.93684513818409287</v>
      </c>
      <c r="DC8" s="64">
        <f t="shared" ref="DC8:DC35" si="60">+CY8/CY$7*DC$7</f>
        <v>24.202226464801452</v>
      </c>
      <c r="DE8" s="3">
        <v>-0.14000000000000001</v>
      </c>
      <c r="DF8" s="18">
        <f>+$G8</f>
        <v>329.56947669999886</v>
      </c>
      <c r="DG8" s="43">
        <f t="shared" ref="DG8:DG35" si="61">+DH8/$EE8-1</f>
        <v>-0.48284934592603934</v>
      </c>
      <c r="DH8" s="44">
        <f t="shared" ref="DH8:DH35" si="62">+((DH$7-$I$7)/$EH$36*$EH8)+$I8</f>
        <v>198.18264004443878</v>
      </c>
      <c r="DI8" s="43">
        <f t="shared" si="30"/>
        <v>-0.87344565601667323</v>
      </c>
      <c r="DJ8" s="64">
        <f>+DH8/DH$7*DJ$7</f>
        <v>48.498196419414732</v>
      </c>
      <c r="DL8" s="8">
        <f t="shared" si="8"/>
        <v>-0.14000000000000001</v>
      </c>
      <c r="DM8" s="79">
        <f t="shared" si="31"/>
        <v>329.56947669999886</v>
      </c>
      <c r="DN8" s="43">
        <f t="shared" si="9"/>
        <v>-0.53927401888905901</v>
      </c>
      <c r="DO8" s="44">
        <f t="shared" si="32"/>
        <v>176.55955871724001</v>
      </c>
      <c r="DP8" s="5">
        <f t="shared" si="10"/>
        <v>-0.74085573183124587</v>
      </c>
      <c r="DQ8" s="138">
        <f t="shared" si="33"/>
        <v>99.309349825791244</v>
      </c>
      <c r="DR8" s="43">
        <f t="shared" si="11"/>
        <v>-0.94243744477343283</v>
      </c>
      <c r="DS8" s="64">
        <f t="shared" si="34"/>
        <v>22.059140934342491</v>
      </c>
      <c r="DU8" s="3">
        <v>-0.14000000000000001</v>
      </c>
      <c r="DV8" s="18">
        <f>+$G8</f>
        <v>329.56947669999886</v>
      </c>
      <c r="DW8" s="43">
        <f t="shared" ref="DW8:DW35" si="63">+DX8/$EE8-1</f>
        <v>-0.53927401888905901</v>
      </c>
      <c r="DX8" s="44">
        <f t="shared" ref="DX8:DX35" si="64">+((DX$7-$I$7)/$EH$36*$EH8)+$I8</f>
        <v>176.55955871724001</v>
      </c>
      <c r="DY8" s="45">
        <f t="shared" si="35"/>
        <v>-0.74085573183124587</v>
      </c>
      <c r="DZ8" s="44">
        <f t="shared" si="36"/>
        <v>99.309349825791244</v>
      </c>
      <c r="EA8" s="43">
        <f t="shared" si="37"/>
        <v>-0.94243744477343283</v>
      </c>
      <c r="EB8" s="64">
        <f>+DX8/DX$7*EB$7</f>
        <v>22.059140934342491</v>
      </c>
      <c r="EE8" s="60">
        <v>383.22032174418473</v>
      </c>
      <c r="EF8" s="60">
        <v>350.97888858284506</v>
      </c>
      <c r="EG8" s="60">
        <v>241.42880269883639</v>
      </c>
      <c r="EH8" s="50">
        <f t="shared" ref="EH8:EH36" si="65">+EG8-EE8</f>
        <v>-141.79151904534834</v>
      </c>
    </row>
    <row r="9" spans="1:138" ht="20.100000000000001" customHeight="1" x14ac:dyDescent="0.25">
      <c r="A9" s="69" t="s">
        <v>8</v>
      </c>
      <c r="B9" s="84"/>
      <c r="C9" s="119">
        <f t="shared" si="13"/>
        <v>40.659314179887438</v>
      </c>
      <c r="D9" s="96">
        <f t="shared" si="13"/>
        <v>35.957529814029442</v>
      </c>
      <c r="F9" s="3">
        <v>0.01</v>
      </c>
      <c r="G9" s="18">
        <f t="shared" si="38"/>
        <v>41.065907321686311</v>
      </c>
      <c r="H9" s="108">
        <v>-0.17</v>
      </c>
      <c r="I9" s="36">
        <f t="shared" si="39"/>
        <v>33.747230769306576</v>
      </c>
      <c r="J9" s="76">
        <f t="shared" si="14"/>
        <v>-0.48500000000000004</v>
      </c>
      <c r="K9" s="36">
        <f t="shared" si="15"/>
        <v>20.939546802642031</v>
      </c>
      <c r="L9" s="109">
        <v>-0.8</v>
      </c>
      <c r="M9" s="34">
        <f t="shared" si="40"/>
        <v>8.1318628359774863</v>
      </c>
      <c r="O9" s="3">
        <v>0.01</v>
      </c>
      <c r="P9" s="18">
        <f t="shared" si="41"/>
        <v>41.065907321686311</v>
      </c>
      <c r="Q9" s="56">
        <v>-0.17</v>
      </c>
      <c r="R9" s="36">
        <f t="shared" si="42"/>
        <v>33.747230769306576</v>
      </c>
      <c r="S9" s="76">
        <f t="shared" si="16"/>
        <v>-0.48500000000000004</v>
      </c>
      <c r="T9" s="36">
        <f t="shared" si="43"/>
        <v>20.939546802642028</v>
      </c>
      <c r="U9" s="54">
        <v>-0.8</v>
      </c>
      <c r="V9" s="34">
        <f t="shared" si="44"/>
        <v>8.1318628359774863</v>
      </c>
      <c r="X9" s="3">
        <v>0.01</v>
      </c>
      <c r="Y9" s="18">
        <f t="shared" ref="Y9:Y35" si="66">+$G9</f>
        <v>41.065907321686311</v>
      </c>
      <c r="Z9" s="255" t="s">
        <v>36</v>
      </c>
      <c r="AA9" s="256"/>
      <c r="AB9" s="254" t="s">
        <v>36</v>
      </c>
      <c r="AC9" s="254"/>
      <c r="AE9" s="3">
        <v>0.01</v>
      </c>
      <c r="AF9" s="18">
        <f t="shared" ref="AF9:AF35" si="67">+$G9</f>
        <v>41.065907321686311</v>
      </c>
      <c r="AG9" s="255" t="s">
        <v>36</v>
      </c>
      <c r="AH9" s="256"/>
      <c r="AI9" s="254" t="s">
        <v>36</v>
      </c>
      <c r="AJ9" s="254"/>
      <c r="AL9" s="3">
        <v>0.01</v>
      </c>
      <c r="AM9" s="18">
        <f t="shared" ref="AM9:AM35" si="68">+$G9</f>
        <v>41.065907321686311</v>
      </c>
      <c r="AN9" s="31">
        <v>-0.17</v>
      </c>
      <c r="AO9" s="36">
        <f t="shared" ref="AO9:AO35" si="69">+$I9</f>
        <v>33.747230769306576</v>
      </c>
      <c r="AP9" s="19">
        <v>-0.8</v>
      </c>
      <c r="AQ9" s="34">
        <f t="shared" ref="AQ9:AQ35" si="70">+$M9</f>
        <v>8.1318628359774863</v>
      </c>
      <c r="AS9" s="3">
        <f t="shared" si="0"/>
        <v>0.01</v>
      </c>
      <c r="AT9" s="18">
        <f t="shared" si="17"/>
        <v>41.065907321686311</v>
      </c>
      <c r="AU9" s="108">
        <f t="shared" si="1"/>
        <v>-0.17</v>
      </c>
      <c r="AV9" s="36">
        <f t="shared" si="18"/>
        <v>33.747230769306576</v>
      </c>
      <c r="AW9" s="136">
        <f t="shared" si="2"/>
        <v>-0.48500000000000004</v>
      </c>
      <c r="AX9" s="18">
        <f t="shared" si="19"/>
        <v>20.939546802642028</v>
      </c>
      <c r="AY9" s="108">
        <f t="shared" si="3"/>
        <v>-0.8</v>
      </c>
      <c r="AZ9" s="34">
        <f t="shared" si="20"/>
        <v>8.1318628359774863</v>
      </c>
      <c r="BB9" s="3">
        <f t="shared" si="45"/>
        <v>0.01</v>
      </c>
      <c r="BC9" s="18">
        <f t="shared" si="46"/>
        <v>41.065907321686311</v>
      </c>
      <c r="BD9" s="56">
        <f t="shared" si="47"/>
        <v>-0.17</v>
      </c>
      <c r="BE9" s="36">
        <f t="shared" si="48"/>
        <v>33.747230769306576</v>
      </c>
      <c r="BF9" s="76">
        <f t="shared" si="49"/>
        <v>-0.48500000000000004</v>
      </c>
      <c r="BG9" s="36">
        <f t="shared" si="50"/>
        <v>20.939546802642028</v>
      </c>
      <c r="BH9" s="54">
        <f t="shared" si="51"/>
        <v>-0.8</v>
      </c>
      <c r="BI9" s="34">
        <f t="shared" si="52"/>
        <v>8.1318628359774863</v>
      </c>
      <c r="BK9" s="3">
        <v>0.01</v>
      </c>
      <c r="BL9" s="18">
        <f t="shared" ref="BL9:BL35" si="71">+$G9</f>
        <v>41.065907321686311</v>
      </c>
      <c r="BM9" s="31">
        <v>-0.17</v>
      </c>
      <c r="BN9" s="36">
        <f t="shared" ref="BN9:BN35" si="72">+$I9</f>
        <v>33.747230769306576</v>
      </c>
      <c r="BO9" s="19">
        <v>-0.8</v>
      </c>
      <c r="BP9" s="34">
        <f t="shared" ref="BP9:BP35" si="73">+$M9</f>
        <v>8.1318628359774863</v>
      </c>
      <c r="BR9" s="3">
        <v>0.01</v>
      </c>
      <c r="BS9" s="18">
        <f t="shared" ref="BS9:BS35" si="74">+$G9</f>
        <v>41.065907321686311</v>
      </c>
      <c r="BT9" s="45">
        <f>-(0.01-((1+$H9)*(1+BT$7)/(1+$H$7)/100))*100</f>
        <v>-0.30833333333333346</v>
      </c>
      <c r="BU9" s="46">
        <f t="shared" si="53"/>
        <v>28.122692307755472</v>
      </c>
      <c r="BV9" s="6">
        <f>-(0.01-((1+$L9)*(1+BV$7)/(1+$L$7)/100))*100</f>
        <v>-0.90000000000000013</v>
      </c>
      <c r="BW9" s="33">
        <f t="shared" si="54"/>
        <v>4.0659314179887387</v>
      </c>
      <c r="BY9" s="3">
        <v>0.01</v>
      </c>
      <c r="BZ9" s="18">
        <f t="shared" ref="BZ9:BZ35" si="75">+$G9</f>
        <v>41.065907321686311</v>
      </c>
      <c r="CA9" s="31">
        <v>-0.17</v>
      </c>
      <c r="CB9" s="36">
        <f t="shared" ref="CB9:CB35" si="76">+$I9</f>
        <v>33.747230769306576</v>
      </c>
      <c r="CC9" s="19">
        <v>-0.8</v>
      </c>
      <c r="CD9" s="34">
        <f t="shared" ref="CD9:CD35" si="77">+$M9</f>
        <v>8.1318628359774863</v>
      </c>
      <c r="CE9" s="1"/>
      <c r="CF9" s="3">
        <v>0.01</v>
      </c>
      <c r="CG9" s="18">
        <f t="shared" ref="CG9:CG35" si="78">+$G9</f>
        <v>41.065907321686311</v>
      </c>
      <c r="CH9" s="45">
        <f t="shared" si="55"/>
        <v>-0.16999999999999993</v>
      </c>
      <c r="CI9" s="46">
        <f t="shared" si="56"/>
        <v>33.747230769306576</v>
      </c>
      <c r="CJ9" s="45">
        <f t="shared" si="22"/>
        <v>-0.82364912438319127</v>
      </c>
      <c r="CK9" s="33">
        <f t="shared" si="57"/>
        <v>7.1703056576020785</v>
      </c>
      <c r="CM9" s="3">
        <f t="shared" si="4"/>
        <v>0.01</v>
      </c>
      <c r="CN9" s="18">
        <f t="shared" si="23"/>
        <v>41.065907321686311</v>
      </c>
      <c r="CO9" s="45">
        <f t="shared" si="5"/>
        <v>-0.16999999999999993</v>
      </c>
      <c r="CP9" s="46">
        <f t="shared" si="24"/>
        <v>33.747230769306576</v>
      </c>
      <c r="CQ9" s="6">
        <f t="shared" si="6"/>
        <v>-0.54339798785142623</v>
      </c>
      <c r="CR9" s="134">
        <f t="shared" si="25"/>
        <v>18.56512466711764</v>
      </c>
      <c r="CS9" s="45">
        <f t="shared" si="7"/>
        <v>-0.91679597570285254</v>
      </c>
      <c r="CT9" s="33">
        <f t="shared" si="26"/>
        <v>3.3830185649287063</v>
      </c>
      <c r="CU9" s="1"/>
      <c r="CV9" s="3">
        <v>0.01</v>
      </c>
      <c r="CW9" s="18">
        <f t="shared" ref="CW9:CW35" si="79">+$G9</f>
        <v>41.065907321686311</v>
      </c>
      <c r="CX9" s="45">
        <f t="shared" si="58"/>
        <v>-0.16999999999999993</v>
      </c>
      <c r="CY9" s="46">
        <f t="shared" si="59"/>
        <v>33.747230769306576</v>
      </c>
      <c r="CZ9" s="45">
        <f t="shared" si="27"/>
        <v>-0.54339798785142623</v>
      </c>
      <c r="DA9" s="46">
        <f t="shared" si="28"/>
        <v>18.56512466711764</v>
      </c>
      <c r="DB9" s="45">
        <f t="shared" si="29"/>
        <v>-0.91679597570285254</v>
      </c>
      <c r="DC9" s="33">
        <f t="shared" si="60"/>
        <v>3.3830185649287063</v>
      </c>
      <c r="DE9" s="3">
        <v>0.01</v>
      </c>
      <c r="DF9" s="18">
        <f t="shared" ref="DF9:DF35" si="80">+$G9</f>
        <v>41.065907321686311</v>
      </c>
      <c r="DG9" s="45">
        <f t="shared" si="61"/>
        <v>-0.22184969947953148</v>
      </c>
      <c r="DH9" s="46">
        <f t="shared" si="62"/>
        <v>31.639057548035556</v>
      </c>
      <c r="DI9" s="45">
        <f t="shared" si="30"/>
        <v>-0.80957521753668216</v>
      </c>
      <c r="DJ9" s="33">
        <f>+DH9/DH$7*DJ$7</f>
        <v>7.7425410578127609</v>
      </c>
      <c r="DL9" s="3">
        <f t="shared" si="8"/>
        <v>0.01</v>
      </c>
      <c r="DM9" s="18">
        <f t="shared" si="31"/>
        <v>41.065907321686311</v>
      </c>
      <c r="DN9" s="45">
        <f t="shared" si="9"/>
        <v>-0.24777454921929731</v>
      </c>
      <c r="DO9" s="46">
        <f t="shared" si="32"/>
        <v>30.584970937400044</v>
      </c>
      <c r="DP9" s="6">
        <f t="shared" si="10"/>
        <v>-0.57689619875477183</v>
      </c>
      <c r="DQ9" s="134">
        <f t="shared" si="33"/>
        <v>17.203110385534384</v>
      </c>
      <c r="DR9" s="45">
        <f t="shared" si="11"/>
        <v>-0.90601784829024623</v>
      </c>
      <c r="DS9" s="33">
        <f t="shared" si="34"/>
        <v>3.8212498336687242</v>
      </c>
      <c r="DU9" s="3">
        <v>0.01</v>
      </c>
      <c r="DV9" s="18">
        <f t="shared" ref="DV9:DV35" si="81">+$G9</f>
        <v>41.065907321686311</v>
      </c>
      <c r="DW9" s="45">
        <f t="shared" si="63"/>
        <v>-0.24777454921929731</v>
      </c>
      <c r="DX9" s="46">
        <f t="shared" si="64"/>
        <v>30.584970937400044</v>
      </c>
      <c r="DY9" s="45">
        <f t="shared" si="35"/>
        <v>-0.57689619875477183</v>
      </c>
      <c r="DZ9" s="46">
        <f t="shared" si="36"/>
        <v>17.203110385534384</v>
      </c>
      <c r="EA9" s="45">
        <f t="shared" si="37"/>
        <v>-0.90601784829024623</v>
      </c>
      <c r="EB9" s="33">
        <f>+DX9/DX$7*EB$7</f>
        <v>3.8212498336687242</v>
      </c>
      <c r="EE9" s="60">
        <v>40.659314179887438</v>
      </c>
      <c r="EF9" s="60">
        <v>35.957529814029442</v>
      </c>
      <c r="EG9" s="60">
        <v>33.747230769306576</v>
      </c>
      <c r="EH9" s="50">
        <f t="shared" si="65"/>
        <v>-6.9120834105808626</v>
      </c>
    </row>
    <row r="10" spans="1:138" ht="20.100000000000001" customHeight="1" x14ac:dyDescent="0.25">
      <c r="A10" s="72" t="s">
        <v>9</v>
      </c>
      <c r="B10" s="87"/>
      <c r="C10" s="119">
        <f t="shared" si="13"/>
        <v>229.91925856501078</v>
      </c>
      <c r="D10" s="96">
        <f t="shared" si="13"/>
        <v>202.21095516099473</v>
      </c>
      <c r="F10" s="3">
        <v>-0.1</v>
      </c>
      <c r="G10" s="18">
        <f t="shared" si="38"/>
        <v>206.92733270850971</v>
      </c>
      <c r="H10" s="108">
        <v>-0.26</v>
      </c>
      <c r="I10" s="36">
        <f t="shared" si="39"/>
        <v>170.14025133810799</v>
      </c>
      <c r="J10" s="76">
        <f t="shared" si="14"/>
        <v>-0.53</v>
      </c>
      <c r="K10" s="36">
        <f t="shared" si="15"/>
        <v>108.06205152555506</v>
      </c>
      <c r="L10" s="109">
        <v>-0.8</v>
      </c>
      <c r="M10" s="34">
        <f t="shared" si="40"/>
        <v>45.983851713002146</v>
      </c>
      <c r="O10" s="3">
        <v>-0.1</v>
      </c>
      <c r="P10" s="18">
        <f t="shared" si="41"/>
        <v>206.92733270850971</v>
      </c>
      <c r="Q10" s="56">
        <v>-0.26</v>
      </c>
      <c r="R10" s="36">
        <f t="shared" si="42"/>
        <v>170.14025133810799</v>
      </c>
      <c r="S10" s="76">
        <f t="shared" si="16"/>
        <v>-0.53</v>
      </c>
      <c r="T10" s="36">
        <f t="shared" si="43"/>
        <v>108.06205152555506</v>
      </c>
      <c r="U10" s="54">
        <v>-0.8</v>
      </c>
      <c r="V10" s="34">
        <f t="shared" si="44"/>
        <v>45.983851713002146</v>
      </c>
      <c r="X10" s="3">
        <v>-0.1</v>
      </c>
      <c r="Y10" s="18">
        <f t="shared" si="66"/>
        <v>206.92733270850971</v>
      </c>
      <c r="Z10" s="255" t="s">
        <v>36</v>
      </c>
      <c r="AA10" s="256"/>
      <c r="AB10" s="254" t="s">
        <v>36</v>
      </c>
      <c r="AC10" s="254"/>
      <c r="AE10" s="3">
        <v>-0.1</v>
      </c>
      <c r="AF10" s="18">
        <f t="shared" si="67"/>
        <v>206.92733270850971</v>
      </c>
      <c r="AG10" s="255" t="s">
        <v>36</v>
      </c>
      <c r="AH10" s="256"/>
      <c r="AI10" s="254" t="s">
        <v>36</v>
      </c>
      <c r="AJ10" s="254"/>
      <c r="AL10" s="3">
        <v>-0.1</v>
      </c>
      <c r="AM10" s="18">
        <f t="shared" si="68"/>
        <v>206.92733270850971</v>
      </c>
      <c r="AN10" s="31">
        <v>-0.26</v>
      </c>
      <c r="AO10" s="36">
        <f t="shared" si="69"/>
        <v>170.14025133810799</v>
      </c>
      <c r="AP10" s="19">
        <v>-0.8</v>
      </c>
      <c r="AQ10" s="34">
        <f t="shared" si="70"/>
        <v>45.983851713002146</v>
      </c>
      <c r="AS10" s="3">
        <f t="shared" si="0"/>
        <v>-0.1</v>
      </c>
      <c r="AT10" s="18">
        <f t="shared" si="17"/>
        <v>206.92733270850971</v>
      </c>
      <c r="AU10" s="108">
        <f t="shared" si="1"/>
        <v>-0.26</v>
      </c>
      <c r="AV10" s="36">
        <f t="shared" si="18"/>
        <v>170.14025133810799</v>
      </c>
      <c r="AW10" s="136">
        <f t="shared" si="2"/>
        <v>-0.53</v>
      </c>
      <c r="AX10" s="18">
        <f t="shared" si="19"/>
        <v>108.06205152555506</v>
      </c>
      <c r="AY10" s="108">
        <f t="shared" si="3"/>
        <v>-0.8</v>
      </c>
      <c r="AZ10" s="34">
        <f t="shared" si="20"/>
        <v>45.983851713002146</v>
      </c>
      <c r="BB10" s="3">
        <f t="shared" si="45"/>
        <v>-0.1</v>
      </c>
      <c r="BC10" s="18">
        <f t="shared" si="46"/>
        <v>206.92733270850971</v>
      </c>
      <c r="BD10" s="56">
        <f t="shared" si="47"/>
        <v>-0.26</v>
      </c>
      <c r="BE10" s="36">
        <f t="shared" si="48"/>
        <v>170.14025133810799</v>
      </c>
      <c r="BF10" s="76">
        <f t="shared" si="49"/>
        <v>-0.53</v>
      </c>
      <c r="BG10" s="36">
        <f t="shared" si="50"/>
        <v>108.06205152555506</v>
      </c>
      <c r="BH10" s="54">
        <f t="shared" si="51"/>
        <v>-0.8</v>
      </c>
      <c r="BI10" s="34">
        <f t="shared" si="52"/>
        <v>45.983851713002146</v>
      </c>
      <c r="BK10" s="3">
        <v>-0.1</v>
      </c>
      <c r="BL10" s="18">
        <f t="shared" si="71"/>
        <v>206.92733270850971</v>
      </c>
      <c r="BM10" s="31">
        <v>-0.26</v>
      </c>
      <c r="BN10" s="36">
        <f t="shared" si="72"/>
        <v>170.14025133810799</v>
      </c>
      <c r="BO10" s="19">
        <v>-0.8</v>
      </c>
      <c r="BP10" s="34">
        <f t="shared" si="73"/>
        <v>45.983851713002146</v>
      </c>
      <c r="BR10" s="3">
        <v>-0.1</v>
      </c>
      <c r="BS10" s="18">
        <f t="shared" si="74"/>
        <v>206.92733270850971</v>
      </c>
      <c r="BT10" s="45">
        <f t="shared" ref="BT10:BT35" si="82">-(0.01-((1+$H10)*(1+BT$7)/(1+$H$7)/100))*100</f>
        <v>-0.38333333333333341</v>
      </c>
      <c r="BU10" s="46">
        <f t="shared" si="53"/>
        <v>141.78354278175664</v>
      </c>
      <c r="BV10" s="6">
        <f t="shared" ref="BV10:BV35" si="83">-(0.01-((1+$L10)*(1+BV$7)/(1+$L$7)/100))*100</f>
        <v>-0.90000000000000013</v>
      </c>
      <c r="BW10" s="33">
        <f t="shared" si="54"/>
        <v>22.991925856501048</v>
      </c>
      <c r="BY10" s="3">
        <v>-0.1</v>
      </c>
      <c r="BZ10" s="18">
        <f t="shared" si="75"/>
        <v>206.92733270850971</v>
      </c>
      <c r="CA10" s="31">
        <v>-0.26</v>
      </c>
      <c r="CB10" s="36">
        <f t="shared" si="76"/>
        <v>170.14025133810799</v>
      </c>
      <c r="CC10" s="19">
        <v>-0.8</v>
      </c>
      <c r="CD10" s="34">
        <f t="shared" si="77"/>
        <v>45.983851713002146</v>
      </c>
      <c r="CE10" s="1"/>
      <c r="CF10" s="3">
        <v>-0.1</v>
      </c>
      <c r="CG10" s="18">
        <f t="shared" si="78"/>
        <v>206.92733270850971</v>
      </c>
      <c r="CH10" s="45">
        <f t="shared" si="55"/>
        <v>-0.2599999999999999</v>
      </c>
      <c r="CI10" s="46">
        <f t="shared" si="56"/>
        <v>170.14025133810799</v>
      </c>
      <c r="CJ10" s="45">
        <f t="shared" si="22"/>
        <v>-0.84277150848621862</v>
      </c>
      <c r="CK10" s="33">
        <f t="shared" si="57"/>
        <v>36.14985819414369</v>
      </c>
      <c r="CM10" s="3">
        <f t="shared" si="4"/>
        <v>-0.1</v>
      </c>
      <c r="CN10" s="18">
        <f t="shared" si="23"/>
        <v>206.92733270850971</v>
      </c>
      <c r="CO10" s="45">
        <f t="shared" si="5"/>
        <v>-0.2599999999999999</v>
      </c>
      <c r="CP10" s="46">
        <f t="shared" si="24"/>
        <v>170.14025133810799</v>
      </c>
      <c r="CQ10" s="6">
        <f t="shared" si="6"/>
        <v>-0.59290904940970535</v>
      </c>
      <c r="CR10" s="134">
        <f t="shared" si="25"/>
        <v>93.59804952824598</v>
      </c>
      <c r="CS10" s="45">
        <f t="shared" si="7"/>
        <v>-0.92581809881941068</v>
      </c>
      <c r="CT10" s="33">
        <f t="shared" si="26"/>
        <v>17.055847718383987</v>
      </c>
      <c r="CU10" s="1"/>
      <c r="CV10" s="3">
        <v>-0.1</v>
      </c>
      <c r="CW10" s="18">
        <f t="shared" si="79"/>
        <v>206.92733270850971</v>
      </c>
      <c r="CX10" s="45">
        <f t="shared" si="58"/>
        <v>-0.2599999999999999</v>
      </c>
      <c r="CY10" s="46">
        <f t="shared" si="59"/>
        <v>170.14025133810799</v>
      </c>
      <c r="CZ10" s="45">
        <f t="shared" si="27"/>
        <v>-0.59290904940970535</v>
      </c>
      <c r="DA10" s="46">
        <f t="shared" si="28"/>
        <v>93.59804952824598</v>
      </c>
      <c r="DB10" s="45">
        <f t="shared" si="29"/>
        <v>-0.92581809881941068</v>
      </c>
      <c r="DC10" s="33">
        <f t="shared" si="60"/>
        <v>17.055847718383987</v>
      </c>
      <c r="DE10" s="3">
        <v>-0.1</v>
      </c>
      <c r="DF10" s="18">
        <f t="shared" si="80"/>
        <v>206.92733270850971</v>
      </c>
      <c r="DG10" s="45">
        <f t="shared" si="61"/>
        <v>-0.33929954038046006</v>
      </c>
      <c r="DH10" s="46">
        <f t="shared" si="62"/>
        <v>151.90775980928646</v>
      </c>
      <c r="DI10" s="45">
        <f t="shared" si="30"/>
        <v>-0.83831691485267812</v>
      </c>
      <c r="DJ10" s="33">
        <f t="shared" ref="DJ10:DJ35" si="84">+DH10/DH$7*DJ$7</f>
        <v>37.174055059575757</v>
      </c>
      <c r="DL10" s="3">
        <f t="shared" si="8"/>
        <v>-0.1</v>
      </c>
      <c r="DM10" s="18">
        <f t="shared" si="31"/>
        <v>206.92733270850971</v>
      </c>
      <c r="DN10" s="45">
        <f t="shared" si="9"/>
        <v>-0.37894931057069003</v>
      </c>
      <c r="DO10" s="46">
        <f t="shared" si="32"/>
        <v>142.79151404487573</v>
      </c>
      <c r="DP10" s="6">
        <f t="shared" si="10"/>
        <v>-0.65067798863918513</v>
      </c>
      <c r="DQ10" s="134">
        <f t="shared" si="33"/>
        <v>80.315857852516828</v>
      </c>
      <c r="DR10" s="45">
        <f t="shared" si="11"/>
        <v>-0.92240666670768023</v>
      </c>
      <c r="DS10" s="33">
        <f t="shared" si="34"/>
        <v>17.840201660157941</v>
      </c>
      <c r="DU10" s="3">
        <v>-0.1</v>
      </c>
      <c r="DV10" s="18">
        <f t="shared" si="81"/>
        <v>206.92733270850971</v>
      </c>
      <c r="DW10" s="45">
        <f t="shared" si="63"/>
        <v>-0.37894931057069003</v>
      </c>
      <c r="DX10" s="46">
        <f t="shared" si="64"/>
        <v>142.79151404487573</v>
      </c>
      <c r="DY10" s="45">
        <f t="shared" si="35"/>
        <v>-0.65067798863918513</v>
      </c>
      <c r="DZ10" s="46">
        <f t="shared" si="36"/>
        <v>80.315857852516828</v>
      </c>
      <c r="EA10" s="45">
        <f t="shared" si="37"/>
        <v>-0.92240666670768023</v>
      </c>
      <c r="EB10" s="33">
        <f t="shared" ref="EB10:EB35" si="85">+DX10/DX$7*EB$7</f>
        <v>17.840201660157941</v>
      </c>
      <c r="EE10" s="60">
        <v>229.91925856501078</v>
      </c>
      <c r="EF10" s="60">
        <v>202.21095516099473</v>
      </c>
      <c r="EG10" s="60">
        <v>170.14025133810799</v>
      </c>
      <c r="EH10" s="50">
        <f t="shared" si="65"/>
        <v>-59.779007226902792</v>
      </c>
    </row>
    <row r="11" spans="1:138" ht="20.100000000000001" customHeight="1" x14ac:dyDescent="0.25">
      <c r="A11" s="72" t="s">
        <v>10</v>
      </c>
      <c r="B11" s="87"/>
      <c r="C11" s="119">
        <f t="shared" si="13"/>
        <v>317.11584594051396</v>
      </c>
      <c r="D11" s="96">
        <f t="shared" si="13"/>
        <v>284.2309775038301</v>
      </c>
      <c r="F11" s="3">
        <v>-0.13</v>
      </c>
      <c r="G11" s="18">
        <f t="shared" si="38"/>
        <v>275.89078596824714</v>
      </c>
      <c r="H11" s="108">
        <v>-0.33</v>
      </c>
      <c r="I11" s="36">
        <f t="shared" si="39"/>
        <v>212.46761678014434</v>
      </c>
      <c r="J11" s="76">
        <f t="shared" si="14"/>
        <v>-0.56500000000000006</v>
      </c>
      <c r="K11" s="36">
        <f t="shared" si="15"/>
        <v>137.94539298412354</v>
      </c>
      <c r="L11" s="109">
        <v>-0.8</v>
      </c>
      <c r="M11" s="34">
        <f t="shared" si="40"/>
        <v>63.423169188102776</v>
      </c>
      <c r="O11" s="3">
        <v>-0.13</v>
      </c>
      <c r="P11" s="18">
        <f t="shared" si="41"/>
        <v>275.89078596824714</v>
      </c>
      <c r="Q11" s="56">
        <v>-0.33</v>
      </c>
      <c r="R11" s="36">
        <f t="shared" si="42"/>
        <v>212.46761678014434</v>
      </c>
      <c r="S11" s="76">
        <f t="shared" si="16"/>
        <v>-0.56500000000000006</v>
      </c>
      <c r="T11" s="36">
        <f t="shared" si="43"/>
        <v>137.94539298412354</v>
      </c>
      <c r="U11" s="54">
        <v>-0.8</v>
      </c>
      <c r="V11" s="34">
        <f t="shared" si="44"/>
        <v>63.423169188102776</v>
      </c>
      <c r="X11" s="3">
        <v>-0.13</v>
      </c>
      <c r="Y11" s="18">
        <f t="shared" si="66"/>
        <v>275.89078596824714</v>
      </c>
      <c r="Z11" s="255" t="s">
        <v>36</v>
      </c>
      <c r="AA11" s="256"/>
      <c r="AB11" s="254" t="s">
        <v>36</v>
      </c>
      <c r="AC11" s="254"/>
      <c r="AE11" s="3">
        <v>-0.13</v>
      </c>
      <c r="AF11" s="18">
        <f t="shared" si="67"/>
        <v>275.89078596824714</v>
      </c>
      <c r="AG11" s="255" t="s">
        <v>36</v>
      </c>
      <c r="AH11" s="256"/>
      <c r="AI11" s="254" t="s">
        <v>36</v>
      </c>
      <c r="AJ11" s="254"/>
      <c r="AL11" s="3">
        <v>-0.13</v>
      </c>
      <c r="AM11" s="18">
        <f t="shared" si="68"/>
        <v>275.89078596824714</v>
      </c>
      <c r="AN11" s="31">
        <v>-0.33</v>
      </c>
      <c r="AO11" s="36">
        <f t="shared" si="69"/>
        <v>212.46761678014434</v>
      </c>
      <c r="AP11" s="19">
        <v>-0.8</v>
      </c>
      <c r="AQ11" s="34">
        <f t="shared" si="70"/>
        <v>63.423169188102776</v>
      </c>
      <c r="AS11" s="3">
        <f t="shared" si="0"/>
        <v>-0.13</v>
      </c>
      <c r="AT11" s="18">
        <f t="shared" si="17"/>
        <v>275.89078596824714</v>
      </c>
      <c r="AU11" s="108">
        <f t="shared" si="1"/>
        <v>-0.33</v>
      </c>
      <c r="AV11" s="36">
        <f t="shared" si="18"/>
        <v>212.46761678014434</v>
      </c>
      <c r="AW11" s="136">
        <f t="shared" si="2"/>
        <v>-0.56500000000000006</v>
      </c>
      <c r="AX11" s="18">
        <f t="shared" si="19"/>
        <v>137.94539298412354</v>
      </c>
      <c r="AY11" s="108">
        <f t="shared" si="3"/>
        <v>-0.8</v>
      </c>
      <c r="AZ11" s="34">
        <f t="shared" si="20"/>
        <v>63.423169188102776</v>
      </c>
      <c r="BB11" s="3">
        <f t="shared" si="45"/>
        <v>-0.13</v>
      </c>
      <c r="BC11" s="18">
        <f t="shared" si="46"/>
        <v>275.89078596824714</v>
      </c>
      <c r="BD11" s="56">
        <f t="shared" si="47"/>
        <v>-0.33</v>
      </c>
      <c r="BE11" s="36">
        <f t="shared" si="48"/>
        <v>212.46761678014434</v>
      </c>
      <c r="BF11" s="76">
        <f t="shared" si="49"/>
        <v>-0.56500000000000006</v>
      </c>
      <c r="BG11" s="36">
        <f t="shared" si="50"/>
        <v>137.94539298412354</v>
      </c>
      <c r="BH11" s="54">
        <f t="shared" si="51"/>
        <v>-0.8</v>
      </c>
      <c r="BI11" s="34">
        <f t="shared" si="52"/>
        <v>63.423169188102776</v>
      </c>
      <c r="BK11" s="3">
        <v>-0.13</v>
      </c>
      <c r="BL11" s="18">
        <f t="shared" si="71"/>
        <v>275.89078596824714</v>
      </c>
      <c r="BM11" s="31">
        <v>-0.33</v>
      </c>
      <c r="BN11" s="36">
        <f t="shared" si="72"/>
        <v>212.46761678014434</v>
      </c>
      <c r="BO11" s="19">
        <v>-0.8</v>
      </c>
      <c r="BP11" s="34">
        <f t="shared" si="73"/>
        <v>63.423169188102776</v>
      </c>
      <c r="BR11" s="3">
        <v>-0.13</v>
      </c>
      <c r="BS11" s="18">
        <f t="shared" si="74"/>
        <v>275.89078596824714</v>
      </c>
      <c r="BT11" s="45">
        <f t="shared" si="82"/>
        <v>-0.44166666666666676</v>
      </c>
      <c r="BU11" s="46">
        <f t="shared" si="53"/>
        <v>177.05634731678694</v>
      </c>
      <c r="BV11" s="6">
        <f t="shared" si="83"/>
        <v>-0.90000000000000013</v>
      </c>
      <c r="BW11" s="33">
        <f t="shared" si="54"/>
        <v>31.711584594051356</v>
      </c>
      <c r="BY11" s="3">
        <v>-0.13</v>
      </c>
      <c r="BZ11" s="18">
        <f t="shared" si="75"/>
        <v>275.89078596824714</v>
      </c>
      <c r="CA11" s="31">
        <v>-0.33</v>
      </c>
      <c r="CB11" s="36">
        <f t="shared" si="76"/>
        <v>212.46761678014434</v>
      </c>
      <c r="CC11" s="19">
        <v>-0.8</v>
      </c>
      <c r="CD11" s="34">
        <f t="shared" si="77"/>
        <v>63.423169188102776</v>
      </c>
      <c r="CE11" s="1"/>
      <c r="CF11" s="3">
        <v>-0.13</v>
      </c>
      <c r="CG11" s="18">
        <f t="shared" si="78"/>
        <v>275.89078596824714</v>
      </c>
      <c r="CH11" s="45">
        <f t="shared" si="55"/>
        <v>-0.33000000000000007</v>
      </c>
      <c r="CI11" s="46">
        <f t="shared" si="56"/>
        <v>212.46761678014434</v>
      </c>
      <c r="CJ11" s="45">
        <f t="shared" si="22"/>
        <v>-0.85764447389968446</v>
      </c>
      <c r="CK11" s="33">
        <f t="shared" si="57"/>
        <v>45.143193083608466</v>
      </c>
      <c r="CM11" s="3">
        <f t="shared" si="4"/>
        <v>-0.13</v>
      </c>
      <c r="CN11" s="18">
        <f t="shared" si="23"/>
        <v>275.89078596824714</v>
      </c>
      <c r="CO11" s="45">
        <f t="shared" si="5"/>
        <v>-0.33000000000000007</v>
      </c>
      <c r="CP11" s="46">
        <f t="shared" si="24"/>
        <v>212.46761678014434</v>
      </c>
      <c r="CQ11" s="6">
        <f t="shared" si="6"/>
        <v>-0.63141765284392248</v>
      </c>
      <c r="CR11" s="134">
        <f t="shared" si="25"/>
        <v>116.88330281713972</v>
      </c>
      <c r="CS11" s="45">
        <f t="shared" si="7"/>
        <v>-0.9328353056878449</v>
      </c>
      <c r="CT11" s="33">
        <f t="shared" si="26"/>
        <v>21.298988854135111</v>
      </c>
      <c r="CU11" s="1"/>
      <c r="CV11" s="3">
        <v>-0.13</v>
      </c>
      <c r="CW11" s="18">
        <f t="shared" si="79"/>
        <v>275.89078596824714</v>
      </c>
      <c r="CX11" s="45">
        <f t="shared" si="58"/>
        <v>-0.33000000000000007</v>
      </c>
      <c r="CY11" s="46">
        <f t="shared" si="59"/>
        <v>212.46761678014434</v>
      </c>
      <c r="CZ11" s="45">
        <f t="shared" si="27"/>
        <v>-0.63141765284392248</v>
      </c>
      <c r="DA11" s="46">
        <f t="shared" si="28"/>
        <v>116.88330281713972</v>
      </c>
      <c r="DB11" s="45">
        <f t="shared" si="29"/>
        <v>-0.9328353056878449</v>
      </c>
      <c r="DC11" s="33">
        <f t="shared" si="60"/>
        <v>21.298988854135111</v>
      </c>
      <c r="DE11" s="3">
        <v>-0.13</v>
      </c>
      <c r="DF11" s="18">
        <f t="shared" si="80"/>
        <v>275.89078596824714</v>
      </c>
      <c r="DG11" s="45">
        <f t="shared" si="61"/>
        <v>-0.43064941663673795</v>
      </c>
      <c r="DH11" s="46">
        <f t="shared" si="62"/>
        <v>180.55009187996598</v>
      </c>
      <c r="DI11" s="45">
        <f t="shared" si="30"/>
        <v>-0.86067156832067493</v>
      </c>
      <c r="DJ11" s="33">
        <f t="shared" si="84"/>
        <v>44.183253475554253</v>
      </c>
      <c r="DL11" s="3">
        <f t="shared" si="8"/>
        <v>-0.13</v>
      </c>
      <c r="DM11" s="18">
        <f t="shared" si="31"/>
        <v>275.89078596824714</v>
      </c>
      <c r="DN11" s="45">
        <f t="shared" si="9"/>
        <v>-0.48097412495510672</v>
      </c>
      <c r="DO11" s="46">
        <f t="shared" si="32"/>
        <v>164.59132942987682</v>
      </c>
      <c r="DP11" s="6">
        <f t="shared" si="10"/>
        <v>-0.70806382521595113</v>
      </c>
      <c r="DQ11" s="134">
        <f t="shared" si="33"/>
        <v>92.57758702728141</v>
      </c>
      <c r="DR11" s="45">
        <f t="shared" si="11"/>
        <v>-0.93515352547679553</v>
      </c>
      <c r="DS11" s="33">
        <f t="shared" si="34"/>
        <v>20.563844624685988</v>
      </c>
      <c r="DU11" s="3">
        <v>-0.13</v>
      </c>
      <c r="DV11" s="18">
        <f t="shared" si="81"/>
        <v>275.89078596824714</v>
      </c>
      <c r="DW11" s="45">
        <f t="shared" si="63"/>
        <v>-0.48097412495510672</v>
      </c>
      <c r="DX11" s="46">
        <f t="shared" si="64"/>
        <v>164.59132942987682</v>
      </c>
      <c r="DY11" s="45">
        <f t="shared" si="35"/>
        <v>-0.70806382521595113</v>
      </c>
      <c r="DZ11" s="46">
        <f t="shared" si="36"/>
        <v>92.57758702728141</v>
      </c>
      <c r="EA11" s="45">
        <f t="shared" si="37"/>
        <v>-0.93515352547679553</v>
      </c>
      <c r="EB11" s="33">
        <f t="shared" si="85"/>
        <v>20.563844624685988</v>
      </c>
      <c r="EE11" s="60">
        <v>317.11584594051396</v>
      </c>
      <c r="EF11" s="60">
        <v>284.2309775038301</v>
      </c>
      <c r="EG11" s="60">
        <v>212.46761678014434</v>
      </c>
      <c r="EH11" s="50">
        <f t="shared" si="65"/>
        <v>-104.64822916036962</v>
      </c>
    </row>
    <row r="12" spans="1:138" ht="20.100000000000001" customHeight="1" x14ac:dyDescent="0.25">
      <c r="A12" s="69" t="s">
        <v>11</v>
      </c>
      <c r="B12" s="84"/>
      <c r="C12" s="119">
        <f t="shared" si="13"/>
        <v>371.25626846062266</v>
      </c>
      <c r="D12" s="96">
        <f t="shared" si="13"/>
        <v>318.03906884435668</v>
      </c>
      <c r="F12" s="3">
        <v>-0.16</v>
      </c>
      <c r="G12" s="18">
        <f t="shared" si="38"/>
        <v>311.85526550692305</v>
      </c>
      <c r="H12" s="108">
        <v>-0.37</v>
      </c>
      <c r="I12" s="36">
        <f t="shared" si="39"/>
        <v>233.89144913019229</v>
      </c>
      <c r="J12" s="78">
        <f t="shared" si="14"/>
        <v>-0.58499999999999996</v>
      </c>
      <c r="K12" s="38">
        <f t="shared" si="15"/>
        <v>154.07135141115839</v>
      </c>
      <c r="L12" s="109">
        <v>-0.8</v>
      </c>
      <c r="M12" s="34">
        <f t="shared" si="40"/>
        <v>74.251253692124521</v>
      </c>
      <c r="O12" s="3">
        <v>-0.16</v>
      </c>
      <c r="P12" s="18">
        <f t="shared" si="41"/>
        <v>311.85526550692305</v>
      </c>
      <c r="Q12" s="56">
        <v>-0.37</v>
      </c>
      <c r="R12" s="36">
        <f t="shared" si="42"/>
        <v>233.89144913019229</v>
      </c>
      <c r="S12" s="76">
        <f t="shared" si="16"/>
        <v>-0.58499999999999996</v>
      </c>
      <c r="T12" s="36">
        <f t="shared" si="43"/>
        <v>154.07135141115842</v>
      </c>
      <c r="U12" s="54">
        <v>-0.8</v>
      </c>
      <c r="V12" s="34">
        <f t="shared" si="44"/>
        <v>74.251253692124521</v>
      </c>
      <c r="X12" s="3">
        <v>-0.16</v>
      </c>
      <c r="Y12" s="18">
        <f t="shared" si="66"/>
        <v>311.85526550692305</v>
      </c>
      <c r="Z12" s="257" t="s">
        <v>36</v>
      </c>
      <c r="AA12" s="258"/>
      <c r="AB12" s="253" t="s">
        <v>36</v>
      </c>
      <c r="AC12" s="254"/>
      <c r="AE12" s="3">
        <v>-0.16</v>
      </c>
      <c r="AF12" s="18">
        <f t="shared" si="67"/>
        <v>311.85526550692305</v>
      </c>
      <c r="AG12" s="257" t="s">
        <v>36</v>
      </c>
      <c r="AH12" s="258"/>
      <c r="AI12" s="253" t="s">
        <v>36</v>
      </c>
      <c r="AJ12" s="254"/>
      <c r="AL12" s="3">
        <v>-0.16</v>
      </c>
      <c r="AM12" s="18">
        <f t="shared" si="68"/>
        <v>311.85526550692305</v>
      </c>
      <c r="AN12" s="31">
        <v>-0.37</v>
      </c>
      <c r="AO12" s="36">
        <f t="shared" si="69"/>
        <v>233.89144913019229</v>
      </c>
      <c r="AP12" s="19">
        <v>-0.8</v>
      </c>
      <c r="AQ12" s="34">
        <f t="shared" si="70"/>
        <v>74.251253692124521</v>
      </c>
      <c r="AS12" s="9">
        <f t="shared" si="0"/>
        <v>-0.16</v>
      </c>
      <c r="AT12" s="80">
        <f t="shared" si="17"/>
        <v>311.85526550692305</v>
      </c>
      <c r="AU12" s="110">
        <f t="shared" si="1"/>
        <v>-0.37</v>
      </c>
      <c r="AV12" s="38">
        <f t="shared" si="18"/>
        <v>233.89144913019229</v>
      </c>
      <c r="AW12" s="137">
        <f t="shared" si="2"/>
        <v>-0.58499999999999996</v>
      </c>
      <c r="AX12" s="80">
        <f t="shared" si="19"/>
        <v>154.07135141115842</v>
      </c>
      <c r="AY12" s="110">
        <f t="shared" si="3"/>
        <v>-0.8</v>
      </c>
      <c r="AZ12" s="35">
        <f t="shared" si="20"/>
        <v>74.251253692124521</v>
      </c>
      <c r="BB12" s="9">
        <f t="shared" si="45"/>
        <v>-0.16</v>
      </c>
      <c r="BC12" s="80">
        <f t="shared" si="46"/>
        <v>311.85526550692305</v>
      </c>
      <c r="BD12" s="57">
        <f t="shared" si="47"/>
        <v>-0.37</v>
      </c>
      <c r="BE12" s="38">
        <f t="shared" si="48"/>
        <v>233.89144913019229</v>
      </c>
      <c r="BF12" s="78">
        <f t="shared" si="49"/>
        <v>-0.58499999999999996</v>
      </c>
      <c r="BG12" s="38">
        <f t="shared" si="50"/>
        <v>154.07135141115842</v>
      </c>
      <c r="BH12" s="58">
        <f t="shared" si="51"/>
        <v>-0.8</v>
      </c>
      <c r="BI12" s="35">
        <f t="shared" si="52"/>
        <v>74.251253692124521</v>
      </c>
      <c r="BK12" s="3">
        <v>-0.16</v>
      </c>
      <c r="BL12" s="18">
        <f t="shared" si="71"/>
        <v>311.85526550692305</v>
      </c>
      <c r="BM12" s="31">
        <v>-0.37</v>
      </c>
      <c r="BN12" s="36">
        <f t="shared" si="72"/>
        <v>233.89144913019229</v>
      </c>
      <c r="BO12" s="19">
        <v>-0.8</v>
      </c>
      <c r="BP12" s="34">
        <f t="shared" si="73"/>
        <v>74.251253692124521</v>
      </c>
      <c r="BR12" s="3">
        <v>-0.16</v>
      </c>
      <c r="BS12" s="18">
        <f t="shared" si="74"/>
        <v>311.85526550692305</v>
      </c>
      <c r="BT12" s="45">
        <f t="shared" si="82"/>
        <v>-0.47500000000000009</v>
      </c>
      <c r="BU12" s="46">
        <f t="shared" si="53"/>
        <v>194.90954094182686</v>
      </c>
      <c r="BV12" s="6">
        <f t="shared" si="83"/>
        <v>-0.90000000000000013</v>
      </c>
      <c r="BW12" s="33">
        <f t="shared" si="54"/>
        <v>37.125626846062218</v>
      </c>
      <c r="BY12" s="3">
        <v>-0.16</v>
      </c>
      <c r="BZ12" s="18">
        <f t="shared" si="75"/>
        <v>311.85526550692305</v>
      </c>
      <c r="CA12" s="31">
        <v>-0.37</v>
      </c>
      <c r="CB12" s="36">
        <f t="shared" si="76"/>
        <v>233.89144913019229</v>
      </c>
      <c r="CC12" s="19">
        <v>-0.8</v>
      </c>
      <c r="CD12" s="34">
        <f t="shared" si="77"/>
        <v>74.251253692124521</v>
      </c>
      <c r="CE12" s="1"/>
      <c r="CF12" s="3">
        <v>-0.16</v>
      </c>
      <c r="CG12" s="18">
        <f t="shared" si="78"/>
        <v>311.85526550692305</v>
      </c>
      <c r="CH12" s="45">
        <f t="shared" si="55"/>
        <v>-0.37</v>
      </c>
      <c r="CI12" s="46">
        <f t="shared" si="56"/>
        <v>233.89144913019229</v>
      </c>
      <c r="CJ12" s="45">
        <f t="shared" si="22"/>
        <v>-0.86614331127880784</v>
      </c>
      <c r="CK12" s="33">
        <f t="shared" si="57"/>
        <v>49.695134763124933</v>
      </c>
      <c r="CM12" s="9">
        <f t="shared" si="4"/>
        <v>-0.16</v>
      </c>
      <c r="CN12" s="80">
        <f t="shared" si="23"/>
        <v>311.85526550692305</v>
      </c>
      <c r="CO12" s="47">
        <f t="shared" si="5"/>
        <v>-0.37</v>
      </c>
      <c r="CP12" s="48">
        <f t="shared" si="24"/>
        <v>233.89144913019229</v>
      </c>
      <c r="CQ12" s="10">
        <f t="shared" si="6"/>
        <v>-0.65342256909204643</v>
      </c>
      <c r="CR12" s="139">
        <f t="shared" si="25"/>
        <v>128.66904373155612</v>
      </c>
      <c r="CS12" s="47">
        <f t="shared" si="7"/>
        <v>-0.93684513818409287</v>
      </c>
      <c r="CT12" s="65">
        <f t="shared" si="26"/>
        <v>23.446638332919935</v>
      </c>
      <c r="CU12" s="1"/>
      <c r="CV12" s="3">
        <v>-0.16</v>
      </c>
      <c r="CW12" s="18">
        <f t="shared" si="79"/>
        <v>311.85526550692305</v>
      </c>
      <c r="CX12" s="45">
        <f t="shared" si="58"/>
        <v>-0.37</v>
      </c>
      <c r="CY12" s="46">
        <f t="shared" si="59"/>
        <v>233.89144913019229</v>
      </c>
      <c r="CZ12" s="45">
        <f t="shared" si="27"/>
        <v>-0.65342256909204643</v>
      </c>
      <c r="DA12" s="48">
        <f t="shared" si="28"/>
        <v>128.66904373155612</v>
      </c>
      <c r="DB12" s="45">
        <f t="shared" si="29"/>
        <v>-0.93684513818409287</v>
      </c>
      <c r="DC12" s="33">
        <f t="shared" si="60"/>
        <v>23.446638332919935</v>
      </c>
      <c r="DE12" s="3">
        <v>-0.16</v>
      </c>
      <c r="DF12" s="18">
        <f t="shared" si="80"/>
        <v>311.85526550692305</v>
      </c>
      <c r="DG12" s="45">
        <f t="shared" si="61"/>
        <v>-0.48284934592603934</v>
      </c>
      <c r="DH12" s="46">
        <f t="shared" si="62"/>
        <v>191.99542206346894</v>
      </c>
      <c r="DI12" s="45">
        <f t="shared" si="30"/>
        <v>-0.87344565601667323</v>
      </c>
      <c r="DJ12" s="33">
        <f t="shared" si="84"/>
        <v>46.984093504731966</v>
      </c>
      <c r="DL12" s="9">
        <f t="shared" si="8"/>
        <v>-0.16</v>
      </c>
      <c r="DM12" s="80">
        <f t="shared" si="31"/>
        <v>311.85526550692305</v>
      </c>
      <c r="DN12" s="47">
        <f t="shared" si="9"/>
        <v>-0.53927401888905901</v>
      </c>
      <c r="DO12" s="48">
        <f t="shared" si="32"/>
        <v>171.04740853010728</v>
      </c>
      <c r="DP12" s="10">
        <f t="shared" si="10"/>
        <v>-0.74085573183124587</v>
      </c>
      <c r="DQ12" s="139">
        <f t="shared" si="33"/>
        <v>96.208933993290572</v>
      </c>
      <c r="DR12" s="47">
        <f t="shared" si="11"/>
        <v>-0.94243744477343283</v>
      </c>
      <c r="DS12" s="65">
        <f t="shared" si="34"/>
        <v>21.370459456473853</v>
      </c>
      <c r="DU12" s="3">
        <v>-0.16</v>
      </c>
      <c r="DV12" s="18">
        <f t="shared" si="81"/>
        <v>311.85526550692305</v>
      </c>
      <c r="DW12" s="45">
        <f t="shared" si="63"/>
        <v>-0.53927401888905901</v>
      </c>
      <c r="DX12" s="46">
        <f t="shared" si="64"/>
        <v>171.04740853010728</v>
      </c>
      <c r="DY12" s="45">
        <f t="shared" si="35"/>
        <v>-0.74085573183124587</v>
      </c>
      <c r="DZ12" s="48">
        <f t="shared" si="36"/>
        <v>96.208933993290572</v>
      </c>
      <c r="EA12" s="45">
        <f t="shared" si="37"/>
        <v>-0.94243744477343283</v>
      </c>
      <c r="EB12" s="33">
        <f t="shared" si="85"/>
        <v>21.370459456473853</v>
      </c>
      <c r="EE12" s="60">
        <v>371.25626846062266</v>
      </c>
      <c r="EF12" s="60">
        <v>318.03906884435668</v>
      </c>
      <c r="EG12" s="60">
        <v>233.89144913019229</v>
      </c>
      <c r="EH12" s="50">
        <f t="shared" si="65"/>
        <v>-137.36481933043038</v>
      </c>
    </row>
    <row r="13" spans="1:138" ht="20.100000000000001" customHeight="1" x14ac:dyDescent="0.25">
      <c r="A13" s="73" t="s">
        <v>12</v>
      </c>
      <c r="B13" s="88"/>
      <c r="C13" s="120">
        <f t="shared" si="13"/>
        <v>456.99798580231436</v>
      </c>
      <c r="D13" s="97">
        <f t="shared" si="13"/>
        <v>431.12531818257122</v>
      </c>
      <c r="F13" s="8">
        <v>-0.14000000000000001</v>
      </c>
      <c r="G13" s="37">
        <f t="shared" si="38"/>
        <v>393.01826778999032</v>
      </c>
      <c r="H13" s="107">
        <v>-0.38</v>
      </c>
      <c r="I13" s="37">
        <f t="shared" si="39"/>
        <v>283.33875119743487</v>
      </c>
      <c r="J13" s="77">
        <f t="shared" si="14"/>
        <v>-0.59000000000000008</v>
      </c>
      <c r="K13" s="37">
        <f t="shared" si="15"/>
        <v>187.36917417894887</v>
      </c>
      <c r="L13" s="103">
        <v>-0.8</v>
      </c>
      <c r="M13" s="63">
        <f t="shared" si="40"/>
        <v>91.399597160462847</v>
      </c>
      <c r="O13" s="8">
        <v>-0.14000000000000001</v>
      </c>
      <c r="P13" s="37">
        <f t="shared" si="41"/>
        <v>393.01826778999032</v>
      </c>
      <c r="Q13" s="59">
        <v>-0.38</v>
      </c>
      <c r="R13" s="37">
        <f t="shared" si="42"/>
        <v>283.33875119743487</v>
      </c>
      <c r="S13" s="77">
        <f t="shared" si="16"/>
        <v>-0.59000000000000008</v>
      </c>
      <c r="T13" s="37">
        <f t="shared" si="43"/>
        <v>187.36917417894884</v>
      </c>
      <c r="U13" s="55">
        <v>-0.8</v>
      </c>
      <c r="V13" s="63">
        <f t="shared" si="44"/>
        <v>91.399597160462847</v>
      </c>
      <c r="X13" s="8">
        <v>-0.14000000000000001</v>
      </c>
      <c r="Y13" s="37">
        <f t="shared" si="66"/>
        <v>393.01826778999032</v>
      </c>
      <c r="Z13" s="235" t="s">
        <v>36</v>
      </c>
      <c r="AA13" s="236"/>
      <c r="AB13" s="237" t="s">
        <v>36</v>
      </c>
      <c r="AC13" s="238"/>
      <c r="AE13" s="8">
        <v>-0.14000000000000001</v>
      </c>
      <c r="AF13" s="37">
        <f t="shared" si="67"/>
        <v>393.01826778999032</v>
      </c>
      <c r="AG13" s="235" t="s">
        <v>36</v>
      </c>
      <c r="AH13" s="236"/>
      <c r="AI13" s="237" t="s">
        <v>36</v>
      </c>
      <c r="AJ13" s="238"/>
      <c r="AL13" s="8">
        <v>-0.14000000000000001</v>
      </c>
      <c r="AM13" s="37">
        <f t="shared" si="68"/>
        <v>393.01826778999032</v>
      </c>
      <c r="AN13" s="30">
        <v>-0.38</v>
      </c>
      <c r="AO13" s="37">
        <f t="shared" si="69"/>
        <v>283.33875119743487</v>
      </c>
      <c r="AP13" s="20">
        <v>-0.8</v>
      </c>
      <c r="AQ13" s="63">
        <f t="shared" si="70"/>
        <v>91.399597160462847</v>
      </c>
      <c r="AS13" s="8">
        <f t="shared" si="0"/>
        <v>-0.14000000000000001</v>
      </c>
      <c r="AT13" s="79">
        <f t="shared" si="17"/>
        <v>393.01826778999032</v>
      </c>
      <c r="AU13" s="107">
        <f t="shared" si="1"/>
        <v>-0.38</v>
      </c>
      <c r="AV13" s="37">
        <f t="shared" si="18"/>
        <v>283.33875119743487</v>
      </c>
      <c r="AW13" s="135">
        <f t="shared" si="2"/>
        <v>-0.59000000000000008</v>
      </c>
      <c r="AX13" s="79">
        <f t="shared" si="19"/>
        <v>187.36917417894884</v>
      </c>
      <c r="AY13" s="107">
        <f t="shared" si="3"/>
        <v>-0.8</v>
      </c>
      <c r="AZ13" s="63">
        <f t="shared" si="20"/>
        <v>91.399597160462847</v>
      </c>
      <c r="BB13" s="8">
        <f t="shared" si="45"/>
        <v>-0.14000000000000001</v>
      </c>
      <c r="BC13" s="79">
        <f t="shared" si="46"/>
        <v>393.01826778999032</v>
      </c>
      <c r="BD13" s="59">
        <f t="shared" si="47"/>
        <v>-0.38</v>
      </c>
      <c r="BE13" s="37">
        <f t="shared" si="48"/>
        <v>283.33875119743487</v>
      </c>
      <c r="BF13" s="77">
        <f t="shared" si="49"/>
        <v>-0.59000000000000008</v>
      </c>
      <c r="BG13" s="37">
        <f t="shared" si="50"/>
        <v>187.36917417894884</v>
      </c>
      <c r="BH13" s="55">
        <f t="shared" si="51"/>
        <v>-0.8</v>
      </c>
      <c r="BI13" s="63">
        <f t="shared" si="52"/>
        <v>91.399597160462847</v>
      </c>
      <c r="BK13" s="8">
        <v>-0.14000000000000001</v>
      </c>
      <c r="BL13" s="37">
        <f t="shared" si="71"/>
        <v>393.01826778999032</v>
      </c>
      <c r="BM13" s="30">
        <v>-0.38</v>
      </c>
      <c r="BN13" s="37">
        <f t="shared" si="72"/>
        <v>283.33875119743487</v>
      </c>
      <c r="BO13" s="20">
        <v>-0.8</v>
      </c>
      <c r="BP13" s="63">
        <f t="shared" si="73"/>
        <v>91.399597160462847</v>
      </c>
      <c r="BR13" s="8">
        <v>-0.14000000000000001</v>
      </c>
      <c r="BS13" s="37">
        <f t="shared" si="74"/>
        <v>393.01826778999032</v>
      </c>
      <c r="BT13" s="43">
        <f t="shared" si="82"/>
        <v>-0.48333333333333345</v>
      </c>
      <c r="BU13" s="44">
        <f t="shared" si="53"/>
        <v>236.1156259978624</v>
      </c>
      <c r="BV13" s="5">
        <f t="shared" si="83"/>
        <v>-0.90000000000000013</v>
      </c>
      <c r="BW13" s="64">
        <f t="shared" si="54"/>
        <v>45.699798580231374</v>
      </c>
      <c r="BY13" s="8">
        <v>-0.14000000000000001</v>
      </c>
      <c r="BZ13" s="37">
        <f t="shared" si="75"/>
        <v>393.01826778999032</v>
      </c>
      <c r="CA13" s="30">
        <v>-0.38</v>
      </c>
      <c r="CB13" s="37">
        <f t="shared" si="76"/>
        <v>283.33875119743487</v>
      </c>
      <c r="CC13" s="20">
        <v>-0.8</v>
      </c>
      <c r="CD13" s="63">
        <f t="shared" si="77"/>
        <v>91.399597160462847</v>
      </c>
      <c r="CE13" s="1"/>
      <c r="CF13" s="8">
        <v>-0.14000000000000001</v>
      </c>
      <c r="CG13" s="37">
        <f t="shared" si="78"/>
        <v>393.01826778999032</v>
      </c>
      <c r="CH13" s="43">
        <f t="shared" si="55"/>
        <v>-0.38000000000000012</v>
      </c>
      <c r="CI13" s="44">
        <f t="shared" si="56"/>
        <v>283.33875119743487</v>
      </c>
      <c r="CJ13" s="43">
        <f t="shared" si="22"/>
        <v>-0.86826802062358865</v>
      </c>
      <c r="CK13" s="64">
        <f t="shared" si="57"/>
        <v>60.201249240772007</v>
      </c>
      <c r="CM13" s="8">
        <f t="shared" si="4"/>
        <v>-0.14000000000000001</v>
      </c>
      <c r="CN13" s="79">
        <f t="shared" si="23"/>
        <v>393.01826778999032</v>
      </c>
      <c r="CO13" s="43">
        <f t="shared" si="5"/>
        <v>-0.38000000000000012</v>
      </c>
      <c r="CP13" s="44">
        <f t="shared" si="24"/>
        <v>283.33875119743487</v>
      </c>
      <c r="CQ13" s="5">
        <f t="shared" si="6"/>
        <v>-0.65892379815407753</v>
      </c>
      <c r="CR13" s="138">
        <f t="shared" si="25"/>
        <v>155.87113724869019</v>
      </c>
      <c r="CS13" s="43">
        <f t="shared" si="7"/>
        <v>-0.93784759630815495</v>
      </c>
      <c r="CT13" s="64">
        <f t="shared" si="26"/>
        <v>28.403523299945526</v>
      </c>
      <c r="CU13" s="1"/>
      <c r="CV13" s="8">
        <v>-0.14000000000000001</v>
      </c>
      <c r="CW13" s="37">
        <f t="shared" si="79"/>
        <v>393.01826778999032</v>
      </c>
      <c r="CX13" s="43">
        <f t="shared" si="58"/>
        <v>-0.38000000000000012</v>
      </c>
      <c r="CY13" s="44">
        <f t="shared" si="59"/>
        <v>283.33875119743487</v>
      </c>
      <c r="CZ13" s="43">
        <f t="shared" si="27"/>
        <v>-0.65892379815407753</v>
      </c>
      <c r="DA13" s="44">
        <f t="shared" si="28"/>
        <v>155.87113724869019</v>
      </c>
      <c r="DB13" s="43">
        <f t="shared" si="29"/>
        <v>-0.93784759630815495</v>
      </c>
      <c r="DC13" s="64">
        <f t="shared" si="60"/>
        <v>28.403523299945526</v>
      </c>
      <c r="DE13" s="8">
        <v>-0.14000000000000001</v>
      </c>
      <c r="DF13" s="37">
        <f t="shared" si="80"/>
        <v>393.01826778999032</v>
      </c>
      <c r="DG13" s="43">
        <f t="shared" si="61"/>
        <v>-0.49589932824836491</v>
      </c>
      <c r="DH13" s="44">
        <f t="shared" si="62"/>
        <v>230.37299163209087</v>
      </c>
      <c r="DI13" s="43">
        <f t="shared" si="30"/>
        <v>-0.87663917794067281</v>
      </c>
      <c r="DJ13" s="64">
        <f t="shared" si="84"/>
        <v>56.375647208030252</v>
      </c>
      <c r="DL13" s="8">
        <f t="shared" si="8"/>
        <v>-0.14000000000000001</v>
      </c>
      <c r="DM13" s="79">
        <f t="shared" si="31"/>
        <v>393.01826778999032</v>
      </c>
      <c r="DN13" s="43">
        <f t="shared" si="9"/>
        <v>-0.55384899237254714</v>
      </c>
      <c r="DO13" s="44">
        <f t="shared" si="32"/>
        <v>203.89011184941893</v>
      </c>
      <c r="DP13" s="5">
        <f t="shared" si="10"/>
        <v>-0.74905370848506969</v>
      </c>
      <c r="DQ13" s="138">
        <f t="shared" si="33"/>
        <v>114.68194976688358</v>
      </c>
      <c r="DR13" s="43">
        <f t="shared" si="11"/>
        <v>-0.94425842459759213</v>
      </c>
      <c r="DS13" s="64">
        <f t="shared" si="34"/>
        <v>25.473787684348224</v>
      </c>
      <c r="DU13" s="8">
        <v>-0.14000000000000001</v>
      </c>
      <c r="DV13" s="37">
        <f t="shared" si="81"/>
        <v>393.01826778999032</v>
      </c>
      <c r="DW13" s="43">
        <f t="shared" si="63"/>
        <v>-0.55384899237254714</v>
      </c>
      <c r="DX13" s="44">
        <f t="shared" si="64"/>
        <v>203.89011184941893</v>
      </c>
      <c r="DY13" s="43">
        <f t="shared" si="35"/>
        <v>-0.74905370848506969</v>
      </c>
      <c r="DZ13" s="44">
        <f t="shared" si="36"/>
        <v>114.68194976688358</v>
      </c>
      <c r="EA13" s="43">
        <f t="shared" si="37"/>
        <v>-0.94425842459759213</v>
      </c>
      <c r="EB13" s="64">
        <f t="shared" si="85"/>
        <v>25.473787684348224</v>
      </c>
      <c r="EE13" s="60">
        <v>456.99798580231436</v>
      </c>
      <c r="EF13" s="60">
        <v>431.12531818257122</v>
      </c>
      <c r="EG13" s="60">
        <v>283.33875119743487</v>
      </c>
      <c r="EH13" s="50">
        <f t="shared" si="65"/>
        <v>-173.65923460487949</v>
      </c>
    </row>
    <row r="14" spans="1:138" ht="20.100000000000001" customHeight="1" x14ac:dyDescent="0.25">
      <c r="A14" s="72" t="s">
        <v>13</v>
      </c>
      <c r="B14" s="87"/>
      <c r="C14" s="119">
        <f t="shared" si="13"/>
        <v>116.30256458529367</v>
      </c>
      <c r="D14" s="96">
        <f t="shared" si="13"/>
        <v>113.25331740070762</v>
      </c>
      <c r="F14" s="3">
        <v>-0.16</v>
      </c>
      <c r="G14" s="36">
        <f t="shared" si="38"/>
        <v>97.69415425164668</v>
      </c>
      <c r="H14" s="108">
        <v>-0.36</v>
      </c>
      <c r="I14" s="36">
        <f t="shared" si="39"/>
        <v>74.433641334587946</v>
      </c>
      <c r="J14" s="76">
        <f t="shared" si="14"/>
        <v>-0.58000000000000007</v>
      </c>
      <c r="K14" s="36">
        <f t="shared" si="15"/>
        <v>48.84707712582334</v>
      </c>
      <c r="L14" s="109">
        <v>-0.8</v>
      </c>
      <c r="M14" s="34">
        <f t="shared" si="40"/>
        <v>23.26051291705873</v>
      </c>
      <c r="O14" s="3">
        <v>-0.16</v>
      </c>
      <c r="P14" s="36">
        <f t="shared" si="41"/>
        <v>97.69415425164668</v>
      </c>
      <c r="Q14" s="56">
        <v>-0.36</v>
      </c>
      <c r="R14" s="36">
        <f t="shared" si="42"/>
        <v>74.433641334587946</v>
      </c>
      <c r="S14" s="76">
        <f t="shared" si="16"/>
        <v>-0.58000000000000007</v>
      </c>
      <c r="T14" s="36">
        <f t="shared" si="43"/>
        <v>48.847077125823333</v>
      </c>
      <c r="U14" s="54">
        <v>-0.8</v>
      </c>
      <c r="V14" s="34">
        <f t="shared" si="44"/>
        <v>23.26051291705873</v>
      </c>
      <c r="X14" s="3">
        <v>-0.16</v>
      </c>
      <c r="Y14" s="36">
        <f t="shared" si="66"/>
        <v>97.69415425164668</v>
      </c>
      <c r="Z14" s="255" t="s">
        <v>36</v>
      </c>
      <c r="AA14" s="256"/>
      <c r="AB14" s="254" t="s">
        <v>36</v>
      </c>
      <c r="AC14" s="254"/>
      <c r="AE14" s="3">
        <v>-0.16</v>
      </c>
      <c r="AF14" s="36">
        <f t="shared" si="67"/>
        <v>97.69415425164668</v>
      </c>
      <c r="AG14" s="255" t="s">
        <v>36</v>
      </c>
      <c r="AH14" s="256"/>
      <c r="AI14" s="254" t="s">
        <v>36</v>
      </c>
      <c r="AJ14" s="254"/>
      <c r="AL14" s="3">
        <v>-0.16</v>
      </c>
      <c r="AM14" s="36">
        <f t="shared" si="68"/>
        <v>97.69415425164668</v>
      </c>
      <c r="AN14" s="31">
        <v>-0.36</v>
      </c>
      <c r="AO14" s="36">
        <f t="shared" si="69"/>
        <v>74.433641334587946</v>
      </c>
      <c r="AP14" s="19">
        <v>-0.8</v>
      </c>
      <c r="AQ14" s="34">
        <f t="shared" si="70"/>
        <v>23.26051291705873</v>
      </c>
      <c r="AS14" s="3">
        <f t="shared" si="0"/>
        <v>-0.16</v>
      </c>
      <c r="AT14" s="18">
        <f t="shared" si="17"/>
        <v>97.69415425164668</v>
      </c>
      <c r="AU14" s="108">
        <f t="shared" si="1"/>
        <v>-0.36</v>
      </c>
      <c r="AV14" s="36">
        <f t="shared" si="18"/>
        <v>74.433641334587946</v>
      </c>
      <c r="AW14" s="136">
        <f t="shared" si="2"/>
        <v>-0.58000000000000007</v>
      </c>
      <c r="AX14" s="18">
        <f t="shared" si="19"/>
        <v>48.847077125823333</v>
      </c>
      <c r="AY14" s="108">
        <f t="shared" si="3"/>
        <v>-0.8</v>
      </c>
      <c r="AZ14" s="34">
        <f t="shared" si="20"/>
        <v>23.26051291705873</v>
      </c>
      <c r="BB14" s="3">
        <f t="shared" si="45"/>
        <v>-0.16</v>
      </c>
      <c r="BC14" s="18">
        <f t="shared" si="46"/>
        <v>97.69415425164668</v>
      </c>
      <c r="BD14" s="56">
        <f t="shared" si="47"/>
        <v>-0.36</v>
      </c>
      <c r="BE14" s="36">
        <f t="shared" si="48"/>
        <v>74.433641334587946</v>
      </c>
      <c r="BF14" s="76">
        <f t="shared" si="49"/>
        <v>-0.58000000000000007</v>
      </c>
      <c r="BG14" s="36">
        <f t="shared" si="50"/>
        <v>48.847077125823333</v>
      </c>
      <c r="BH14" s="54">
        <f t="shared" si="51"/>
        <v>-0.8</v>
      </c>
      <c r="BI14" s="34">
        <f t="shared" si="52"/>
        <v>23.26051291705873</v>
      </c>
      <c r="BK14" s="3">
        <v>-0.16</v>
      </c>
      <c r="BL14" s="36">
        <f t="shared" si="71"/>
        <v>97.69415425164668</v>
      </c>
      <c r="BM14" s="31">
        <v>-0.36</v>
      </c>
      <c r="BN14" s="36">
        <f t="shared" si="72"/>
        <v>74.433641334587946</v>
      </c>
      <c r="BO14" s="19">
        <v>-0.8</v>
      </c>
      <c r="BP14" s="34">
        <f t="shared" si="73"/>
        <v>23.26051291705873</v>
      </c>
      <c r="BR14" s="3">
        <v>-0.16</v>
      </c>
      <c r="BS14" s="36">
        <f t="shared" si="74"/>
        <v>97.69415425164668</v>
      </c>
      <c r="BT14" s="45">
        <f t="shared" si="82"/>
        <v>-0.46666666666666673</v>
      </c>
      <c r="BU14" s="46">
        <f t="shared" si="53"/>
        <v>62.028034445489943</v>
      </c>
      <c r="BV14" s="6">
        <f t="shared" si="83"/>
        <v>-0.90000000000000013</v>
      </c>
      <c r="BW14" s="33">
        <f t="shared" si="54"/>
        <v>11.630256458529351</v>
      </c>
      <c r="BY14" s="3">
        <v>-0.16</v>
      </c>
      <c r="BZ14" s="36">
        <f t="shared" si="75"/>
        <v>97.69415425164668</v>
      </c>
      <c r="CA14" s="31">
        <v>-0.36</v>
      </c>
      <c r="CB14" s="36">
        <f t="shared" si="76"/>
        <v>74.433641334587946</v>
      </c>
      <c r="CC14" s="19">
        <v>-0.8</v>
      </c>
      <c r="CD14" s="34">
        <f t="shared" si="77"/>
        <v>23.26051291705873</v>
      </c>
      <c r="CE14" s="1"/>
      <c r="CF14" s="3">
        <v>-0.16</v>
      </c>
      <c r="CG14" s="36">
        <f t="shared" si="78"/>
        <v>97.69415425164668</v>
      </c>
      <c r="CH14" s="45">
        <f t="shared" si="55"/>
        <v>-0.36</v>
      </c>
      <c r="CI14" s="46">
        <f t="shared" si="56"/>
        <v>74.433641334587946</v>
      </c>
      <c r="CJ14" s="45">
        <f t="shared" si="22"/>
        <v>-0.86401860193402702</v>
      </c>
      <c r="CK14" s="33">
        <f t="shared" si="57"/>
        <v>15.814985330966355</v>
      </c>
      <c r="CM14" s="3">
        <f t="shared" si="4"/>
        <v>-0.16</v>
      </c>
      <c r="CN14" s="18">
        <f t="shared" si="23"/>
        <v>97.69415425164668</v>
      </c>
      <c r="CO14" s="45">
        <f t="shared" si="5"/>
        <v>-0.36</v>
      </c>
      <c r="CP14" s="46">
        <f t="shared" si="24"/>
        <v>74.433641334587946</v>
      </c>
      <c r="CQ14" s="6">
        <f t="shared" si="6"/>
        <v>-0.64792134003001545</v>
      </c>
      <c r="CR14" s="134">
        <f t="shared" si="25"/>
        <v>40.947651090262774</v>
      </c>
      <c r="CS14" s="45">
        <f t="shared" si="7"/>
        <v>-0.93584268006003091</v>
      </c>
      <c r="CT14" s="33">
        <f t="shared" si="26"/>
        <v>7.4616608459376073</v>
      </c>
      <c r="CU14" s="1"/>
      <c r="CV14" s="3">
        <v>-0.16</v>
      </c>
      <c r="CW14" s="36">
        <f t="shared" si="79"/>
        <v>97.69415425164668</v>
      </c>
      <c r="CX14" s="45">
        <f t="shared" si="58"/>
        <v>-0.36</v>
      </c>
      <c r="CY14" s="46">
        <f t="shared" si="59"/>
        <v>74.433641334587946</v>
      </c>
      <c r="CZ14" s="45">
        <f t="shared" si="27"/>
        <v>-0.64792134003001545</v>
      </c>
      <c r="DA14" s="46">
        <f t="shared" si="28"/>
        <v>40.947651090262774</v>
      </c>
      <c r="DB14" s="45">
        <f t="shared" si="29"/>
        <v>-0.93584268006003091</v>
      </c>
      <c r="DC14" s="33">
        <f t="shared" si="60"/>
        <v>7.4616608459376073</v>
      </c>
      <c r="DE14" s="3">
        <v>-0.16</v>
      </c>
      <c r="DF14" s="36">
        <f t="shared" si="80"/>
        <v>97.69415425164668</v>
      </c>
      <c r="DG14" s="45">
        <f t="shared" si="61"/>
        <v>-0.46979936360371399</v>
      </c>
      <c r="DH14" s="46">
        <f t="shared" si="62"/>
        <v>61.663693757642854</v>
      </c>
      <c r="DI14" s="45">
        <f t="shared" si="30"/>
        <v>-0.87025213409267366</v>
      </c>
      <c r="DJ14" s="33">
        <f t="shared" si="84"/>
        <v>15.090009554490846</v>
      </c>
      <c r="DL14" s="3">
        <f t="shared" si="8"/>
        <v>-0.16</v>
      </c>
      <c r="DM14" s="18">
        <f t="shared" si="31"/>
        <v>97.69415425164668</v>
      </c>
      <c r="DN14" s="45">
        <f t="shared" si="9"/>
        <v>-0.52469904540557089</v>
      </c>
      <c r="DO14" s="46">
        <f t="shared" si="32"/>
        <v>55.278719969170325</v>
      </c>
      <c r="DP14" s="6">
        <f t="shared" si="10"/>
        <v>-0.73265775517742215</v>
      </c>
      <c r="DQ14" s="134">
        <f t="shared" si="33"/>
        <v>31.092588694855252</v>
      </c>
      <c r="DR14" s="45">
        <f t="shared" si="11"/>
        <v>-0.94061646494927342</v>
      </c>
      <c r="DS14" s="33">
        <f t="shared" si="34"/>
        <v>6.9064574205401748</v>
      </c>
      <c r="DU14" s="3">
        <v>-0.16</v>
      </c>
      <c r="DV14" s="36">
        <f t="shared" si="81"/>
        <v>97.69415425164668</v>
      </c>
      <c r="DW14" s="45">
        <f t="shared" si="63"/>
        <v>-0.52469904540557089</v>
      </c>
      <c r="DX14" s="46">
        <f t="shared" si="64"/>
        <v>55.278719969170325</v>
      </c>
      <c r="DY14" s="45">
        <f t="shared" si="35"/>
        <v>-0.73265775517742215</v>
      </c>
      <c r="DZ14" s="46">
        <f t="shared" si="36"/>
        <v>31.092588694855252</v>
      </c>
      <c r="EA14" s="45">
        <f t="shared" si="37"/>
        <v>-0.94061646494927342</v>
      </c>
      <c r="EB14" s="33">
        <f t="shared" si="85"/>
        <v>6.9064574205401748</v>
      </c>
      <c r="EE14" s="60">
        <v>116.30256458529367</v>
      </c>
      <c r="EF14" s="60">
        <v>113.25331740070762</v>
      </c>
      <c r="EG14" s="60">
        <v>74.433641334587946</v>
      </c>
      <c r="EH14" s="50">
        <f t="shared" si="65"/>
        <v>-41.86892325070572</v>
      </c>
    </row>
    <row r="15" spans="1:138" ht="20.100000000000001" customHeight="1" x14ac:dyDescent="0.25">
      <c r="A15" s="69" t="s">
        <v>14</v>
      </c>
      <c r="B15" s="84"/>
      <c r="C15" s="119">
        <f t="shared" si="13"/>
        <v>76.607053547742652</v>
      </c>
      <c r="D15" s="96">
        <f t="shared" si="13"/>
        <v>71.89596836154935</v>
      </c>
      <c r="F15" s="3">
        <v>-0.15</v>
      </c>
      <c r="G15" s="36">
        <f t="shared" si="38"/>
        <v>65.115995515581247</v>
      </c>
      <c r="H15" s="108">
        <v>-0.35</v>
      </c>
      <c r="I15" s="36">
        <f t="shared" si="39"/>
        <v>49.794584806032724</v>
      </c>
      <c r="J15" s="76">
        <f t="shared" si="14"/>
        <v>-0.57499999999999996</v>
      </c>
      <c r="K15" s="36">
        <f t="shared" si="15"/>
        <v>32.557997757790623</v>
      </c>
      <c r="L15" s="109">
        <v>-0.8</v>
      </c>
      <c r="M15" s="34">
        <f t="shared" si="40"/>
        <v>15.321410709548527</v>
      </c>
      <c r="O15" s="3">
        <v>-0.15</v>
      </c>
      <c r="P15" s="36">
        <f t="shared" si="41"/>
        <v>65.115995515581247</v>
      </c>
      <c r="Q15" s="56">
        <v>-0.35</v>
      </c>
      <c r="R15" s="36">
        <f t="shared" si="42"/>
        <v>49.794584806032724</v>
      </c>
      <c r="S15" s="76">
        <f t="shared" si="16"/>
        <v>-0.57499999999999996</v>
      </c>
      <c r="T15" s="36">
        <f t="shared" si="43"/>
        <v>32.557997757790631</v>
      </c>
      <c r="U15" s="54">
        <v>-0.8</v>
      </c>
      <c r="V15" s="34">
        <f t="shared" si="44"/>
        <v>15.321410709548527</v>
      </c>
      <c r="X15" s="3">
        <v>-0.15</v>
      </c>
      <c r="Y15" s="36">
        <f t="shared" si="66"/>
        <v>65.115995515581247</v>
      </c>
      <c r="Z15" s="255" t="s">
        <v>36</v>
      </c>
      <c r="AA15" s="256"/>
      <c r="AB15" s="254" t="s">
        <v>36</v>
      </c>
      <c r="AC15" s="254"/>
      <c r="AE15" s="3">
        <v>-0.15</v>
      </c>
      <c r="AF15" s="36">
        <f t="shared" si="67"/>
        <v>65.115995515581247</v>
      </c>
      <c r="AG15" s="255" t="s">
        <v>36</v>
      </c>
      <c r="AH15" s="256"/>
      <c r="AI15" s="254" t="s">
        <v>36</v>
      </c>
      <c r="AJ15" s="254"/>
      <c r="AL15" s="3">
        <v>-0.15</v>
      </c>
      <c r="AM15" s="36">
        <f t="shared" si="68"/>
        <v>65.115995515581247</v>
      </c>
      <c r="AN15" s="31">
        <v>-0.35</v>
      </c>
      <c r="AO15" s="36">
        <f t="shared" si="69"/>
        <v>49.794584806032724</v>
      </c>
      <c r="AP15" s="19">
        <v>-0.8</v>
      </c>
      <c r="AQ15" s="34">
        <f t="shared" si="70"/>
        <v>15.321410709548527</v>
      </c>
      <c r="AS15" s="3">
        <f t="shared" si="0"/>
        <v>-0.15</v>
      </c>
      <c r="AT15" s="18">
        <f t="shared" si="17"/>
        <v>65.115995515581247</v>
      </c>
      <c r="AU15" s="108">
        <f t="shared" si="1"/>
        <v>-0.35</v>
      </c>
      <c r="AV15" s="36">
        <f t="shared" si="18"/>
        <v>49.794584806032724</v>
      </c>
      <c r="AW15" s="136">
        <f t="shared" si="2"/>
        <v>-0.57499999999999996</v>
      </c>
      <c r="AX15" s="18">
        <f t="shared" si="19"/>
        <v>32.557997757790631</v>
      </c>
      <c r="AY15" s="108">
        <f t="shared" si="3"/>
        <v>-0.8</v>
      </c>
      <c r="AZ15" s="34">
        <f t="shared" si="20"/>
        <v>15.321410709548527</v>
      </c>
      <c r="BB15" s="3">
        <f t="shared" si="45"/>
        <v>-0.15</v>
      </c>
      <c r="BC15" s="18">
        <f t="shared" si="46"/>
        <v>65.115995515581247</v>
      </c>
      <c r="BD15" s="56">
        <f t="shared" si="47"/>
        <v>-0.35</v>
      </c>
      <c r="BE15" s="36">
        <f t="shared" si="48"/>
        <v>49.794584806032724</v>
      </c>
      <c r="BF15" s="76">
        <f t="shared" si="49"/>
        <v>-0.57499999999999996</v>
      </c>
      <c r="BG15" s="36">
        <f t="shared" si="50"/>
        <v>32.557997757790631</v>
      </c>
      <c r="BH15" s="54">
        <f t="shared" si="51"/>
        <v>-0.8</v>
      </c>
      <c r="BI15" s="34">
        <f t="shared" si="52"/>
        <v>15.321410709548527</v>
      </c>
      <c r="BK15" s="3">
        <v>-0.15</v>
      </c>
      <c r="BL15" s="36">
        <f t="shared" si="71"/>
        <v>65.115995515581247</v>
      </c>
      <c r="BM15" s="31">
        <v>-0.35</v>
      </c>
      <c r="BN15" s="36">
        <f t="shared" si="72"/>
        <v>49.794584806032724</v>
      </c>
      <c r="BO15" s="19">
        <v>-0.8</v>
      </c>
      <c r="BP15" s="34">
        <f t="shared" si="73"/>
        <v>15.321410709548527</v>
      </c>
      <c r="BR15" s="3">
        <v>-0.15</v>
      </c>
      <c r="BS15" s="36">
        <f t="shared" si="74"/>
        <v>65.115995515581247</v>
      </c>
      <c r="BT15" s="45">
        <f t="shared" si="82"/>
        <v>-0.45833333333333343</v>
      </c>
      <c r="BU15" s="46">
        <f t="shared" si="53"/>
        <v>41.49548733836059</v>
      </c>
      <c r="BV15" s="6">
        <f t="shared" si="83"/>
        <v>-0.90000000000000013</v>
      </c>
      <c r="BW15" s="33">
        <f t="shared" si="54"/>
        <v>7.6607053547742554</v>
      </c>
      <c r="BY15" s="3">
        <v>-0.15</v>
      </c>
      <c r="BZ15" s="36">
        <f t="shared" si="75"/>
        <v>65.115995515581247</v>
      </c>
      <c r="CA15" s="31">
        <v>-0.35</v>
      </c>
      <c r="CB15" s="36">
        <f t="shared" si="76"/>
        <v>49.794584806032724</v>
      </c>
      <c r="CC15" s="19">
        <v>-0.8</v>
      </c>
      <c r="CD15" s="34">
        <f t="shared" si="77"/>
        <v>15.321410709548527</v>
      </c>
      <c r="CE15" s="1"/>
      <c r="CF15" s="3">
        <v>-0.15</v>
      </c>
      <c r="CG15" s="36">
        <f t="shared" si="78"/>
        <v>65.115995515581247</v>
      </c>
      <c r="CH15" s="45">
        <f t="shared" si="55"/>
        <v>-0.35</v>
      </c>
      <c r="CI15" s="46">
        <f t="shared" si="56"/>
        <v>49.794584806032724</v>
      </c>
      <c r="CJ15" s="45">
        <f t="shared" si="22"/>
        <v>-0.86189389258924609</v>
      </c>
      <c r="CK15" s="33">
        <f t="shared" si="57"/>
        <v>10.579901965685918</v>
      </c>
      <c r="CM15" s="3">
        <f t="shared" si="4"/>
        <v>-0.15</v>
      </c>
      <c r="CN15" s="18">
        <f t="shared" si="23"/>
        <v>65.115995515581247</v>
      </c>
      <c r="CO15" s="45">
        <f t="shared" si="5"/>
        <v>-0.35</v>
      </c>
      <c r="CP15" s="46">
        <f t="shared" si="24"/>
        <v>49.794584806032724</v>
      </c>
      <c r="CQ15" s="6">
        <f t="shared" si="6"/>
        <v>-0.64242011096798435</v>
      </c>
      <c r="CR15" s="134">
        <f t="shared" si="25"/>
        <v>27.393141706671493</v>
      </c>
      <c r="CS15" s="45">
        <f t="shared" si="7"/>
        <v>-0.93484022193596883</v>
      </c>
      <c r="CT15" s="33">
        <f t="shared" si="26"/>
        <v>4.9916986073102603</v>
      </c>
      <c r="CU15" s="1"/>
      <c r="CV15" s="3">
        <v>-0.15</v>
      </c>
      <c r="CW15" s="36">
        <f t="shared" si="79"/>
        <v>65.115995515581247</v>
      </c>
      <c r="CX15" s="45">
        <f t="shared" si="58"/>
        <v>-0.35</v>
      </c>
      <c r="CY15" s="46">
        <f t="shared" si="59"/>
        <v>49.794584806032724</v>
      </c>
      <c r="CZ15" s="45">
        <f t="shared" si="27"/>
        <v>-0.64242011096798435</v>
      </c>
      <c r="DA15" s="46">
        <f t="shared" si="28"/>
        <v>27.393141706671493</v>
      </c>
      <c r="DB15" s="45">
        <f t="shared" si="29"/>
        <v>-0.93484022193596883</v>
      </c>
      <c r="DC15" s="33">
        <f t="shared" si="60"/>
        <v>4.9916986073102603</v>
      </c>
      <c r="DE15" s="3">
        <v>-0.15</v>
      </c>
      <c r="DF15" s="36">
        <f t="shared" si="80"/>
        <v>65.115995515581247</v>
      </c>
      <c r="DG15" s="45">
        <f t="shared" si="61"/>
        <v>-0.45674938128138864</v>
      </c>
      <c r="DH15" s="46">
        <f t="shared" si="62"/>
        <v>41.616829238020991</v>
      </c>
      <c r="DI15" s="45">
        <f t="shared" si="30"/>
        <v>-0.86705861216867408</v>
      </c>
      <c r="DJ15" s="33">
        <f t="shared" si="84"/>
        <v>10.184248016305608</v>
      </c>
      <c r="DL15" s="3">
        <f t="shared" si="8"/>
        <v>-0.15</v>
      </c>
      <c r="DM15" s="18">
        <f t="shared" si="31"/>
        <v>65.115995515581247</v>
      </c>
      <c r="DN15" s="45">
        <f t="shared" si="9"/>
        <v>-0.51012407192208287</v>
      </c>
      <c r="DO15" s="46">
        <f t="shared" si="32"/>
        <v>37.527951454015124</v>
      </c>
      <c r="DP15" s="6">
        <f t="shared" si="10"/>
        <v>-0.72445977852359844</v>
      </c>
      <c r="DQ15" s="134">
        <f t="shared" si="33"/>
        <v>21.108324501199558</v>
      </c>
      <c r="DR15" s="45">
        <f t="shared" si="11"/>
        <v>-0.93879548512511413</v>
      </c>
      <c r="DS15" s="33">
        <f t="shared" si="34"/>
        <v>4.6886975483839928</v>
      </c>
      <c r="DU15" s="3">
        <v>-0.15</v>
      </c>
      <c r="DV15" s="36">
        <f t="shared" si="81"/>
        <v>65.115995515581247</v>
      </c>
      <c r="DW15" s="45">
        <f t="shared" si="63"/>
        <v>-0.51012407192208287</v>
      </c>
      <c r="DX15" s="46">
        <f t="shared" si="64"/>
        <v>37.527951454015124</v>
      </c>
      <c r="DY15" s="45">
        <f t="shared" si="35"/>
        <v>-0.72445977852359844</v>
      </c>
      <c r="DZ15" s="46">
        <f t="shared" si="36"/>
        <v>21.108324501199558</v>
      </c>
      <c r="EA15" s="45">
        <f t="shared" si="37"/>
        <v>-0.93879548512511413</v>
      </c>
      <c r="EB15" s="33">
        <f t="shared" si="85"/>
        <v>4.6886975483839928</v>
      </c>
      <c r="EE15" s="60">
        <v>76.607053547742652</v>
      </c>
      <c r="EF15" s="60">
        <v>71.89596836154935</v>
      </c>
      <c r="EG15" s="60">
        <v>49.794584806032724</v>
      </c>
      <c r="EH15" s="50">
        <f t="shared" si="65"/>
        <v>-26.812468741709928</v>
      </c>
    </row>
    <row r="16" spans="1:138" ht="20.100000000000001" customHeight="1" x14ac:dyDescent="0.25">
      <c r="A16" s="72" t="s">
        <v>15</v>
      </c>
      <c r="B16" s="87"/>
      <c r="C16" s="119">
        <f t="shared" si="13"/>
        <v>9.985399279015807</v>
      </c>
      <c r="D16" s="96">
        <f t="shared" si="13"/>
        <v>9.6177830150124066</v>
      </c>
      <c r="F16" s="3">
        <v>-0.2</v>
      </c>
      <c r="G16" s="36">
        <f t="shared" si="38"/>
        <v>7.988319423212646</v>
      </c>
      <c r="H16" s="108">
        <v>-0.4</v>
      </c>
      <c r="I16" s="36">
        <f t="shared" si="39"/>
        <v>5.991239567409484</v>
      </c>
      <c r="J16" s="76">
        <f t="shared" si="14"/>
        <v>-0.60000000000000009</v>
      </c>
      <c r="K16" s="36">
        <f t="shared" si="15"/>
        <v>3.9941597116063225</v>
      </c>
      <c r="L16" s="109">
        <v>-0.8</v>
      </c>
      <c r="M16" s="34">
        <f t="shared" si="40"/>
        <v>1.9970798558031611</v>
      </c>
      <c r="O16" s="3">
        <v>-0.2</v>
      </c>
      <c r="P16" s="36">
        <f t="shared" si="41"/>
        <v>7.988319423212646</v>
      </c>
      <c r="Q16" s="56">
        <v>-0.4</v>
      </c>
      <c r="R16" s="36">
        <f t="shared" si="42"/>
        <v>5.991239567409484</v>
      </c>
      <c r="S16" s="76">
        <f t="shared" si="16"/>
        <v>-0.60000000000000009</v>
      </c>
      <c r="T16" s="36">
        <f t="shared" si="43"/>
        <v>3.9941597116063221</v>
      </c>
      <c r="U16" s="54">
        <v>-0.8</v>
      </c>
      <c r="V16" s="34">
        <f t="shared" si="44"/>
        <v>1.9970798558031611</v>
      </c>
      <c r="X16" s="3">
        <v>-0.2</v>
      </c>
      <c r="Y16" s="36">
        <f t="shared" si="66"/>
        <v>7.988319423212646</v>
      </c>
      <c r="Z16" s="255" t="s">
        <v>36</v>
      </c>
      <c r="AA16" s="256"/>
      <c r="AB16" s="254" t="s">
        <v>36</v>
      </c>
      <c r="AC16" s="254"/>
      <c r="AE16" s="3">
        <v>-0.2</v>
      </c>
      <c r="AF16" s="36">
        <f t="shared" si="67"/>
        <v>7.988319423212646</v>
      </c>
      <c r="AG16" s="255" t="s">
        <v>36</v>
      </c>
      <c r="AH16" s="256"/>
      <c r="AI16" s="254" t="s">
        <v>36</v>
      </c>
      <c r="AJ16" s="254"/>
      <c r="AL16" s="3">
        <v>-0.2</v>
      </c>
      <c r="AM16" s="36">
        <f t="shared" si="68"/>
        <v>7.988319423212646</v>
      </c>
      <c r="AN16" s="31">
        <v>-0.4</v>
      </c>
      <c r="AO16" s="36">
        <f t="shared" si="69"/>
        <v>5.991239567409484</v>
      </c>
      <c r="AP16" s="19">
        <v>-0.8</v>
      </c>
      <c r="AQ16" s="34">
        <f t="shared" si="70"/>
        <v>1.9970798558031611</v>
      </c>
      <c r="AS16" s="3">
        <f t="shared" si="0"/>
        <v>-0.2</v>
      </c>
      <c r="AT16" s="18">
        <f t="shared" si="17"/>
        <v>7.988319423212646</v>
      </c>
      <c r="AU16" s="108">
        <f t="shared" si="1"/>
        <v>-0.4</v>
      </c>
      <c r="AV16" s="36">
        <f t="shared" si="18"/>
        <v>5.991239567409484</v>
      </c>
      <c r="AW16" s="136">
        <f t="shared" si="2"/>
        <v>-0.60000000000000009</v>
      </c>
      <c r="AX16" s="18">
        <f t="shared" si="19"/>
        <v>3.9941597116063221</v>
      </c>
      <c r="AY16" s="108">
        <f t="shared" si="3"/>
        <v>-0.8</v>
      </c>
      <c r="AZ16" s="34">
        <f t="shared" si="20"/>
        <v>1.9970798558031611</v>
      </c>
      <c r="BB16" s="3">
        <f t="shared" si="45"/>
        <v>-0.2</v>
      </c>
      <c r="BC16" s="18">
        <f t="shared" si="46"/>
        <v>7.988319423212646</v>
      </c>
      <c r="BD16" s="56">
        <f t="shared" si="47"/>
        <v>-0.4</v>
      </c>
      <c r="BE16" s="36">
        <f t="shared" si="48"/>
        <v>5.991239567409484</v>
      </c>
      <c r="BF16" s="76">
        <f t="shared" si="49"/>
        <v>-0.60000000000000009</v>
      </c>
      <c r="BG16" s="36">
        <f t="shared" si="50"/>
        <v>3.9941597116063221</v>
      </c>
      <c r="BH16" s="54">
        <f t="shared" si="51"/>
        <v>-0.8</v>
      </c>
      <c r="BI16" s="34">
        <f t="shared" si="52"/>
        <v>1.9970798558031611</v>
      </c>
      <c r="BK16" s="3">
        <v>-0.2</v>
      </c>
      <c r="BL16" s="36">
        <f t="shared" si="71"/>
        <v>7.988319423212646</v>
      </c>
      <c r="BM16" s="31">
        <v>-0.4</v>
      </c>
      <c r="BN16" s="36">
        <f t="shared" si="72"/>
        <v>5.991239567409484</v>
      </c>
      <c r="BO16" s="19">
        <v>-0.8</v>
      </c>
      <c r="BP16" s="34">
        <f t="shared" si="73"/>
        <v>1.9970798558031611</v>
      </c>
      <c r="BR16" s="3">
        <v>-0.2</v>
      </c>
      <c r="BS16" s="36">
        <f t="shared" si="74"/>
        <v>7.988319423212646</v>
      </c>
      <c r="BT16" s="45">
        <f t="shared" si="82"/>
        <v>-0.50000000000000011</v>
      </c>
      <c r="BU16" s="46">
        <f t="shared" si="53"/>
        <v>4.9926996395079026</v>
      </c>
      <c r="BV16" s="6">
        <f t="shared" si="83"/>
        <v>-0.90000000000000013</v>
      </c>
      <c r="BW16" s="33">
        <f t="shared" si="54"/>
        <v>0.99853992790157942</v>
      </c>
      <c r="BY16" s="3">
        <v>-0.2</v>
      </c>
      <c r="BZ16" s="36">
        <f t="shared" si="75"/>
        <v>7.988319423212646</v>
      </c>
      <c r="CA16" s="31">
        <v>-0.4</v>
      </c>
      <c r="CB16" s="36">
        <f t="shared" si="76"/>
        <v>5.991239567409484</v>
      </c>
      <c r="CC16" s="19">
        <v>-0.8</v>
      </c>
      <c r="CD16" s="34">
        <f t="shared" si="77"/>
        <v>1.9970798558031611</v>
      </c>
      <c r="CE16" s="1"/>
      <c r="CF16" s="3">
        <v>-0.2</v>
      </c>
      <c r="CG16" s="36">
        <f t="shared" si="78"/>
        <v>7.988319423212646</v>
      </c>
      <c r="CH16" s="45">
        <f t="shared" si="55"/>
        <v>-0.4</v>
      </c>
      <c r="CI16" s="46">
        <f t="shared" si="56"/>
        <v>5.991239567409484</v>
      </c>
      <c r="CJ16" s="45">
        <f t="shared" si="22"/>
        <v>-0.87251743931315029</v>
      </c>
      <c r="CK16" s="33">
        <f t="shared" si="57"/>
        <v>1.272964269569558</v>
      </c>
      <c r="CM16" s="3">
        <f t="shared" si="4"/>
        <v>-0.2</v>
      </c>
      <c r="CN16" s="18">
        <f t="shared" si="23"/>
        <v>7.988319423212646</v>
      </c>
      <c r="CO16" s="45">
        <f t="shared" si="5"/>
        <v>-0.4</v>
      </c>
      <c r="CP16" s="46">
        <f t="shared" si="24"/>
        <v>5.991239567409484</v>
      </c>
      <c r="CQ16" s="6">
        <f t="shared" si="6"/>
        <v>-0.66992625627813951</v>
      </c>
      <c r="CR16" s="134">
        <f t="shared" si="25"/>
        <v>3.2959181225823144</v>
      </c>
      <c r="CS16" s="45">
        <f t="shared" si="7"/>
        <v>-0.939852512556279</v>
      </c>
      <c r="CT16" s="33">
        <f t="shared" si="26"/>
        <v>0.60059667775514447</v>
      </c>
      <c r="CU16" s="1"/>
      <c r="CV16" s="3">
        <v>-0.2</v>
      </c>
      <c r="CW16" s="36">
        <f t="shared" si="79"/>
        <v>7.988319423212646</v>
      </c>
      <c r="CX16" s="45">
        <f t="shared" si="58"/>
        <v>-0.4</v>
      </c>
      <c r="CY16" s="46">
        <f t="shared" si="59"/>
        <v>5.991239567409484</v>
      </c>
      <c r="CZ16" s="45">
        <f t="shared" si="27"/>
        <v>-0.66992625627813951</v>
      </c>
      <c r="DA16" s="46">
        <f t="shared" si="28"/>
        <v>3.2959181225823144</v>
      </c>
      <c r="DB16" s="45">
        <f t="shared" si="29"/>
        <v>-0.939852512556279</v>
      </c>
      <c r="DC16" s="33">
        <f t="shared" si="60"/>
        <v>0.60059667775514447</v>
      </c>
      <c r="DE16" s="3">
        <v>-0.2</v>
      </c>
      <c r="DF16" s="36">
        <f t="shared" si="80"/>
        <v>7.988319423212646</v>
      </c>
      <c r="DG16" s="45">
        <f t="shared" si="61"/>
        <v>-0.52199929289301561</v>
      </c>
      <c r="DH16" s="46">
        <f t="shared" si="62"/>
        <v>4.7730279161151277</v>
      </c>
      <c r="DI16" s="45">
        <f t="shared" si="30"/>
        <v>-0.88302622178867185</v>
      </c>
      <c r="DJ16" s="33">
        <f t="shared" si="84"/>
        <v>1.1680298806151508</v>
      </c>
      <c r="DL16" s="3">
        <f t="shared" si="8"/>
        <v>-0.2</v>
      </c>
      <c r="DM16" s="18">
        <f t="shared" si="31"/>
        <v>7.988319423212646</v>
      </c>
      <c r="DN16" s="45">
        <f t="shared" si="9"/>
        <v>-0.58299893933952329</v>
      </c>
      <c r="DO16" s="46">
        <f t="shared" si="32"/>
        <v>4.1639220904679508</v>
      </c>
      <c r="DP16" s="6">
        <f t="shared" si="10"/>
        <v>-0.76544966179271712</v>
      </c>
      <c r="DQ16" s="134">
        <f t="shared" si="33"/>
        <v>2.3420787780279171</v>
      </c>
      <c r="DR16" s="45">
        <f t="shared" si="11"/>
        <v>-0.94790038424591083</v>
      </c>
      <c r="DS16" s="33">
        <f t="shared" si="34"/>
        <v>0.52023546558788303</v>
      </c>
      <c r="DU16" s="3">
        <v>-0.2</v>
      </c>
      <c r="DV16" s="36">
        <f t="shared" si="81"/>
        <v>7.988319423212646</v>
      </c>
      <c r="DW16" s="45">
        <f t="shared" si="63"/>
        <v>-0.58299893933952329</v>
      </c>
      <c r="DX16" s="46">
        <f t="shared" si="64"/>
        <v>4.1639220904679508</v>
      </c>
      <c r="DY16" s="45">
        <f t="shared" si="35"/>
        <v>-0.76544966179271712</v>
      </c>
      <c r="DZ16" s="46">
        <f t="shared" si="36"/>
        <v>2.3420787780279171</v>
      </c>
      <c r="EA16" s="45">
        <f t="shared" si="37"/>
        <v>-0.94790038424591083</v>
      </c>
      <c r="EB16" s="33">
        <f t="shared" si="85"/>
        <v>0.52023546558788303</v>
      </c>
      <c r="EE16" s="60">
        <v>9.985399279015807</v>
      </c>
      <c r="EF16" s="60">
        <v>9.6177830150124066</v>
      </c>
      <c r="EG16" s="60">
        <v>5.991239567409484</v>
      </c>
      <c r="EH16" s="50">
        <f t="shared" si="65"/>
        <v>-3.994159711606323</v>
      </c>
    </row>
    <row r="17" spans="1:138" ht="20.100000000000001" customHeight="1" x14ac:dyDescent="0.25">
      <c r="A17" s="74" t="s">
        <v>16</v>
      </c>
      <c r="B17" s="89"/>
      <c r="C17" s="121">
        <f t="shared" si="13"/>
        <v>53.582328793524319</v>
      </c>
      <c r="D17" s="98">
        <f t="shared" si="13"/>
        <v>47.777780236196705</v>
      </c>
      <c r="F17" s="9">
        <v>-0.16</v>
      </c>
      <c r="G17" s="38">
        <f t="shared" si="38"/>
        <v>45.009156186560425</v>
      </c>
      <c r="H17" s="110">
        <v>-0.36</v>
      </c>
      <c r="I17" s="38">
        <f t="shared" si="39"/>
        <v>34.292690427855568</v>
      </c>
      <c r="J17" s="78">
        <f t="shared" si="14"/>
        <v>-0.58000000000000007</v>
      </c>
      <c r="K17" s="38">
        <f t="shared" si="15"/>
        <v>22.504578093280216</v>
      </c>
      <c r="L17" s="111">
        <v>-0.8</v>
      </c>
      <c r="M17" s="35">
        <f t="shared" si="40"/>
        <v>10.716465758704862</v>
      </c>
      <c r="O17" s="9">
        <v>-0.16</v>
      </c>
      <c r="P17" s="38">
        <f t="shared" si="41"/>
        <v>45.009156186560425</v>
      </c>
      <c r="Q17" s="57">
        <v>-0.36</v>
      </c>
      <c r="R17" s="38">
        <f t="shared" si="42"/>
        <v>34.292690427855568</v>
      </c>
      <c r="S17" s="76">
        <f t="shared" si="16"/>
        <v>-0.58000000000000007</v>
      </c>
      <c r="T17" s="38">
        <f t="shared" si="43"/>
        <v>22.504578093280209</v>
      </c>
      <c r="U17" s="58">
        <v>-0.8</v>
      </c>
      <c r="V17" s="35">
        <f t="shared" si="44"/>
        <v>10.716465758704862</v>
      </c>
      <c r="X17" s="9">
        <v>-0.16</v>
      </c>
      <c r="Y17" s="38">
        <f t="shared" si="66"/>
        <v>45.009156186560425</v>
      </c>
      <c r="Z17" s="257" t="s">
        <v>36</v>
      </c>
      <c r="AA17" s="258"/>
      <c r="AB17" s="259" t="s">
        <v>36</v>
      </c>
      <c r="AC17" s="260"/>
      <c r="AE17" s="9">
        <v>-0.16</v>
      </c>
      <c r="AF17" s="38">
        <f t="shared" si="67"/>
        <v>45.009156186560425</v>
      </c>
      <c r="AG17" s="257" t="s">
        <v>36</v>
      </c>
      <c r="AH17" s="258"/>
      <c r="AI17" s="259" t="s">
        <v>36</v>
      </c>
      <c r="AJ17" s="260"/>
      <c r="AL17" s="9">
        <v>-0.16</v>
      </c>
      <c r="AM17" s="38">
        <f t="shared" si="68"/>
        <v>45.009156186560425</v>
      </c>
      <c r="AN17" s="32">
        <v>-0.36</v>
      </c>
      <c r="AO17" s="38">
        <f t="shared" si="69"/>
        <v>34.292690427855568</v>
      </c>
      <c r="AP17" s="27">
        <v>-0.8</v>
      </c>
      <c r="AQ17" s="35">
        <f t="shared" si="70"/>
        <v>10.716465758704862</v>
      </c>
      <c r="AS17" s="9">
        <f t="shared" si="0"/>
        <v>-0.16</v>
      </c>
      <c r="AT17" s="80">
        <f t="shared" si="17"/>
        <v>45.009156186560425</v>
      </c>
      <c r="AU17" s="110">
        <f t="shared" si="1"/>
        <v>-0.36</v>
      </c>
      <c r="AV17" s="38">
        <f t="shared" si="18"/>
        <v>34.292690427855568</v>
      </c>
      <c r="AW17" s="137">
        <f t="shared" si="2"/>
        <v>-0.58000000000000007</v>
      </c>
      <c r="AX17" s="80">
        <f t="shared" si="19"/>
        <v>22.504578093280209</v>
      </c>
      <c r="AY17" s="110">
        <f t="shared" si="3"/>
        <v>-0.8</v>
      </c>
      <c r="AZ17" s="35">
        <f t="shared" si="20"/>
        <v>10.716465758704862</v>
      </c>
      <c r="BB17" s="9">
        <f t="shared" si="45"/>
        <v>-0.16</v>
      </c>
      <c r="BC17" s="80">
        <f t="shared" si="46"/>
        <v>45.009156186560425</v>
      </c>
      <c r="BD17" s="57">
        <f t="shared" si="47"/>
        <v>-0.36</v>
      </c>
      <c r="BE17" s="38">
        <f t="shared" si="48"/>
        <v>34.292690427855568</v>
      </c>
      <c r="BF17" s="78">
        <f t="shared" si="49"/>
        <v>-0.58000000000000007</v>
      </c>
      <c r="BG17" s="38">
        <f t="shared" si="50"/>
        <v>22.504578093280209</v>
      </c>
      <c r="BH17" s="58">
        <f t="shared" si="51"/>
        <v>-0.8</v>
      </c>
      <c r="BI17" s="35">
        <f t="shared" si="52"/>
        <v>10.716465758704862</v>
      </c>
      <c r="BK17" s="9">
        <v>-0.16</v>
      </c>
      <c r="BL17" s="38">
        <f t="shared" si="71"/>
        <v>45.009156186560425</v>
      </c>
      <c r="BM17" s="32">
        <v>-0.36</v>
      </c>
      <c r="BN17" s="38">
        <f t="shared" si="72"/>
        <v>34.292690427855568</v>
      </c>
      <c r="BO17" s="27">
        <v>-0.8</v>
      </c>
      <c r="BP17" s="35">
        <f t="shared" si="73"/>
        <v>10.716465758704862</v>
      </c>
      <c r="BR17" s="9">
        <v>-0.16</v>
      </c>
      <c r="BS17" s="38">
        <f t="shared" si="74"/>
        <v>45.009156186560425</v>
      </c>
      <c r="BT17" s="47">
        <f t="shared" si="82"/>
        <v>-0.46666666666666673</v>
      </c>
      <c r="BU17" s="48">
        <f t="shared" si="53"/>
        <v>28.577242023212964</v>
      </c>
      <c r="BV17" s="10">
        <f t="shared" si="83"/>
        <v>-0.90000000000000013</v>
      </c>
      <c r="BW17" s="65">
        <f t="shared" si="54"/>
        <v>5.3582328793524248</v>
      </c>
      <c r="BY17" s="9">
        <v>-0.16</v>
      </c>
      <c r="BZ17" s="38">
        <f t="shared" si="75"/>
        <v>45.009156186560425</v>
      </c>
      <c r="CA17" s="32">
        <v>-0.36</v>
      </c>
      <c r="CB17" s="38">
        <f t="shared" si="76"/>
        <v>34.292690427855568</v>
      </c>
      <c r="CC17" s="27">
        <v>-0.8</v>
      </c>
      <c r="CD17" s="35">
        <f t="shared" si="77"/>
        <v>10.716465758704862</v>
      </c>
      <c r="CE17" s="1"/>
      <c r="CF17" s="9">
        <v>-0.16</v>
      </c>
      <c r="CG17" s="38">
        <f t="shared" si="78"/>
        <v>45.009156186560425</v>
      </c>
      <c r="CH17" s="47">
        <f t="shared" si="55"/>
        <v>-0.35999999999999988</v>
      </c>
      <c r="CI17" s="48">
        <f t="shared" si="56"/>
        <v>34.292690427855568</v>
      </c>
      <c r="CJ17" s="47">
        <f t="shared" si="22"/>
        <v>-0.86401860193402702</v>
      </c>
      <c r="CK17" s="65">
        <f t="shared" si="57"/>
        <v>7.2861999809740796</v>
      </c>
      <c r="CM17" s="9">
        <f t="shared" si="4"/>
        <v>-0.16</v>
      </c>
      <c r="CN17" s="80">
        <f t="shared" si="23"/>
        <v>45.009156186560425</v>
      </c>
      <c r="CO17" s="47">
        <f t="shared" si="5"/>
        <v>-0.35999999999999988</v>
      </c>
      <c r="CP17" s="48">
        <f t="shared" si="24"/>
        <v>34.292690427855568</v>
      </c>
      <c r="CQ17" s="10">
        <f t="shared" si="6"/>
        <v>-0.64792134003001545</v>
      </c>
      <c r="CR17" s="139">
        <f t="shared" si="25"/>
        <v>18.865194519695162</v>
      </c>
      <c r="CS17" s="47">
        <f t="shared" si="7"/>
        <v>-0.93584268006003091</v>
      </c>
      <c r="CT17" s="65">
        <f t="shared" si="26"/>
        <v>3.4376986115347594</v>
      </c>
      <c r="CU17" s="1"/>
      <c r="CV17" s="9">
        <v>-0.16</v>
      </c>
      <c r="CW17" s="38">
        <f t="shared" si="79"/>
        <v>45.009156186560425</v>
      </c>
      <c r="CX17" s="47">
        <f t="shared" si="58"/>
        <v>-0.35999999999999988</v>
      </c>
      <c r="CY17" s="48">
        <f t="shared" si="59"/>
        <v>34.292690427855568</v>
      </c>
      <c r="CZ17" s="45">
        <f t="shared" si="27"/>
        <v>-0.64792134003001545</v>
      </c>
      <c r="DA17" s="48">
        <f t="shared" si="28"/>
        <v>18.865194519695162</v>
      </c>
      <c r="DB17" s="47">
        <f t="shared" si="29"/>
        <v>-0.93584268006003091</v>
      </c>
      <c r="DC17" s="65">
        <f t="shared" si="60"/>
        <v>3.4376986115347594</v>
      </c>
      <c r="DE17" s="9">
        <v>-0.16</v>
      </c>
      <c r="DF17" s="38">
        <f t="shared" si="80"/>
        <v>45.009156186560425</v>
      </c>
      <c r="DG17" s="47">
        <f t="shared" si="61"/>
        <v>-0.46979936360371388</v>
      </c>
      <c r="DH17" s="48">
        <f t="shared" si="62"/>
        <v>28.409384825921638</v>
      </c>
      <c r="DI17" s="47">
        <f t="shared" si="30"/>
        <v>-0.87025213409267366</v>
      </c>
      <c r="DJ17" s="65">
        <f t="shared" si="84"/>
        <v>6.9521928113044673</v>
      </c>
      <c r="DL17" s="9">
        <f t="shared" si="8"/>
        <v>-0.16</v>
      </c>
      <c r="DM17" s="80">
        <f t="shared" si="31"/>
        <v>45.009156186560425</v>
      </c>
      <c r="DN17" s="47">
        <f t="shared" si="9"/>
        <v>-0.52469904540557089</v>
      </c>
      <c r="DO17" s="48">
        <f t="shared" si="32"/>
        <v>25.467732024954678</v>
      </c>
      <c r="DP17" s="10">
        <f t="shared" si="10"/>
        <v>-0.73265775517742215</v>
      </c>
      <c r="DQ17" s="139">
        <f t="shared" si="33"/>
        <v>14.324820062482242</v>
      </c>
      <c r="DR17" s="47">
        <f t="shared" si="11"/>
        <v>-0.94061646494927342</v>
      </c>
      <c r="DS17" s="65">
        <f t="shared" si="34"/>
        <v>3.1819081000098062</v>
      </c>
      <c r="DU17" s="9">
        <v>-0.16</v>
      </c>
      <c r="DV17" s="38">
        <f t="shared" si="81"/>
        <v>45.009156186560425</v>
      </c>
      <c r="DW17" s="47">
        <f t="shared" si="63"/>
        <v>-0.52469904540557089</v>
      </c>
      <c r="DX17" s="48">
        <f t="shared" si="64"/>
        <v>25.467732024954678</v>
      </c>
      <c r="DY17" s="45">
        <f t="shared" si="35"/>
        <v>-0.73265775517742215</v>
      </c>
      <c r="DZ17" s="48">
        <f t="shared" si="36"/>
        <v>14.324820062482242</v>
      </c>
      <c r="EA17" s="47">
        <f t="shared" si="37"/>
        <v>-0.94061646494927342</v>
      </c>
      <c r="EB17" s="65">
        <f t="shared" si="85"/>
        <v>3.1819081000098062</v>
      </c>
      <c r="EE17" s="60">
        <v>53.582328793524319</v>
      </c>
      <c r="EF17" s="60">
        <v>47.777780236196705</v>
      </c>
      <c r="EG17" s="60">
        <v>34.292690427855568</v>
      </c>
      <c r="EH17" s="50">
        <f t="shared" si="65"/>
        <v>-19.28963836566875</v>
      </c>
    </row>
    <row r="18" spans="1:138" ht="20.100000000000001" customHeight="1" x14ac:dyDescent="0.25">
      <c r="A18" s="69" t="s">
        <v>17</v>
      </c>
      <c r="B18" s="84"/>
      <c r="C18" s="119">
        <f t="shared" si="13"/>
        <v>39.801665551912635</v>
      </c>
      <c r="D18" s="96">
        <f t="shared" si="13"/>
        <v>36.801632903157156</v>
      </c>
      <c r="F18" s="3">
        <v>-0.2</v>
      </c>
      <c r="G18" s="18">
        <f t="shared" si="38"/>
        <v>31.84133244153011</v>
      </c>
      <c r="H18" s="108">
        <v>-0.39</v>
      </c>
      <c r="I18" s="36">
        <f t="shared" si="39"/>
        <v>24.279015986666707</v>
      </c>
      <c r="J18" s="77">
        <f t="shared" si="14"/>
        <v>-0.59499999999999997</v>
      </c>
      <c r="K18" s="37">
        <f t="shared" si="15"/>
        <v>16.119674548524614</v>
      </c>
      <c r="L18" s="109">
        <v>-0.8</v>
      </c>
      <c r="M18" s="34">
        <f t="shared" si="40"/>
        <v>7.9603331103825248</v>
      </c>
      <c r="O18" s="3">
        <v>-0.2</v>
      </c>
      <c r="P18" s="18">
        <f t="shared" si="41"/>
        <v>31.84133244153011</v>
      </c>
      <c r="Q18" s="56">
        <v>-0.39</v>
      </c>
      <c r="R18" s="36">
        <f t="shared" si="42"/>
        <v>24.279015986666707</v>
      </c>
      <c r="S18" s="77">
        <f t="shared" si="16"/>
        <v>-0.59499999999999997</v>
      </c>
      <c r="T18" s="36">
        <f t="shared" si="43"/>
        <v>16.119674548524618</v>
      </c>
      <c r="U18" s="54">
        <v>-0.8</v>
      </c>
      <c r="V18" s="34">
        <f t="shared" si="44"/>
        <v>7.9603331103825248</v>
      </c>
      <c r="X18" s="3">
        <v>-0.2</v>
      </c>
      <c r="Y18" s="18">
        <f t="shared" si="66"/>
        <v>31.84133244153011</v>
      </c>
      <c r="Z18" s="235" t="s">
        <v>36</v>
      </c>
      <c r="AA18" s="236"/>
      <c r="AB18" s="254" t="s">
        <v>36</v>
      </c>
      <c r="AC18" s="254"/>
      <c r="AE18" s="3">
        <v>-0.2</v>
      </c>
      <c r="AF18" s="18">
        <f t="shared" si="67"/>
        <v>31.84133244153011</v>
      </c>
      <c r="AG18" s="235" t="s">
        <v>36</v>
      </c>
      <c r="AH18" s="236"/>
      <c r="AI18" s="254" t="s">
        <v>36</v>
      </c>
      <c r="AJ18" s="254"/>
      <c r="AL18" s="3">
        <v>-0.2</v>
      </c>
      <c r="AM18" s="18">
        <f t="shared" si="68"/>
        <v>31.84133244153011</v>
      </c>
      <c r="AN18" s="31">
        <v>-0.39</v>
      </c>
      <c r="AO18" s="36">
        <f t="shared" si="69"/>
        <v>24.279015986666707</v>
      </c>
      <c r="AP18" s="19">
        <v>-0.8</v>
      </c>
      <c r="AQ18" s="34">
        <f t="shared" si="70"/>
        <v>7.9603331103825248</v>
      </c>
      <c r="AS18" s="8">
        <f t="shared" si="0"/>
        <v>-0.2</v>
      </c>
      <c r="AT18" s="79">
        <f t="shared" si="17"/>
        <v>31.84133244153011</v>
      </c>
      <c r="AU18" s="107">
        <f t="shared" si="1"/>
        <v>-0.39</v>
      </c>
      <c r="AV18" s="37">
        <f t="shared" si="18"/>
        <v>24.279015986666707</v>
      </c>
      <c r="AW18" s="135">
        <f t="shared" si="2"/>
        <v>-0.59499999999999997</v>
      </c>
      <c r="AX18" s="79">
        <f t="shared" si="19"/>
        <v>16.119674548524618</v>
      </c>
      <c r="AY18" s="107">
        <f t="shared" si="3"/>
        <v>-0.8</v>
      </c>
      <c r="AZ18" s="63">
        <f t="shared" si="20"/>
        <v>7.9603331103825248</v>
      </c>
      <c r="BB18" s="8">
        <f t="shared" si="45"/>
        <v>-0.2</v>
      </c>
      <c r="BC18" s="79">
        <f t="shared" si="46"/>
        <v>31.84133244153011</v>
      </c>
      <c r="BD18" s="59">
        <f t="shared" si="47"/>
        <v>-0.39</v>
      </c>
      <c r="BE18" s="37">
        <f t="shared" si="48"/>
        <v>24.279015986666707</v>
      </c>
      <c r="BF18" s="77">
        <f t="shared" si="49"/>
        <v>-0.59499999999999997</v>
      </c>
      <c r="BG18" s="37">
        <f t="shared" si="50"/>
        <v>16.119674548524618</v>
      </c>
      <c r="BH18" s="55">
        <f t="shared" si="51"/>
        <v>-0.8</v>
      </c>
      <c r="BI18" s="63">
        <f t="shared" si="52"/>
        <v>7.9603331103825248</v>
      </c>
      <c r="BK18" s="3">
        <v>-0.2</v>
      </c>
      <c r="BL18" s="18">
        <f t="shared" si="71"/>
        <v>31.84133244153011</v>
      </c>
      <c r="BM18" s="31">
        <v>-0.39</v>
      </c>
      <c r="BN18" s="36">
        <f t="shared" si="72"/>
        <v>24.279015986666707</v>
      </c>
      <c r="BO18" s="19">
        <v>-0.8</v>
      </c>
      <c r="BP18" s="34">
        <f t="shared" si="73"/>
        <v>7.9603331103825248</v>
      </c>
      <c r="BR18" s="3">
        <v>-0.2</v>
      </c>
      <c r="BS18" s="18">
        <f t="shared" si="74"/>
        <v>31.84133244153011</v>
      </c>
      <c r="BT18" s="45">
        <f t="shared" si="82"/>
        <v>-0.49166666666666675</v>
      </c>
      <c r="BU18" s="46">
        <f t="shared" si="53"/>
        <v>20.232513322222253</v>
      </c>
      <c r="BV18" s="6">
        <f t="shared" si="83"/>
        <v>-0.90000000000000013</v>
      </c>
      <c r="BW18" s="33">
        <f t="shared" si="54"/>
        <v>3.9801665551912579</v>
      </c>
      <c r="BY18" s="3">
        <v>-0.2</v>
      </c>
      <c r="BZ18" s="18">
        <f t="shared" si="75"/>
        <v>31.84133244153011</v>
      </c>
      <c r="CA18" s="31">
        <v>-0.39</v>
      </c>
      <c r="CB18" s="36">
        <f t="shared" si="76"/>
        <v>24.279015986666707</v>
      </c>
      <c r="CC18" s="19">
        <v>-0.8</v>
      </c>
      <c r="CD18" s="34">
        <f t="shared" si="77"/>
        <v>7.9603331103825248</v>
      </c>
      <c r="CE18" s="1"/>
      <c r="CF18" s="3">
        <v>-0.2</v>
      </c>
      <c r="CG18" s="18">
        <f t="shared" si="78"/>
        <v>31.84133244153011</v>
      </c>
      <c r="CH18" s="45">
        <f t="shared" si="55"/>
        <v>-0.39</v>
      </c>
      <c r="CI18" s="46">
        <f t="shared" si="56"/>
        <v>24.279015986666707</v>
      </c>
      <c r="CJ18" s="45">
        <f t="shared" si="22"/>
        <v>-0.87039272996836947</v>
      </c>
      <c r="CK18" s="33">
        <f t="shared" si="57"/>
        <v>5.1585852148953881</v>
      </c>
      <c r="CM18" s="8">
        <f t="shared" si="4"/>
        <v>-0.2</v>
      </c>
      <c r="CN18" s="79">
        <f t="shared" si="23"/>
        <v>31.84133244153011</v>
      </c>
      <c r="CO18" s="43">
        <f t="shared" si="5"/>
        <v>-0.39</v>
      </c>
      <c r="CP18" s="44">
        <f t="shared" si="24"/>
        <v>24.279015986666707</v>
      </c>
      <c r="CQ18" s="5">
        <f t="shared" si="6"/>
        <v>-0.66442502721610852</v>
      </c>
      <c r="CR18" s="138">
        <f t="shared" si="25"/>
        <v>13.356442834336635</v>
      </c>
      <c r="CS18" s="43">
        <f t="shared" si="7"/>
        <v>-0.93885005443221692</v>
      </c>
      <c r="CT18" s="64">
        <f t="shared" si="26"/>
        <v>2.4338696820065642</v>
      </c>
      <c r="CU18" s="1"/>
      <c r="CV18" s="3">
        <v>-0.2</v>
      </c>
      <c r="CW18" s="18">
        <f t="shared" si="79"/>
        <v>31.84133244153011</v>
      </c>
      <c r="CX18" s="45">
        <f t="shared" si="58"/>
        <v>-0.39</v>
      </c>
      <c r="CY18" s="46">
        <f t="shared" si="59"/>
        <v>24.279015986666707</v>
      </c>
      <c r="CZ18" s="43">
        <f t="shared" si="27"/>
        <v>-0.66442502721610852</v>
      </c>
      <c r="DA18" s="44">
        <f t="shared" si="28"/>
        <v>13.356442834336635</v>
      </c>
      <c r="DB18" s="45">
        <f t="shared" si="29"/>
        <v>-0.93885005443221692</v>
      </c>
      <c r="DC18" s="33">
        <f t="shared" si="60"/>
        <v>2.4338696820065642</v>
      </c>
      <c r="DE18" s="3">
        <v>-0.2</v>
      </c>
      <c r="DF18" s="18">
        <f t="shared" si="80"/>
        <v>31.84133244153011</v>
      </c>
      <c r="DG18" s="45">
        <f t="shared" si="61"/>
        <v>-0.50894931057069015</v>
      </c>
      <c r="DH18" s="46">
        <f t="shared" si="62"/>
        <v>19.544635309701512</v>
      </c>
      <c r="DI18" s="45">
        <f t="shared" si="30"/>
        <v>-0.87983269986467227</v>
      </c>
      <c r="DJ18" s="33">
        <f t="shared" si="84"/>
        <v>4.7828586902626196</v>
      </c>
      <c r="DL18" s="8">
        <f t="shared" si="8"/>
        <v>-0.2</v>
      </c>
      <c r="DM18" s="79">
        <f t="shared" si="31"/>
        <v>31.84133244153011</v>
      </c>
      <c r="DN18" s="43">
        <f t="shared" si="9"/>
        <v>-0.56842396585603527</v>
      </c>
      <c r="DO18" s="44">
        <f t="shared" si="32"/>
        <v>17.177444971218915</v>
      </c>
      <c r="DP18" s="5">
        <f t="shared" si="10"/>
        <v>-0.75725168513889329</v>
      </c>
      <c r="DQ18" s="138">
        <f t="shared" si="33"/>
        <v>9.6617872413921511</v>
      </c>
      <c r="DR18" s="43">
        <f t="shared" si="11"/>
        <v>-0.94607940442175142</v>
      </c>
      <c r="DS18" s="64">
        <f t="shared" si="34"/>
        <v>2.146129511565388</v>
      </c>
      <c r="DU18" s="3">
        <v>-0.2</v>
      </c>
      <c r="DV18" s="18">
        <f t="shared" si="81"/>
        <v>31.84133244153011</v>
      </c>
      <c r="DW18" s="45">
        <f t="shared" si="63"/>
        <v>-0.56842396585603527</v>
      </c>
      <c r="DX18" s="46">
        <f t="shared" si="64"/>
        <v>17.177444971218915</v>
      </c>
      <c r="DY18" s="43">
        <f t="shared" si="35"/>
        <v>-0.75725168513889329</v>
      </c>
      <c r="DZ18" s="44">
        <f t="shared" si="36"/>
        <v>9.6617872413921511</v>
      </c>
      <c r="EA18" s="45">
        <f t="shared" si="37"/>
        <v>-0.94607940442175142</v>
      </c>
      <c r="EB18" s="33">
        <f t="shared" si="85"/>
        <v>2.146129511565388</v>
      </c>
      <c r="EE18" s="60">
        <v>39.801665551912635</v>
      </c>
      <c r="EF18" s="60">
        <v>36.801632903157156</v>
      </c>
      <c r="EG18" s="60">
        <v>24.279015986666707</v>
      </c>
      <c r="EH18" s="50">
        <f t="shared" si="65"/>
        <v>-15.522649565245928</v>
      </c>
    </row>
    <row r="19" spans="1:138" ht="20.100000000000001" customHeight="1" x14ac:dyDescent="0.25">
      <c r="A19" s="72" t="s">
        <v>18</v>
      </c>
      <c r="B19" s="87"/>
      <c r="C19" s="119">
        <f t="shared" si="13"/>
        <v>40.467587669330513</v>
      </c>
      <c r="D19" s="96">
        <f t="shared" si="13"/>
        <v>36.733008911579802</v>
      </c>
      <c r="F19" s="3">
        <v>-0.17</v>
      </c>
      <c r="G19" s="18">
        <f t="shared" si="38"/>
        <v>33.588097765544326</v>
      </c>
      <c r="H19" s="108">
        <v>-0.4</v>
      </c>
      <c r="I19" s="36">
        <f t="shared" si="39"/>
        <v>24.280552601598306</v>
      </c>
      <c r="J19" s="76">
        <f t="shared" si="14"/>
        <v>-0.60000000000000009</v>
      </c>
      <c r="K19" s="36">
        <f t="shared" si="15"/>
        <v>16.187035067732204</v>
      </c>
      <c r="L19" s="109">
        <v>-0.8</v>
      </c>
      <c r="M19" s="34">
        <f t="shared" si="40"/>
        <v>8.0935175338661001</v>
      </c>
      <c r="O19" s="3">
        <v>-0.17</v>
      </c>
      <c r="P19" s="18">
        <f t="shared" si="41"/>
        <v>33.588097765544326</v>
      </c>
      <c r="Q19" s="56">
        <v>-0.4</v>
      </c>
      <c r="R19" s="36">
        <f t="shared" si="42"/>
        <v>24.280552601598306</v>
      </c>
      <c r="S19" s="76">
        <f t="shared" si="16"/>
        <v>-0.60000000000000009</v>
      </c>
      <c r="T19" s="36">
        <f t="shared" si="43"/>
        <v>16.1870350677322</v>
      </c>
      <c r="U19" s="54">
        <v>-0.8</v>
      </c>
      <c r="V19" s="34">
        <f t="shared" si="44"/>
        <v>8.0935175338661001</v>
      </c>
      <c r="X19" s="3">
        <v>-0.17</v>
      </c>
      <c r="Y19" s="18">
        <f t="shared" si="66"/>
        <v>33.588097765544326</v>
      </c>
      <c r="Z19" s="255" t="s">
        <v>36</v>
      </c>
      <c r="AA19" s="256"/>
      <c r="AB19" s="254" t="s">
        <v>36</v>
      </c>
      <c r="AC19" s="254"/>
      <c r="AE19" s="3">
        <v>-0.17</v>
      </c>
      <c r="AF19" s="18">
        <f t="shared" si="67"/>
        <v>33.588097765544326</v>
      </c>
      <c r="AG19" s="255" t="s">
        <v>36</v>
      </c>
      <c r="AH19" s="256"/>
      <c r="AI19" s="254" t="s">
        <v>36</v>
      </c>
      <c r="AJ19" s="254"/>
      <c r="AL19" s="3">
        <v>-0.17</v>
      </c>
      <c r="AM19" s="18">
        <f t="shared" si="68"/>
        <v>33.588097765544326</v>
      </c>
      <c r="AN19" s="31">
        <v>-0.4</v>
      </c>
      <c r="AO19" s="36">
        <f t="shared" si="69"/>
        <v>24.280552601598306</v>
      </c>
      <c r="AP19" s="19">
        <v>-0.8</v>
      </c>
      <c r="AQ19" s="34">
        <f t="shared" si="70"/>
        <v>8.0935175338661001</v>
      </c>
      <c r="AS19" s="3">
        <f t="shared" si="0"/>
        <v>-0.17</v>
      </c>
      <c r="AT19" s="18">
        <f t="shared" si="17"/>
        <v>33.588097765544326</v>
      </c>
      <c r="AU19" s="108">
        <f t="shared" si="1"/>
        <v>-0.4</v>
      </c>
      <c r="AV19" s="36">
        <f t="shared" si="18"/>
        <v>24.280552601598306</v>
      </c>
      <c r="AW19" s="136">
        <f t="shared" si="2"/>
        <v>-0.60000000000000009</v>
      </c>
      <c r="AX19" s="18">
        <f t="shared" si="19"/>
        <v>16.1870350677322</v>
      </c>
      <c r="AY19" s="108">
        <f t="shared" si="3"/>
        <v>-0.8</v>
      </c>
      <c r="AZ19" s="34">
        <f t="shared" si="20"/>
        <v>8.0935175338661001</v>
      </c>
      <c r="BB19" s="3">
        <f t="shared" si="45"/>
        <v>-0.17</v>
      </c>
      <c r="BC19" s="18">
        <f t="shared" si="46"/>
        <v>33.588097765544326</v>
      </c>
      <c r="BD19" s="56">
        <f t="shared" si="47"/>
        <v>-0.4</v>
      </c>
      <c r="BE19" s="36">
        <f t="shared" si="48"/>
        <v>24.280552601598306</v>
      </c>
      <c r="BF19" s="76">
        <f t="shared" si="49"/>
        <v>-0.60000000000000009</v>
      </c>
      <c r="BG19" s="36">
        <f t="shared" si="50"/>
        <v>16.1870350677322</v>
      </c>
      <c r="BH19" s="54">
        <f t="shared" si="51"/>
        <v>-0.8</v>
      </c>
      <c r="BI19" s="34">
        <f t="shared" si="52"/>
        <v>8.0935175338661001</v>
      </c>
      <c r="BK19" s="3">
        <v>-0.17</v>
      </c>
      <c r="BL19" s="18">
        <f t="shared" si="71"/>
        <v>33.588097765544326</v>
      </c>
      <c r="BM19" s="31">
        <v>-0.4</v>
      </c>
      <c r="BN19" s="36">
        <f t="shared" si="72"/>
        <v>24.280552601598306</v>
      </c>
      <c r="BO19" s="19">
        <v>-0.8</v>
      </c>
      <c r="BP19" s="34">
        <f t="shared" si="73"/>
        <v>8.0935175338661001</v>
      </c>
      <c r="BR19" s="3">
        <v>-0.17</v>
      </c>
      <c r="BS19" s="18">
        <f t="shared" si="74"/>
        <v>33.588097765544326</v>
      </c>
      <c r="BT19" s="45">
        <f t="shared" si="82"/>
        <v>-0.50000000000000011</v>
      </c>
      <c r="BU19" s="46">
        <f t="shared" si="53"/>
        <v>20.233793834665253</v>
      </c>
      <c r="BV19" s="6">
        <f t="shared" si="83"/>
        <v>-0.90000000000000013</v>
      </c>
      <c r="BW19" s="33">
        <f t="shared" si="54"/>
        <v>4.0467587669330456</v>
      </c>
      <c r="BY19" s="3">
        <v>-0.17</v>
      </c>
      <c r="BZ19" s="18">
        <f t="shared" si="75"/>
        <v>33.588097765544326</v>
      </c>
      <c r="CA19" s="31">
        <v>-0.4</v>
      </c>
      <c r="CB19" s="36">
        <f t="shared" si="76"/>
        <v>24.280552601598306</v>
      </c>
      <c r="CC19" s="19">
        <v>-0.8</v>
      </c>
      <c r="CD19" s="34">
        <f t="shared" si="77"/>
        <v>8.0935175338661001</v>
      </c>
      <c r="CE19" s="1"/>
      <c r="CF19" s="3">
        <v>-0.17</v>
      </c>
      <c r="CG19" s="18">
        <f t="shared" si="78"/>
        <v>33.588097765544326</v>
      </c>
      <c r="CH19" s="45">
        <f t="shared" si="55"/>
        <v>-0.4</v>
      </c>
      <c r="CI19" s="46">
        <f t="shared" si="56"/>
        <v>24.280552601598306</v>
      </c>
      <c r="CJ19" s="45">
        <f t="shared" si="22"/>
        <v>-0.87251743931315029</v>
      </c>
      <c r="CK19" s="33">
        <f t="shared" si="57"/>
        <v>5.1589117009058381</v>
      </c>
      <c r="CM19" s="3">
        <f t="shared" si="4"/>
        <v>-0.17</v>
      </c>
      <c r="CN19" s="18">
        <f t="shared" si="23"/>
        <v>33.588097765544326</v>
      </c>
      <c r="CO19" s="45">
        <f t="shared" si="5"/>
        <v>-0.4</v>
      </c>
      <c r="CP19" s="46">
        <f t="shared" si="24"/>
        <v>24.280552601598306</v>
      </c>
      <c r="CQ19" s="6">
        <f t="shared" si="6"/>
        <v>-0.66992625627813951</v>
      </c>
      <c r="CR19" s="134">
        <f t="shared" si="25"/>
        <v>13.357288161408523</v>
      </c>
      <c r="CS19" s="45">
        <f t="shared" si="7"/>
        <v>-0.939852512556279</v>
      </c>
      <c r="CT19" s="33">
        <f t="shared" si="26"/>
        <v>2.4340237212187379</v>
      </c>
      <c r="CU19" s="1"/>
      <c r="CV19" s="3">
        <v>-0.17</v>
      </c>
      <c r="CW19" s="18">
        <f t="shared" si="79"/>
        <v>33.588097765544326</v>
      </c>
      <c r="CX19" s="45">
        <f t="shared" si="58"/>
        <v>-0.4</v>
      </c>
      <c r="CY19" s="46">
        <f t="shared" si="59"/>
        <v>24.280552601598306</v>
      </c>
      <c r="CZ19" s="45">
        <f t="shared" si="27"/>
        <v>-0.66992625627813951</v>
      </c>
      <c r="DA19" s="46">
        <f t="shared" si="28"/>
        <v>13.357288161408523</v>
      </c>
      <c r="DB19" s="45">
        <f t="shared" si="29"/>
        <v>-0.939852512556279</v>
      </c>
      <c r="DC19" s="33">
        <f t="shared" si="60"/>
        <v>2.4340237212187379</v>
      </c>
      <c r="DE19" s="3">
        <v>-0.17</v>
      </c>
      <c r="DF19" s="18">
        <f t="shared" si="80"/>
        <v>33.588097765544326</v>
      </c>
      <c r="DG19" s="45">
        <f t="shared" si="61"/>
        <v>-0.52199929289301572</v>
      </c>
      <c r="DH19" s="46">
        <f t="shared" si="62"/>
        <v>19.343535520853866</v>
      </c>
      <c r="DI19" s="45">
        <f t="shared" si="30"/>
        <v>-0.88302622178867185</v>
      </c>
      <c r="DJ19" s="33">
        <f t="shared" si="84"/>
        <v>4.7336466247797446</v>
      </c>
      <c r="DL19" s="3">
        <f t="shared" si="8"/>
        <v>-0.17</v>
      </c>
      <c r="DM19" s="18">
        <f t="shared" si="31"/>
        <v>33.588097765544326</v>
      </c>
      <c r="DN19" s="45">
        <f t="shared" si="9"/>
        <v>-0.5829989393395234</v>
      </c>
      <c r="DO19" s="46">
        <f t="shared" si="32"/>
        <v>16.87502698048165</v>
      </c>
      <c r="DP19" s="6">
        <f t="shared" si="10"/>
        <v>-0.76544966179271712</v>
      </c>
      <c r="DQ19" s="134">
        <f t="shared" si="33"/>
        <v>9.4916863742743445</v>
      </c>
      <c r="DR19" s="45">
        <f t="shared" si="11"/>
        <v>-0.94790038424591083</v>
      </c>
      <c r="DS19" s="33">
        <f t="shared" si="34"/>
        <v>2.1083457680670383</v>
      </c>
      <c r="DU19" s="3">
        <v>-0.17</v>
      </c>
      <c r="DV19" s="18">
        <f t="shared" si="81"/>
        <v>33.588097765544326</v>
      </c>
      <c r="DW19" s="45">
        <f t="shared" si="63"/>
        <v>-0.5829989393395234</v>
      </c>
      <c r="DX19" s="46">
        <f t="shared" si="64"/>
        <v>16.87502698048165</v>
      </c>
      <c r="DY19" s="45">
        <f t="shared" si="35"/>
        <v>-0.76544966179271712</v>
      </c>
      <c r="DZ19" s="46">
        <f t="shared" si="36"/>
        <v>9.4916863742743445</v>
      </c>
      <c r="EA19" s="45">
        <f t="shared" si="37"/>
        <v>-0.94790038424591083</v>
      </c>
      <c r="EB19" s="33">
        <f t="shared" si="85"/>
        <v>2.1083457680670383</v>
      </c>
      <c r="EE19" s="60">
        <v>40.467587669330513</v>
      </c>
      <c r="EF19" s="60">
        <v>36.733008911579802</v>
      </c>
      <c r="EG19" s="60">
        <v>24.280552601598306</v>
      </c>
      <c r="EH19" s="50">
        <f t="shared" si="65"/>
        <v>-16.187035067732207</v>
      </c>
    </row>
    <row r="20" spans="1:138" ht="20.100000000000001" customHeight="1" x14ac:dyDescent="0.25">
      <c r="A20" s="72" t="s">
        <v>19</v>
      </c>
      <c r="B20" s="87"/>
      <c r="C20" s="119">
        <f t="shared" si="13"/>
        <v>31.398727361953377</v>
      </c>
      <c r="D20" s="96">
        <f t="shared" si="13"/>
        <v>29.701056281896527</v>
      </c>
      <c r="F20" s="3">
        <v>-0.16</v>
      </c>
      <c r="G20" s="18">
        <f t="shared" si="38"/>
        <v>26.374930984040834</v>
      </c>
      <c r="H20" s="108">
        <v>-0.39</v>
      </c>
      <c r="I20" s="36">
        <f t="shared" si="39"/>
        <v>19.15322369079156</v>
      </c>
      <c r="J20" s="76">
        <f t="shared" si="14"/>
        <v>-0.59499999999999997</v>
      </c>
      <c r="K20" s="36">
        <f t="shared" si="15"/>
        <v>12.716484581591118</v>
      </c>
      <c r="L20" s="109">
        <v>-0.8</v>
      </c>
      <c r="M20" s="34">
        <f t="shared" si="40"/>
        <v>6.2797454723906743</v>
      </c>
      <c r="O20" s="3">
        <v>-0.16</v>
      </c>
      <c r="P20" s="18">
        <f t="shared" si="41"/>
        <v>26.374930984040834</v>
      </c>
      <c r="Q20" s="56">
        <v>-0.39</v>
      </c>
      <c r="R20" s="36">
        <f t="shared" si="42"/>
        <v>19.15322369079156</v>
      </c>
      <c r="S20" s="76">
        <f t="shared" si="16"/>
        <v>-0.59499999999999997</v>
      </c>
      <c r="T20" s="36">
        <f t="shared" si="43"/>
        <v>12.716484581591118</v>
      </c>
      <c r="U20" s="54">
        <v>-0.8</v>
      </c>
      <c r="V20" s="34">
        <f t="shared" si="44"/>
        <v>6.2797454723906743</v>
      </c>
      <c r="X20" s="3">
        <v>-0.16</v>
      </c>
      <c r="Y20" s="18">
        <f t="shared" si="66"/>
        <v>26.374930984040834</v>
      </c>
      <c r="Z20" s="255" t="s">
        <v>36</v>
      </c>
      <c r="AA20" s="256"/>
      <c r="AB20" s="254" t="s">
        <v>36</v>
      </c>
      <c r="AC20" s="254"/>
      <c r="AE20" s="3">
        <v>-0.16</v>
      </c>
      <c r="AF20" s="18">
        <f t="shared" si="67"/>
        <v>26.374930984040834</v>
      </c>
      <c r="AG20" s="255" t="s">
        <v>36</v>
      </c>
      <c r="AH20" s="256"/>
      <c r="AI20" s="254" t="s">
        <v>36</v>
      </c>
      <c r="AJ20" s="254"/>
      <c r="AL20" s="3">
        <v>-0.16</v>
      </c>
      <c r="AM20" s="18">
        <f t="shared" si="68"/>
        <v>26.374930984040834</v>
      </c>
      <c r="AN20" s="31">
        <v>-0.39</v>
      </c>
      <c r="AO20" s="36">
        <f t="shared" si="69"/>
        <v>19.15322369079156</v>
      </c>
      <c r="AP20" s="19">
        <v>-0.8</v>
      </c>
      <c r="AQ20" s="34">
        <f t="shared" si="70"/>
        <v>6.2797454723906743</v>
      </c>
      <c r="AS20" s="3">
        <f t="shared" si="0"/>
        <v>-0.16</v>
      </c>
      <c r="AT20" s="18">
        <f t="shared" si="17"/>
        <v>26.374930984040834</v>
      </c>
      <c r="AU20" s="108">
        <f t="shared" si="1"/>
        <v>-0.39</v>
      </c>
      <c r="AV20" s="36">
        <f t="shared" si="18"/>
        <v>19.15322369079156</v>
      </c>
      <c r="AW20" s="136">
        <f t="shared" si="2"/>
        <v>-0.59499999999999997</v>
      </c>
      <c r="AX20" s="18">
        <f t="shared" si="19"/>
        <v>12.716484581591118</v>
      </c>
      <c r="AY20" s="108">
        <f t="shared" si="3"/>
        <v>-0.8</v>
      </c>
      <c r="AZ20" s="34">
        <f t="shared" si="20"/>
        <v>6.2797454723906743</v>
      </c>
      <c r="BB20" s="3">
        <f t="shared" si="45"/>
        <v>-0.16</v>
      </c>
      <c r="BC20" s="18">
        <f t="shared" si="46"/>
        <v>26.374930984040834</v>
      </c>
      <c r="BD20" s="56">
        <f t="shared" si="47"/>
        <v>-0.39</v>
      </c>
      <c r="BE20" s="36">
        <f t="shared" si="48"/>
        <v>19.15322369079156</v>
      </c>
      <c r="BF20" s="76">
        <f t="shared" si="49"/>
        <v>-0.59499999999999997</v>
      </c>
      <c r="BG20" s="36">
        <f t="shared" si="50"/>
        <v>12.716484581591118</v>
      </c>
      <c r="BH20" s="54">
        <f t="shared" si="51"/>
        <v>-0.8</v>
      </c>
      <c r="BI20" s="34">
        <f t="shared" si="52"/>
        <v>6.2797454723906743</v>
      </c>
      <c r="BK20" s="3">
        <v>-0.16</v>
      </c>
      <c r="BL20" s="18">
        <f t="shared" si="71"/>
        <v>26.374930984040834</v>
      </c>
      <c r="BM20" s="31">
        <v>-0.39</v>
      </c>
      <c r="BN20" s="36">
        <f t="shared" si="72"/>
        <v>19.15322369079156</v>
      </c>
      <c r="BO20" s="19">
        <v>-0.8</v>
      </c>
      <c r="BP20" s="34">
        <f t="shared" si="73"/>
        <v>6.2797454723906743</v>
      </c>
      <c r="BR20" s="3">
        <v>-0.16</v>
      </c>
      <c r="BS20" s="18">
        <f t="shared" si="74"/>
        <v>26.374930984040834</v>
      </c>
      <c r="BT20" s="45">
        <f t="shared" si="82"/>
        <v>-0.49166666666666675</v>
      </c>
      <c r="BU20" s="46">
        <f t="shared" si="53"/>
        <v>15.961019742326298</v>
      </c>
      <c r="BV20" s="6">
        <f t="shared" si="83"/>
        <v>-0.90000000000000013</v>
      </c>
      <c r="BW20" s="33">
        <f t="shared" si="54"/>
        <v>3.1398727361953336</v>
      </c>
      <c r="BY20" s="3">
        <v>-0.16</v>
      </c>
      <c r="BZ20" s="18">
        <f t="shared" si="75"/>
        <v>26.374930984040834</v>
      </c>
      <c r="CA20" s="31">
        <v>-0.39</v>
      </c>
      <c r="CB20" s="36">
        <f t="shared" si="76"/>
        <v>19.15322369079156</v>
      </c>
      <c r="CC20" s="19">
        <v>-0.8</v>
      </c>
      <c r="CD20" s="34">
        <f t="shared" si="77"/>
        <v>6.2797454723906743</v>
      </c>
      <c r="CE20" s="1"/>
      <c r="CF20" s="3">
        <v>-0.16</v>
      </c>
      <c r="CG20" s="18">
        <f t="shared" si="78"/>
        <v>26.374930984040834</v>
      </c>
      <c r="CH20" s="45">
        <f t="shared" si="55"/>
        <v>-0.39</v>
      </c>
      <c r="CI20" s="46">
        <f t="shared" si="56"/>
        <v>19.15322369079156</v>
      </c>
      <c r="CJ20" s="45">
        <f t="shared" si="22"/>
        <v>-0.87039272996836947</v>
      </c>
      <c r="CK20" s="33">
        <f t="shared" si="57"/>
        <v>4.0695033358502384</v>
      </c>
      <c r="CM20" s="3">
        <f t="shared" si="4"/>
        <v>-0.16</v>
      </c>
      <c r="CN20" s="18">
        <f t="shared" si="23"/>
        <v>26.374930984040834</v>
      </c>
      <c r="CO20" s="45">
        <f t="shared" si="5"/>
        <v>-0.39</v>
      </c>
      <c r="CP20" s="46">
        <f t="shared" si="24"/>
        <v>19.15322369079156</v>
      </c>
      <c r="CQ20" s="6">
        <f t="shared" si="6"/>
        <v>-0.66442502721610852</v>
      </c>
      <c r="CR20" s="134">
        <f t="shared" si="25"/>
        <v>10.536627079936334</v>
      </c>
      <c r="CS20" s="45">
        <f t="shared" si="7"/>
        <v>-0.93885005443221692</v>
      </c>
      <c r="CT20" s="33">
        <f t="shared" si="26"/>
        <v>1.9200304690811099</v>
      </c>
      <c r="CU20" s="1"/>
      <c r="CV20" s="3">
        <v>-0.16</v>
      </c>
      <c r="CW20" s="18">
        <f t="shared" si="79"/>
        <v>26.374930984040834</v>
      </c>
      <c r="CX20" s="45">
        <f t="shared" si="58"/>
        <v>-0.39</v>
      </c>
      <c r="CY20" s="46">
        <f t="shared" si="59"/>
        <v>19.15322369079156</v>
      </c>
      <c r="CZ20" s="45">
        <f t="shared" si="27"/>
        <v>-0.66442502721610852</v>
      </c>
      <c r="DA20" s="46">
        <f t="shared" si="28"/>
        <v>10.536627079936334</v>
      </c>
      <c r="DB20" s="45">
        <f t="shared" si="29"/>
        <v>-0.93885005443221692</v>
      </c>
      <c r="DC20" s="33">
        <f t="shared" si="60"/>
        <v>1.9200304690811099</v>
      </c>
      <c r="DE20" s="3">
        <v>-0.16</v>
      </c>
      <c r="DF20" s="18">
        <f t="shared" si="80"/>
        <v>26.374930984040834</v>
      </c>
      <c r="DG20" s="45">
        <f t="shared" si="61"/>
        <v>-0.50894931057069015</v>
      </c>
      <c r="DH20" s="46">
        <f t="shared" si="62"/>
        <v>15.418366718290141</v>
      </c>
      <c r="DI20" s="45">
        <f t="shared" si="30"/>
        <v>-0.87983269986467227</v>
      </c>
      <c r="DJ20" s="33">
        <f t="shared" si="84"/>
        <v>3.773100294771178</v>
      </c>
      <c r="DL20" s="3">
        <f t="shared" si="8"/>
        <v>-0.16</v>
      </c>
      <c r="DM20" s="18">
        <f t="shared" si="31"/>
        <v>26.374930984040834</v>
      </c>
      <c r="DN20" s="45">
        <f t="shared" si="9"/>
        <v>-0.56842396585603516</v>
      </c>
      <c r="DO20" s="46">
        <f t="shared" si="32"/>
        <v>13.550938232039433</v>
      </c>
      <c r="DP20" s="6">
        <f t="shared" si="10"/>
        <v>-0.75725168513889329</v>
      </c>
      <c r="DQ20" s="134">
        <f t="shared" si="33"/>
        <v>7.6219881558975047</v>
      </c>
      <c r="DR20" s="45">
        <f t="shared" si="11"/>
        <v>-0.94607940442175142</v>
      </c>
      <c r="DS20" s="33">
        <f t="shared" si="34"/>
        <v>1.6930380797555751</v>
      </c>
      <c r="DU20" s="3">
        <v>-0.16</v>
      </c>
      <c r="DV20" s="18">
        <f t="shared" si="81"/>
        <v>26.374930984040834</v>
      </c>
      <c r="DW20" s="45">
        <f t="shared" si="63"/>
        <v>-0.56842396585603516</v>
      </c>
      <c r="DX20" s="46">
        <f t="shared" si="64"/>
        <v>13.550938232039433</v>
      </c>
      <c r="DY20" s="45">
        <f t="shared" si="35"/>
        <v>-0.75725168513889329</v>
      </c>
      <c r="DZ20" s="46">
        <f t="shared" si="36"/>
        <v>7.6219881558975047</v>
      </c>
      <c r="EA20" s="45">
        <f t="shared" si="37"/>
        <v>-0.94607940442175142</v>
      </c>
      <c r="EB20" s="33">
        <f t="shared" si="85"/>
        <v>1.6930380797555751</v>
      </c>
      <c r="EE20" s="60">
        <v>31.398727361953377</v>
      </c>
      <c r="EF20" s="60">
        <v>29.701056281896527</v>
      </c>
      <c r="EG20" s="60">
        <v>19.15322369079156</v>
      </c>
      <c r="EH20" s="50">
        <f t="shared" si="65"/>
        <v>-12.245503671161817</v>
      </c>
    </row>
    <row r="21" spans="1:138" ht="20.100000000000001" customHeight="1" x14ac:dyDescent="0.25">
      <c r="A21" s="69" t="s">
        <v>20</v>
      </c>
      <c r="B21" s="84"/>
      <c r="C21" s="119">
        <f t="shared" si="13"/>
        <v>45.62653870030416</v>
      </c>
      <c r="D21" s="96">
        <f t="shared" si="13"/>
        <v>40.447127860377904</v>
      </c>
      <c r="F21" s="3">
        <v>-0.2</v>
      </c>
      <c r="G21" s="18">
        <f t="shared" si="38"/>
        <v>36.501230960243326</v>
      </c>
      <c r="H21" s="108">
        <v>-0.3</v>
      </c>
      <c r="I21" s="36">
        <f t="shared" si="39"/>
        <v>31.93857709021291</v>
      </c>
      <c r="J21" s="78">
        <f t="shared" si="14"/>
        <v>-0.55000000000000004</v>
      </c>
      <c r="K21" s="38">
        <f t="shared" si="15"/>
        <v>20.531942415136868</v>
      </c>
      <c r="L21" s="109">
        <v>-0.8</v>
      </c>
      <c r="M21" s="34">
        <f t="shared" si="40"/>
        <v>9.1253077400608298</v>
      </c>
      <c r="O21" s="3">
        <v>-0.2</v>
      </c>
      <c r="P21" s="18">
        <f t="shared" si="41"/>
        <v>36.501230960243326</v>
      </c>
      <c r="Q21" s="56">
        <v>-0.3</v>
      </c>
      <c r="R21" s="36">
        <f t="shared" si="42"/>
        <v>31.93857709021291</v>
      </c>
      <c r="S21" s="76">
        <f t="shared" si="16"/>
        <v>-0.55000000000000004</v>
      </c>
      <c r="T21" s="36">
        <f t="shared" si="43"/>
        <v>20.531942415136871</v>
      </c>
      <c r="U21" s="54">
        <v>-0.8</v>
      </c>
      <c r="V21" s="34">
        <f t="shared" si="44"/>
        <v>9.1253077400608298</v>
      </c>
      <c r="X21" s="3">
        <v>-0.2</v>
      </c>
      <c r="Y21" s="18">
        <f t="shared" si="66"/>
        <v>36.501230960243326</v>
      </c>
      <c r="Z21" s="257" t="s">
        <v>36</v>
      </c>
      <c r="AA21" s="258"/>
      <c r="AB21" s="253" t="s">
        <v>36</v>
      </c>
      <c r="AC21" s="254"/>
      <c r="AE21" s="3">
        <v>-0.2</v>
      </c>
      <c r="AF21" s="18">
        <f t="shared" si="67"/>
        <v>36.501230960243326</v>
      </c>
      <c r="AG21" s="257" t="s">
        <v>36</v>
      </c>
      <c r="AH21" s="258"/>
      <c r="AI21" s="253" t="s">
        <v>36</v>
      </c>
      <c r="AJ21" s="254"/>
      <c r="AL21" s="3">
        <v>-0.2</v>
      </c>
      <c r="AM21" s="18">
        <f t="shared" si="68"/>
        <v>36.501230960243326</v>
      </c>
      <c r="AN21" s="31">
        <v>-0.3</v>
      </c>
      <c r="AO21" s="36">
        <f t="shared" si="69"/>
        <v>31.93857709021291</v>
      </c>
      <c r="AP21" s="19">
        <v>-0.8</v>
      </c>
      <c r="AQ21" s="34">
        <f t="shared" si="70"/>
        <v>9.1253077400608298</v>
      </c>
      <c r="AS21" s="9">
        <f t="shared" si="0"/>
        <v>-0.2</v>
      </c>
      <c r="AT21" s="80">
        <f t="shared" si="17"/>
        <v>36.501230960243326</v>
      </c>
      <c r="AU21" s="110">
        <f t="shared" si="1"/>
        <v>-0.3</v>
      </c>
      <c r="AV21" s="38">
        <f t="shared" si="18"/>
        <v>31.93857709021291</v>
      </c>
      <c r="AW21" s="137">
        <f t="shared" si="2"/>
        <v>-0.55000000000000004</v>
      </c>
      <c r="AX21" s="80">
        <f t="shared" si="19"/>
        <v>20.531942415136871</v>
      </c>
      <c r="AY21" s="110">
        <f t="shared" si="3"/>
        <v>-0.8</v>
      </c>
      <c r="AZ21" s="35">
        <f t="shared" si="20"/>
        <v>9.1253077400608298</v>
      </c>
      <c r="BB21" s="9">
        <f t="shared" si="45"/>
        <v>-0.2</v>
      </c>
      <c r="BC21" s="80">
        <f t="shared" si="46"/>
        <v>36.501230960243326</v>
      </c>
      <c r="BD21" s="57">
        <f t="shared" si="47"/>
        <v>-0.3</v>
      </c>
      <c r="BE21" s="38">
        <f t="shared" si="48"/>
        <v>31.93857709021291</v>
      </c>
      <c r="BF21" s="78">
        <f t="shared" si="49"/>
        <v>-0.55000000000000004</v>
      </c>
      <c r="BG21" s="38">
        <f t="shared" si="50"/>
        <v>20.531942415136871</v>
      </c>
      <c r="BH21" s="58">
        <f t="shared" si="51"/>
        <v>-0.8</v>
      </c>
      <c r="BI21" s="35">
        <f t="shared" si="52"/>
        <v>9.1253077400608298</v>
      </c>
      <c r="BK21" s="3">
        <v>-0.2</v>
      </c>
      <c r="BL21" s="18">
        <f t="shared" si="71"/>
        <v>36.501230960243326</v>
      </c>
      <c r="BM21" s="31">
        <v>-0.3</v>
      </c>
      <c r="BN21" s="36">
        <f t="shared" si="72"/>
        <v>31.93857709021291</v>
      </c>
      <c r="BO21" s="19">
        <v>-0.8</v>
      </c>
      <c r="BP21" s="34">
        <f t="shared" si="73"/>
        <v>9.1253077400608298</v>
      </c>
      <c r="BR21" s="3">
        <v>-0.2</v>
      </c>
      <c r="BS21" s="18">
        <f t="shared" si="74"/>
        <v>36.501230960243326</v>
      </c>
      <c r="BT21" s="45">
        <f t="shared" si="82"/>
        <v>-0.41666666666666674</v>
      </c>
      <c r="BU21" s="46">
        <f t="shared" si="53"/>
        <v>26.615480908510758</v>
      </c>
      <c r="BV21" s="6">
        <f t="shared" si="83"/>
        <v>-0.90000000000000013</v>
      </c>
      <c r="BW21" s="33">
        <f t="shared" si="54"/>
        <v>4.5626538700304096</v>
      </c>
      <c r="BY21" s="3">
        <v>-0.2</v>
      </c>
      <c r="BZ21" s="18">
        <f t="shared" si="75"/>
        <v>36.501230960243326</v>
      </c>
      <c r="CA21" s="31">
        <v>-0.3</v>
      </c>
      <c r="CB21" s="36">
        <f t="shared" si="76"/>
        <v>31.93857709021291</v>
      </c>
      <c r="CC21" s="19">
        <v>-0.8</v>
      </c>
      <c r="CD21" s="34">
        <f t="shared" si="77"/>
        <v>9.1253077400608298</v>
      </c>
      <c r="CE21" s="1"/>
      <c r="CF21" s="3">
        <v>-0.2</v>
      </c>
      <c r="CG21" s="18">
        <f t="shared" si="78"/>
        <v>36.501230960243326</v>
      </c>
      <c r="CH21" s="45">
        <f t="shared" si="55"/>
        <v>-0.30000000000000004</v>
      </c>
      <c r="CI21" s="46">
        <f t="shared" si="56"/>
        <v>31.93857709021291</v>
      </c>
      <c r="CJ21" s="45">
        <f t="shared" si="22"/>
        <v>-0.851270345865342</v>
      </c>
      <c r="CK21" s="33">
        <f t="shared" si="57"/>
        <v>6.7860193202578261</v>
      </c>
      <c r="CM21" s="9">
        <f t="shared" si="4"/>
        <v>-0.2</v>
      </c>
      <c r="CN21" s="80">
        <f t="shared" si="23"/>
        <v>36.501230960243326</v>
      </c>
      <c r="CO21" s="47">
        <f t="shared" si="5"/>
        <v>-0.30000000000000004</v>
      </c>
      <c r="CP21" s="48">
        <f t="shared" si="24"/>
        <v>31.93857709021291</v>
      </c>
      <c r="CQ21" s="10">
        <f t="shared" si="6"/>
        <v>-0.61491396565782941</v>
      </c>
      <c r="CR21" s="139">
        <f t="shared" si="25"/>
        <v>17.570142848859703</v>
      </c>
      <c r="CS21" s="47">
        <f t="shared" si="7"/>
        <v>-0.92982793131565877</v>
      </c>
      <c r="CT21" s="65">
        <f t="shared" si="26"/>
        <v>3.2017086075064967</v>
      </c>
      <c r="CU21" s="1"/>
      <c r="CV21" s="3">
        <v>-0.2</v>
      </c>
      <c r="CW21" s="18">
        <f t="shared" si="79"/>
        <v>36.501230960243326</v>
      </c>
      <c r="CX21" s="45">
        <f t="shared" si="58"/>
        <v>-0.30000000000000004</v>
      </c>
      <c r="CY21" s="46">
        <f t="shared" si="59"/>
        <v>31.93857709021291</v>
      </c>
      <c r="CZ21" s="45">
        <f t="shared" si="27"/>
        <v>-0.61491396565782941</v>
      </c>
      <c r="DA21" s="48">
        <f t="shared" si="28"/>
        <v>17.570142848859703</v>
      </c>
      <c r="DB21" s="45">
        <f t="shared" si="29"/>
        <v>-0.92982793131565877</v>
      </c>
      <c r="DC21" s="33">
        <f t="shared" si="60"/>
        <v>3.2017086075064967</v>
      </c>
      <c r="DE21" s="3">
        <v>-0.2</v>
      </c>
      <c r="DF21" s="18">
        <f t="shared" si="80"/>
        <v>36.501230960243326</v>
      </c>
      <c r="DG21" s="45">
        <f t="shared" si="61"/>
        <v>-0.39149946966976168</v>
      </c>
      <c r="DH21" s="46">
        <f t="shared" si="62"/>
        <v>27.763772996268223</v>
      </c>
      <c r="DI21" s="45">
        <f t="shared" si="30"/>
        <v>-0.85109100254867631</v>
      </c>
      <c r="DJ21" s="33">
        <f t="shared" si="84"/>
        <v>6.7942021350363122</v>
      </c>
      <c r="DL21" s="9">
        <f t="shared" si="8"/>
        <v>-0.2</v>
      </c>
      <c r="DM21" s="80">
        <f t="shared" si="31"/>
        <v>36.501230960243326</v>
      </c>
      <c r="DN21" s="47">
        <f t="shared" si="9"/>
        <v>-0.43724920450464255</v>
      </c>
      <c r="DO21" s="48">
        <f t="shared" si="32"/>
        <v>25.67637094929588</v>
      </c>
      <c r="DP21" s="10">
        <f t="shared" si="10"/>
        <v>-0.68346989525447999</v>
      </c>
      <c r="DQ21" s="139">
        <f t="shared" si="33"/>
        <v>14.442173073982797</v>
      </c>
      <c r="DR21" s="47">
        <f t="shared" si="11"/>
        <v>-0.92969058600431753</v>
      </c>
      <c r="DS21" s="65">
        <f t="shared" si="34"/>
        <v>3.2079751986697143</v>
      </c>
      <c r="DU21" s="3">
        <v>-0.2</v>
      </c>
      <c r="DV21" s="18">
        <f t="shared" si="81"/>
        <v>36.501230960243326</v>
      </c>
      <c r="DW21" s="45">
        <f t="shared" si="63"/>
        <v>-0.43724920450464255</v>
      </c>
      <c r="DX21" s="46">
        <f t="shared" si="64"/>
        <v>25.67637094929588</v>
      </c>
      <c r="DY21" s="45">
        <f t="shared" si="35"/>
        <v>-0.68346989525447999</v>
      </c>
      <c r="DZ21" s="48">
        <f t="shared" si="36"/>
        <v>14.442173073982797</v>
      </c>
      <c r="EA21" s="45">
        <f t="shared" si="37"/>
        <v>-0.92969058600431753</v>
      </c>
      <c r="EB21" s="33">
        <f t="shared" si="85"/>
        <v>3.2079751986697143</v>
      </c>
      <c r="EE21" s="60">
        <v>45.62653870030416</v>
      </c>
      <c r="EF21" s="60">
        <v>40.447127860377904</v>
      </c>
      <c r="EG21" s="60">
        <v>31.93857709021291</v>
      </c>
      <c r="EH21" s="50">
        <f t="shared" si="65"/>
        <v>-13.68796161009125</v>
      </c>
    </row>
    <row r="22" spans="1:138" ht="20.100000000000001" customHeight="1" x14ac:dyDescent="0.25">
      <c r="A22" s="73" t="s">
        <v>21</v>
      </c>
      <c r="B22" s="88"/>
      <c r="C22" s="120">
        <f t="shared" si="13"/>
        <v>166.07615926386504</v>
      </c>
      <c r="D22" s="97">
        <f t="shared" si="13"/>
        <v>184.75146052804283</v>
      </c>
      <c r="F22" s="8">
        <v>0.14000000000000001</v>
      </c>
      <c r="G22" s="37">
        <f t="shared" si="38"/>
        <v>189.32682156080617</v>
      </c>
      <c r="H22" s="107">
        <v>-7.0000000000000007E-2</v>
      </c>
      <c r="I22" s="37">
        <f t="shared" si="39"/>
        <v>154.45082811539447</v>
      </c>
      <c r="J22" s="77">
        <f t="shared" si="14"/>
        <v>-0.28500000000000003</v>
      </c>
      <c r="K22" s="37">
        <f t="shared" si="15"/>
        <v>118.7444538736635</v>
      </c>
      <c r="L22" s="103">
        <v>-0.5</v>
      </c>
      <c r="M22" s="63">
        <f t="shared" si="40"/>
        <v>83.038079631932519</v>
      </c>
      <c r="O22" s="8">
        <v>0.14000000000000001</v>
      </c>
      <c r="P22" s="37">
        <f t="shared" si="41"/>
        <v>189.32682156080617</v>
      </c>
      <c r="Q22" s="59">
        <v>-7.0000000000000007E-2</v>
      </c>
      <c r="R22" s="37">
        <f t="shared" si="42"/>
        <v>154.45082811539447</v>
      </c>
      <c r="S22" s="77">
        <f t="shared" si="16"/>
        <v>-0.28500000000000003</v>
      </c>
      <c r="T22" s="37">
        <f t="shared" si="43"/>
        <v>118.7444538736635</v>
      </c>
      <c r="U22" s="55">
        <v>-0.5</v>
      </c>
      <c r="V22" s="63">
        <f t="shared" si="44"/>
        <v>83.038079631932519</v>
      </c>
      <c r="X22" s="8">
        <v>0.14000000000000001</v>
      </c>
      <c r="Y22" s="37">
        <f t="shared" si="66"/>
        <v>189.32682156080617</v>
      </c>
      <c r="Z22" s="235" t="s">
        <v>36</v>
      </c>
      <c r="AA22" s="236"/>
      <c r="AB22" s="237" t="s">
        <v>36</v>
      </c>
      <c r="AC22" s="238"/>
      <c r="AE22" s="8">
        <v>0.14000000000000001</v>
      </c>
      <c r="AF22" s="37">
        <f t="shared" si="67"/>
        <v>189.32682156080617</v>
      </c>
      <c r="AG22" s="235" t="s">
        <v>36</v>
      </c>
      <c r="AH22" s="236"/>
      <c r="AI22" s="237" t="s">
        <v>36</v>
      </c>
      <c r="AJ22" s="238"/>
      <c r="AL22" s="8">
        <v>0.14000000000000001</v>
      </c>
      <c r="AM22" s="37">
        <f t="shared" si="68"/>
        <v>189.32682156080617</v>
      </c>
      <c r="AN22" s="30">
        <v>-7.0000000000000007E-2</v>
      </c>
      <c r="AO22" s="37">
        <f t="shared" si="69"/>
        <v>154.45082811539447</v>
      </c>
      <c r="AP22" s="20">
        <v>-0.5</v>
      </c>
      <c r="AQ22" s="63">
        <f t="shared" si="70"/>
        <v>83.038079631932519</v>
      </c>
      <c r="AS22" s="8">
        <f t="shared" si="0"/>
        <v>0.14000000000000001</v>
      </c>
      <c r="AT22" s="79">
        <f t="shared" si="17"/>
        <v>189.32682156080617</v>
      </c>
      <c r="AU22" s="107">
        <f t="shared" si="1"/>
        <v>-7.0000000000000007E-2</v>
      </c>
      <c r="AV22" s="37">
        <f t="shared" si="18"/>
        <v>154.45082811539447</v>
      </c>
      <c r="AW22" s="135">
        <f t="shared" si="2"/>
        <v>-0.28500000000000003</v>
      </c>
      <c r="AX22" s="79">
        <f t="shared" si="19"/>
        <v>118.7444538736635</v>
      </c>
      <c r="AY22" s="107">
        <f t="shared" si="3"/>
        <v>-0.5</v>
      </c>
      <c r="AZ22" s="63">
        <f t="shared" si="20"/>
        <v>83.038079631932519</v>
      </c>
      <c r="BB22" s="8">
        <f t="shared" si="45"/>
        <v>0.14000000000000001</v>
      </c>
      <c r="BC22" s="79">
        <f t="shared" si="46"/>
        <v>189.32682156080617</v>
      </c>
      <c r="BD22" s="59">
        <f t="shared" si="47"/>
        <v>-7.0000000000000007E-2</v>
      </c>
      <c r="BE22" s="37">
        <f t="shared" si="48"/>
        <v>154.45082811539447</v>
      </c>
      <c r="BF22" s="77">
        <f t="shared" si="49"/>
        <v>-0.28500000000000003</v>
      </c>
      <c r="BG22" s="37">
        <f t="shared" si="50"/>
        <v>118.7444538736635</v>
      </c>
      <c r="BH22" s="55">
        <f t="shared" si="51"/>
        <v>-0.5</v>
      </c>
      <c r="BI22" s="63">
        <f t="shared" si="52"/>
        <v>83.038079631932519</v>
      </c>
      <c r="BK22" s="8">
        <v>0.14000000000000001</v>
      </c>
      <c r="BL22" s="37">
        <f t="shared" si="71"/>
        <v>189.32682156080617</v>
      </c>
      <c r="BM22" s="30">
        <v>-7.0000000000000007E-2</v>
      </c>
      <c r="BN22" s="37">
        <f t="shared" si="72"/>
        <v>154.45082811539447</v>
      </c>
      <c r="BO22" s="20">
        <v>-0.5</v>
      </c>
      <c r="BP22" s="63">
        <f t="shared" si="73"/>
        <v>83.038079631932519</v>
      </c>
      <c r="BR22" s="8">
        <v>0.14000000000000001</v>
      </c>
      <c r="BS22" s="37">
        <f t="shared" si="74"/>
        <v>189.32682156080617</v>
      </c>
      <c r="BT22" s="43">
        <f t="shared" si="82"/>
        <v>-0.22500000000000012</v>
      </c>
      <c r="BU22" s="44">
        <f t="shared" si="53"/>
        <v>128.7090234294954</v>
      </c>
      <c r="BV22" s="5">
        <f t="shared" si="83"/>
        <v>-0.75000000000000022</v>
      </c>
      <c r="BW22" s="64">
        <f t="shared" si="54"/>
        <v>41.519039815966224</v>
      </c>
      <c r="BY22" s="8">
        <v>0.14000000000000001</v>
      </c>
      <c r="BZ22" s="37">
        <f t="shared" si="75"/>
        <v>189.32682156080617</v>
      </c>
      <c r="CA22" s="30">
        <v>-7.0000000000000007E-2</v>
      </c>
      <c r="CB22" s="37">
        <f t="shared" si="76"/>
        <v>154.45082811539447</v>
      </c>
      <c r="CC22" s="20">
        <v>-0.5</v>
      </c>
      <c r="CD22" s="63">
        <f t="shared" si="77"/>
        <v>83.038079631932519</v>
      </c>
      <c r="CE22" s="1"/>
      <c r="CF22" s="8">
        <v>0.14000000000000001</v>
      </c>
      <c r="CG22" s="37">
        <f t="shared" si="78"/>
        <v>189.32682156080617</v>
      </c>
      <c r="CH22" s="43">
        <f t="shared" si="55"/>
        <v>-7.0000000000000062E-2</v>
      </c>
      <c r="CI22" s="44">
        <f t="shared" si="56"/>
        <v>154.45082811539447</v>
      </c>
      <c r="CJ22" s="43">
        <f t="shared" si="22"/>
        <v>-0.80240203093538298</v>
      </c>
      <c r="CK22" s="64">
        <f t="shared" si="57"/>
        <v>32.816311780591612</v>
      </c>
      <c r="CM22" s="8">
        <f t="shared" si="4"/>
        <v>0.14000000000000001</v>
      </c>
      <c r="CN22" s="79">
        <f t="shared" si="23"/>
        <v>189.32682156080617</v>
      </c>
      <c r="CO22" s="43">
        <f t="shared" si="5"/>
        <v>-7.0000000000000062E-2</v>
      </c>
      <c r="CP22" s="44">
        <f t="shared" si="24"/>
        <v>154.45082811539447</v>
      </c>
      <c r="CQ22" s="5">
        <f t="shared" si="6"/>
        <v>-0.48838569723111624</v>
      </c>
      <c r="CR22" s="138">
        <f t="shared" si="25"/>
        <v>84.966938428316411</v>
      </c>
      <c r="CS22" s="43">
        <f t="shared" si="7"/>
        <v>-0.90677139446223243</v>
      </c>
      <c r="CT22" s="64">
        <f t="shared" si="26"/>
        <v>15.483048741238344</v>
      </c>
      <c r="CU22" s="1"/>
      <c r="CV22" s="8">
        <v>0.14000000000000001</v>
      </c>
      <c r="CW22" s="37">
        <f t="shared" si="79"/>
        <v>189.32682156080617</v>
      </c>
      <c r="CX22" s="43">
        <f t="shared" si="58"/>
        <v>-7.0000000000000062E-2</v>
      </c>
      <c r="CY22" s="44">
        <f t="shared" si="59"/>
        <v>154.45082811539447</v>
      </c>
      <c r="CZ22" s="43">
        <f t="shared" si="27"/>
        <v>-0.48838569723111624</v>
      </c>
      <c r="DA22" s="44">
        <f t="shared" si="28"/>
        <v>84.966938428316411</v>
      </c>
      <c r="DB22" s="43">
        <f t="shared" si="29"/>
        <v>-0.90677139446223243</v>
      </c>
      <c r="DC22" s="64">
        <f t="shared" si="60"/>
        <v>15.483048741238344</v>
      </c>
      <c r="DE22" s="8">
        <v>0.14000000000000001</v>
      </c>
      <c r="DF22" s="37">
        <f t="shared" si="80"/>
        <v>189.32682156080617</v>
      </c>
      <c r="DG22" s="43">
        <f t="shared" si="61"/>
        <v>-9.1349876256277884E-2</v>
      </c>
      <c r="DH22" s="44">
        <f t="shared" si="62"/>
        <v>150.90512266599308</v>
      </c>
      <c r="DI22" s="43">
        <f t="shared" si="30"/>
        <v>-0.77763999829668662</v>
      </c>
      <c r="DJ22" s="64">
        <f t="shared" si="84"/>
        <v>36.928695056792769</v>
      </c>
      <c r="DL22" s="8">
        <f t="shared" si="8"/>
        <v>0.14000000000000001</v>
      </c>
      <c r="DM22" s="79">
        <f t="shared" si="31"/>
        <v>189.32682156080617</v>
      </c>
      <c r="DN22" s="43">
        <f t="shared" si="9"/>
        <v>-0.10202481438441668</v>
      </c>
      <c r="DO22" s="44">
        <f t="shared" si="32"/>
        <v>149.13226994129238</v>
      </c>
      <c r="DP22" s="5">
        <f t="shared" si="10"/>
        <v>-0.49491643221653481</v>
      </c>
      <c r="DQ22" s="138">
        <f t="shared" si="33"/>
        <v>83.882339044767932</v>
      </c>
      <c r="DR22" s="43">
        <f t="shared" si="11"/>
        <v>-0.88780805004865293</v>
      </c>
      <c r="DS22" s="64">
        <f t="shared" si="34"/>
        <v>18.632408148243488</v>
      </c>
      <c r="DU22" s="8">
        <v>0.14000000000000001</v>
      </c>
      <c r="DV22" s="37">
        <f t="shared" si="81"/>
        <v>189.32682156080617</v>
      </c>
      <c r="DW22" s="43">
        <f t="shared" si="63"/>
        <v>-0.10202481438441668</v>
      </c>
      <c r="DX22" s="44">
        <f t="shared" si="64"/>
        <v>149.13226994129238</v>
      </c>
      <c r="DY22" s="43">
        <f t="shared" si="35"/>
        <v>-0.49491643221653481</v>
      </c>
      <c r="DZ22" s="44">
        <f t="shared" si="36"/>
        <v>83.882339044767932</v>
      </c>
      <c r="EA22" s="43">
        <f t="shared" si="37"/>
        <v>-0.88780805004865293</v>
      </c>
      <c r="EB22" s="64">
        <f t="shared" si="85"/>
        <v>18.632408148243488</v>
      </c>
      <c r="EE22" s="60">
        <v>166.07615926386504</v>
      </c>
      <c r="EF22" s="60">
        <v>184.75146052804283</v>
      </c>
      <c r="EG22" s="60">
        <v>154.45082811539447</v>
      </c>
      <c r="EH22" s="50">
        <f t="shared" si="65"/>
        <v>-11.625331148470565</v>
      </c>
    </row>
    <row r="23" spans="1:138" ht="20.100000000000001" customHeight="1" x14ac:dyDescent="0.25">
      <c r="A23" s="74" t="s">
        <v>22</v>
      </c>
      <c r="B23" s="89"/>
      <c r="C23" s="121">
        <f t="shared" si="13"/>
        <v>57.484230052062543</v>
      </c>
      <c r="D23" s="98">
        <f t="shared" si="13"/>
        <v>56.367440459263037</v>
      </c>
      <c r="F23" s="9">
        <v>0.09</v>
      </c>
      <c r="G23" s="38">
        <f t="shared" si="38"/>
        <v>62.657810756748177</v>
      </c>
      <c r="H23" s="110">
        <v>-0.14000000000000001</v>
      </c>
      <c r="I23" s="38">
        <f t="shared" si="39"/>
        <v>49.436437844773785</v>
      </c>
      <c r="J23" s="78">
        <f t="shared" si="14"/>
        <v>-0.32</v>
      </c>
      <c r="K23" s="38">
        <f t="shared" si="15"/>
        <v>39.089276435402525</v>
      </c>
      <c r="L23" s="111">
        <v>-0.5</v>
      </c>
      <c r="M23" s="35">
        <f t="shared" si="40"/>
        <v>28.742115026031271</v>
      </c>
      <c r="O23" s="9">
        <v>0.09</v>
      </c>
      <c r="P23" s="38">
        <f t="shared" si="41"/>
        <v>62.657810756748177</v>
      </c>
      <c r="Q23" s="57">
        <v>-0.14000000000000001</v>
      </c>
      <c r="R23" s="38">
        <f t="shared" si="42"/>
        <v>49.436437844773785</v>
      </c>
      <c r="S23" s="76">
        <f t="shared" si="16"/>
        <v>-0.32</v>
      </c>
      <c r="T23" s="38">
        <f t="shared" si="43"/>
        <v>39.089276435402525</v>
      </c>
      <c r="U23" s="58">
        <v>-0.5</v>
      </c>
      <c r="V23" s="35">
        <f t="shared" si="44"/>
        <v>28.742115026031271</v>
      </c>
      <c r="X23" s="9">
        <v>0.09</v>
      </c>
      <c r="Y23" s="38">
        <f t="shared" si="66"/>
        <v>62.657810756748177</v>
      </c>
      <c r="Z23" s="257" t="s">
        <v>36</v>
      </c>
      <c r="AA23" s="258"/>
      <c r="AB23" s="259" t="s">
        <v>36</v>
      </c>
      <c r="AC23" s="260"/>
      <c r="AE23" s="9">
        <v>0.09</v>
      </c>
      <c r="AF23" s="38">
        <f t="shared" si="67"/>
        <v>62.657810756748177</v>
      </c>
      <c r="AG23" s="257" t="s">
        <v>36</v>
      </c>
      <c r="AH23" s="258"/>
      <c r="AI23" s="259" t="s">
        <v>36</v>
      </c>
      <c r="AJ23" s="260"/>
      <c r="AL23" s="9">
        <v>0.09</v>
      </c>
      <c r="AM23" s="38">
        <f t="shared" si="68"/>
        <v>62.657810756748177</v>
      </c>
      <c r="AN23" s="32">
        <v>-0.14000000000000001</v>
      </c>
      <c r="AO23" s="38">
        <f t="shared" si="69"/>
        <v>49.436437844773785</v>
      </c>
      <c r="AP23" s="27">
        <v>-0.5</v>
      </c>
      <c r="AQ23" s="35">
        <f t="shared" si="70"/>
        <v>28.742115026031271</v>
      </c>
      <c r="AS23" s="9">
        <f t="shared" si="0"/>
        <v>0.09</v>
      </c>
      <c r="AT23" s="80">
        <f t="shared" si="17"/>
        <v>62.657810756748177</v>
      </c>
      <c r="AU23" s="110">
        <f t="shared" si="1"/>
        <v>-0.14000000000000001</v>
      </c>
      <c r="AV23" s="38">
        <f t="shared" si="18"/>
        <v>49.436437844773785</v>
      </c>
      <c r="AW23" s="137">
        <f t="shared" si="2"/>
        <v>-0.32</v>
      </c>
      <c r="AX23" s="80">
        <f t="shared" si="19"/>
        <v>39.089276435402525</v>
      </c>
      <c r="AY23" s="110">
        <f t="shared" si="3"/>
        <v>-0.5</v>
      </c>
      <c r="AZ23" s="35">
        <f t="shared" si="20"/>
        <v>28.742115026031271</v>
      </c>
      <c r="BB23" s="9">
        <f t="shared" si="45"/>
        <v>0.09</v>
      </c>
      <c r="BC23" s="80">
        <f t="shared" si="46"/>
        <v>62.657810756748177</v>
      </c>
      <c r="BD23" s="57">
        <f t="shared" si="47"/>
        <v>-0.14000000000000001</v>
      </c>
      <c r="BE23" s="38">
        <f t="shared" si="48"/>
        <v>49.436437844773785</v>
      </c>
      <c r="BF23" s="78">
        <f t="shared" si="49"/>
        <v>-0.32</v>
      </c>
      <c r="BG23" s="38">
        <f t="shared" si="50"/>
        <v>39.089276435402525</v>
      </c>
      <c r="BH23" s="58">
        <f t="shared" si="51"/>
        <v>-0.5</v>
      </c>
      <c r="BI23" s="35">
        <f t="shared" si="52"/>
        <v>28.742115026031271</v>
      </c>
      <c r="BK23" s="9">
        <v>0.09</v>
      </c>
      <c r="BL23" s="38">
        <f t="shared" si="71"/>
        <v>62.657810756748177</v>
      </c>
      <c r="BM23" s="32">
        <v>-0.14000000000000001</v>
      </c>
      <c r="BN23" s="38">
        <f t="shared" si="72"/>
        <v>49.436437844773785</v>
      </c>
      <c r="BO23" s="27">
        <v>-0.5</v>
      </c>
      <c r="BP23" s="35">
        <f t="shared" si="73"/>
        <v>28.742115026031271</v>
      </c>
      <c r="BR23" s="9">
        <v>0.09</v>
      </c>
      <c r="BS23" s="38">
        <f t="shared" si="74"/>
        <v>62.657810756748177</v>
      </c>
      <c r="BT23" s="47">
        <f t="shared" si="82"/>
        <v>-0.28333333333333344</v>
      </c>
      <c r="BU23" s="48">
        <f t="shared" si="53"/>
        <v>41.197031537311481</v>
      </c>
      <c r="BV23" s="10">
        <f t="shared" si="83"/>
        <v>-0.75000000000000022</v>
      </c>
      <c r="BW23" s="65">
        <f t="shared" si="54"/>
        <v>14.371057513015623</v>
      </c>
      <c r="BY23" s="9">
        <v>0.09</v>
      </c>
      <c r="BZ23" s="38">
        <f t="shared" si="75"/>
        <v>62.657810756748177</v>
      </c>
      <c r="CA23" s="32">
        <v>-0.14000000000000001</v>
      </c>
      <c r="CB23" s="38">
        <f t="shared" si="76"/>
        <v>49.436437844773785</v>
      </c>
      <c r="CC23" s="27">
        <v>-0.5</v>
      </c>
      <c r="CD23" s="35">
        <f t="shared" si="77"/>
        <v>28.742115026031271</v>
      </c>
      <c r="CE23" s="1"/>
      <c r="CF23" s="9">
        <v>0.09</v>
      </c>
      <c r="CG23" s="38">
        <f t="shared" si="78"/>
        <v>62.657810756748177</v>
      </c>
      <c r="CH23" s="47">
        <f t="shared" si="55"/>
        <v>-0.14000000000000001</v>
      </c>
      <c r="CI23" s="48">
        <f t="shared" si="56"/>
        <v>49.436437844773785</v>
      </c>
      <c r="CJ23" s="47">
        <f t="shared" si="22"/>
        <v>-0.8172749963488487</v>
      </c>
      <c r="CK23" s="65">
        <f t="shared" si="57"/>
        <v>10.503806146146747</v>
      </c>
      <c r="CM23" s="9">
        <f t="shared" si="4"/>
        <v>0.09</v>
      </c>
      <c r="CN23" s="80">
        <f t="shared" si="23"/>
        <v>62.657810756748177</v>
      </c>
      <c r="CO23" s="47">
        <f t="shared" si="5"/>
        <v>-0.14000000000000001</v>
      </c>
      <c r="CP23" s="48">
        <f t="shared" si="24"/>
        <v>49.436437844773785</v>
      </c>
      <c r="CQ23" s="10">
        <f t="shared" si="6"/>
        <v>-0.52689430066533327</v>
      </c>
      <c r="CR23" s="139">
        <f t="shared" si="25"/>
        <v>27.196116859495916</v>
      </c>
      <c r="CS23" s="47">
        <f t="shared" si="7"/>
        <v>-0.91378860133066653</v>
      </c>
      <c r="CT23" s="65">
        <f t="shared" si="26"/>
        <v>4.9557958742180457</v>
      </c>
      <c r="CU23" s="1"/>
      <c r="CV23" s="9">
        <v>0.09</v>
      </c>
      <c r="CW23" s="38">
        <f t="shared" si="79"/>
        <v>62.657810756748177</v>
      </c>
      <c r="CX23" s="47">
        <f t="shared" si="58"/>
        <v>-0.14000000000000001</v>
      </c>
      <c r="CY23" s="48">
        <f t="shared" si="59"/>
        <v>49.436437844773785</v>
      </c>
      <c r="CZ23" s="45">
        <f t="shared" si="27"/>
        <v>-0.52689430066533327</v>
      </c>
      <c r="DA23" s="48">
        <f t="shared" si="28"/>
        <v>27.196116859495916</v>
      </c>
      <c r="DB23" s="47">
        <f t="shared" si="29"/>
        <v>-0.91378860133066653</v>
      </c>
      <c r="DC23" s="65">
        <f t="shared" si="60"/>
        <v>4.9557958742180457</v>
      </c>
      <c r="DE23" s="9">
        <v>0.09</v>
      </c>
      <c r="DF23" s="38">
        <f t="shared" si="80"/>
        <v>62.657810756748177</v>
      </c>
      <c r="DG23" s="47">
        <f t="shared" si="61"/>
        <v>-0.18269975251255544</v>
      </c>
      <c r="DH23" s="48">
        <f t="shared" si="62"/>
        <v>46.981875448175913</v>
      </c>
      <c r="DI23" s="47">
        <f t="shared" si="30"/>
        <v>-0.79999465176468354</v>
      </c>
      <c r="DJ23" s="65">
        <f t="shared" si="84"/>
        <v>11.497153449601814</v>
      </c>
      <c r="DL23" s="9">
        <f t="shared" si="8"/>
        <v>0.09</v>
      </c>
      <c r="DM23" s="80">
        <f t="shared" si="31"/>
        <v>62.657810756748177</v>
      </c>
      <c r="DN23" s="47">
        <f t="shared" si="9"/>
        <v>-0.20404962876883326</v>
      </c>
      <c r="DO23" s="48">
        <f t="shared" si="32"/>
        <v>45.754594249876973</v>
      </c>
      <c r="DP23" s="10">
        <f t="shared" si="10"/>
        <v>-0.5523022687933008</v>
      </c>
      <c r="DQ23" s="139">
        <f t="shared" si="33"/>
        <v>25.735559374472359</v>
      </c>
      <c r="DR23" s="47">
        <f t="shared" si="11"/>
        <v>-0.90055490881776823</v>
      </c>
      <c r="DS23" s="65">
        <f t="shared" si="34"/>
        <v>5.716524499067746</v>
      </c>
      <c r="DU23" s="9">
        <v>0.09</v>
      </c>
      <c r="DV23" s="38">
        <f t="shared" si="81"/>
        <v>62.657810756748177</v>
      </c>
      <c r="DW23" s="47">
        <f t="shared" si="63"/>
        <v>-0.20404962876883326</v>
      </c>
      <c r="DX23" s="48">
        <f t="shared" si="64"/>
        <v>45.754594249876973</v>
      </c>
      <c r="DY23" s="45">
        <f t="shared" si="35"/>
        <v>-0.5523022687933008</v>
      </c>
      <c r="DZ23" s="48">
        <f t="shared" si="36"/>
        <v>25.735559374472359</v>
      </c>
      <c r="EA23" s="47">
        <f t="shared" si="37"/>
        <v>-0.90055490881776823</v>
      </c>
      <c r="EB23" s="65">
        <f t="shared" si="85"/>
        <v>5.716524499067746</v>
      </c>
      <c r="EE23" s="60">
        <v>57.484230052062543</v>
      </c>
      <c r="EF23" s="60">
        <v>56.367440459263037</v>
      </c>
      <c r="EG23" s="60">
        <v>49.436437844773785</v>
      </c>
      <c r="EH23" s="50">
        <f t="shared" si="65"/>
        <v>-8.047792207288758</v>
      </c>
    </row>
    <row r="24" spans="1:138" ht="20.100000000000001" customHeight="1" x14ac:dyDescent="0.25">
      <c r="A24" s="69" t="s">
        <v>23</v>
      </c>
      <c r="B24" s="84"/>
      <c r="C24" s="119">
        <f t="shared" si="13"/>
        <v>20.830823571011379</v>
      </c>
      <c r="D24" s="96">
        <f t="shared" si="13"/>
        <v>19.953049173648814</v>
      </c>
      <c r="F24" s="3">
        <v>0.2</v>
      </c>
      <c r="G24" s="18">
        <f t="shared" si="38"/>
        <v>24.996988285213654</v>
      </c>
      <c r="H24" s="108">
        <v>0</v>
      </c>
      <c r="I24" s="36">
        <f t="shared" si="39"/>
        <v>20.830823571011379</v>
      </c>
      <c r="J24" s="77">
        <f t="shared" si="14"/>
        <v>-0.3</v>
      </c>
      <c r="K24" s="37">
        <f t="shared" si="15"/>
        <v>14.581576499707966</v>
      </c>
      <c r="L24" s="109">
        <v>-0.6</v>
      </c>
      <c r="M24" s="34">
        <f t="shared" si="40"/>
        <v>8.3323294284045524</v>
      </c>
      <c r="O24" s="3">
        <v>0.2</v>
      </c>
      <c r="P24" s="18">
        <f t="shared" si="41"/>
        <v>24.996988285213654</v>
      </c>
      <c r="Q24" s="56">
        <v>0</v>
      </c>
      <c r="R24" s="36">
        <f t="shared" si="42"/>
        <v>20.830823571011379</v>
      </c>
      <c r="S24" s="77">
        <f t="shared" si="16"/>
        <v>-0.3</v>
      </c>
      <c r="T24" s="36">
        <f t="shared" si="43"/>
        <v>14.581576499707964</v>
      </c>
      <c r="U24" s="54">
        <v>-0.6</v>
      </c>
      <c r="V24" s="34">
        <f t="shared" si="44"/>
        <v>8.3323294284045524</v>
      </c>
      <c r="X24" s="3">
        <v>0.2</v>
      </c>
      <c r="Y24" s="18">
        <f t="shared" si="66"/>
        <v>24.996988285213654</v>
      </c>
      <c r="Z24" s="235" t="s">
        <v>36</v>
      </c>
      <c r="AA24" s="236"/>
      <c r="AB24" s="254" t="s">
        <v>36</v>
      </c>
      <c r="AC24" s="254"/>
      <c r="AE24" s="3">
        <v>0.2</v>
      </c>
      <c r="AF24" s="18">
        <f t="shared" si="67"/>
        <v>24.996988285213654</v>
      </c>
      <c r="AG24" s="235" t="s">
        <v>36</v>
      </c>
      <c r="AH24" s="236"/>
      <c r="AI24" s="254" t="s">
        <v>36</v>
      </c>
      <c r="AJ24" s="254"/>
      <c r="AL24" s="3">
        <v>0.2</v>
      </c>
      <c r="AM24" s="18">
        <f t="shared" si="68"/>
        <v>24.996988285213654</v>
      </c>
      <c r="AN24" s="31">
        <v>0</v>
      </c>
      <c r="AO24" s="36">
        <f t="shared" si="69"/>
        <v>20.830823571011379</v>
      </c>
      <c r="AP24" s="19">
        <v>-0.6</v>
      </c>
      <c r="AQ24" s="34">
        <f t="shared" si="70"/>
        <v>8.3323294284045524</v>
      </c>
      <c r="AS24" s="8">
        <f t="shared" si="0"/>
        <v>0.2</v>
      </c>
      <c r="AT24" s="79">
        <f t="shared" si="17"/>
        <v>24.996988285213654</v>
      </c>
      <c r="AU24" s="107">
        <f t="shared" si="1"/>
        <v>0</v>
      </c>
      <c r="AV24" s="37">
        <f t="shared" si="18"/>
        <v>20.830823571011379</v>
      </c>
      <c r="AW24" s="135">
        <f t="shared" si="2"/>
        <v>-0.3</v>
      </c>
      <c r="AX24" s="79">
        <f t="shared" si="19"/>
        <v>14.581576499707964</v>
      </c>
      <c r="AY24" s="107">
        <f t="shared" si="3"/>
        <v>-0.6</v>
      </c>
      <c r="AZ24" s="63">
        <f t="shared" si="20"/>
        <v>8.3323294284045524</v>
      </c>
      <c r="BB24" s="8">
        <f t="shared" si="45"/>
        <v>0.2</v>
      </c>
      <c r="BC24" s="79">
        <f t="shared" si="46"/>
        <v>24.996988285213654</v>
      </c>
      <c r="BD24" s="59">
        <f t="shared" si="47"/>
        <v>0</v>
      </c>
      <c r="BE24" s="37">
        <f t="shared" si="48"/>
        <v>20.830823571011379</v>
      </c>
      <c r="BF24" s="77">
        <f t="shared" si="49"/>
        <v>-0.3</v>
      </c>
      <c r="BG24" s="37">
        <f t="shared" si="50"/>
        <v>14.581576499707964</v>
      </c>
      <c r="BH24" s="55">
        <f t="shared" si="51"/>
        <v>-0.6</v>
      </c>
      <c r="BI24" s="63">
        <f t="shared" si="52"/>
        <v>8.3323294284045524</v>
      </c>
      <c r="BK24" s="3">
        <v>0.2</v>
      </c>
      <c r="BL24" s="18">
        <f t="shared" si="71"/>
        <v>24.996988285213654</v>
      </c>
      <c r="BM24" s="31">
        <v>0</v>
      </c>
      <c r="BN24" s="36">
        <f t="shared" si="72"/>
        <v>20.830823571011379</v>
      </c>
      <c r="BO24" s="19">
        <v>-0.6</v>
      </c>
      <c r="BP24" s="34">
        <f t="shared" si="73"/>
        <v>8.3323294284045524</v>
      </c>
      <c r="BR24" s="3">
        <v>0.2</v>
      </c>
      <c r="BS24" s="18">
        <f t="shared" si="74"/>
        <v>24.996988285213654</v>
      </c>
      <c r="BT24" s="45">
        <f t="shared" si="82"/>
        <v>-0.16666666666666669</v>
      </c>
      <c r="BU24" s="46">
        <f t="shared" si="53"/>
        <v>17.35901964250948</v>
      </c>
      <c r="BV24" s="6">
        <f t="shared" si="83"/>
        <v>-0.80000000000000016</v>
      </c>
      <c r="BW24" s="33">
        <f t="shared" si="54"/>
        <v>4.1661647142022726</v>
      </c>
      <c r="BY24" s="3">
        <v>0.2</v>
      </c>
      <c r="BZ24" s="18">
        <f t="shared" si="75"/>
        <v>24.996988285213654</v>
      </c>
      <c r="CA24" s="31">
        <v>0</v>
      </c>
      <c r="CB24" s="36">
        <f t="shared" si="76"/>
        <v>20.830823571011379</v>
      </c>
      <c r="CC24" s="19">
        <v>-0.6</v>
      </c>
      <c r="CD24" s="34">
        <f t="shared" si="77"/>
        <v>8.3323294284045524</v>
      </c>
      <c r="CE24" s="1"/>
      <c r="CF24" s="3">
        <v>0.2</v>
      </c>
      <c r="CG24" s="18">
        <f t="shared" si="78"/>
        <v>24.996988285213654</v>
      </c>
      <c r="CH24" s="45">
        <f t="shared" si="55"/>
        <v>0</v>
      </c>
      <c r="CI24" s="46">
        <f t="shared" si="56"/>
        <v>20.830823571011379</v>
      </c>
      <c r="CJ24" s="45">
        <f t="shared" si="22"/>
        <v>-0.78752906552191715</v>
      </c>
      <c r="CK24" s="33">
        <f t="shared" si="57"/>
        <v>4.425944550080863</v>
      </c>
      <c r="CM24" s="8">
        <f t="shared" si="4"/>
        <v>0.2</v>
      </c>
      <c r="CN24" s="79">
        <f t="shared" si="23"/>
        <v>24.996988285213654</v>
      </c>
      <c r="CO24" s="43">
        <f t="shared" si="5"/>
        <v>0</v>
      </c>
      <c r="CP24" s="44">
        <f t="shared" si="24"/>
        <v>20.830823571011379</v>
      </c>
      <c r="CQ24" s="5">
        <f t="shared" si="6"/>
        <v>-0.44987709379689911</v>
      </c>
      <c r="CR24" s="138">
        <f t="shared" si="25"/>
        <v>11.459513201488836</v>
      </c>
      <c r="CS24" s="43">
        <f t="shared" si="7"/>
        <v>-0.89975418759379822</v>
      </c>
      <c r="CT24" s="64">
        <f t="shared" si="26"/>
        <v>2.0882028319662926</v>
      </c>
      <c r="CU24" s="1"/>
      <c r="CV24" s="3">
        <v>0.2</v>
      </c>
      <c r="CW24" s="18">
        <f t="shared" si="79"/>
        <v>24.996988285213654</v>
      </c>
      <c r="CX24" s="45">
        <f t="shared" si="58"/>
        <v>0</v>
      </c>
      <c r="CY24" s="46">
        <f t="shared" si="59"/>
        <v>20.830823571011379</v>
      </c>
      <c r="CZ24" s="43">
        <f t="shared" si="27"/>
        <v>-0.44987709379689911</v>
      </c>
      <c r="DA24" s="44">
        <f t="shared" si="28"/>
        <v>11.459513201488836</v>
      </c>
      <c r="DB24" s="45">
        <f t="shared" si="29"/>
        <v>-0.89975418759379822</v>
      </c>
      <c r="DC24" s="33">
        <f t="shared" si="60"/>
        <v>2.0882028319662926</v>
      </c>
      <c r="DE24" s="3">
        <v>0.2</v>
      </c>
      <c r="DF24" s="18">
        <f t="shared" si="80"/>
        <v>24.996988285213654</v>
      </c>
      <c r="DG24" s="45">
        <f t="shared" si="61"/>
        <v>0</v>
      </c>
      <c r="DH24" s="46">
        <f t="shared" si="62"/>
        <v>20.830823571011379</v>
      </c>
      <c r="DI24" s="45">
        <f t="shared" si="30"/>
        <v>-0.75528534482868981</v>
      </c>
      <c r="DJ24" s="33">
        <f t="shared" si="84"/>
        <v>5.0976078071144508</v>
      </c>
      <c r="DL24" s="8">
        <f t="shared" si="8"/>
        <v>0.2</v>
      </c>
      <c r="DM24" s="79">
        <f t="shared" si="31"/>
        <v>24.996988285213654</v>
      </c>
      <c r="DN24" s="43">
        <f t="shared" si="9"/>
        <v>0</v>
      </c>
      <c r="DO24" s="44">
        <f t="shared" si="32"/>
        <v>20.830823571011379</v>
      </c>
      <c r="DP24" s="5">
        <f t="shared" si="10"/>
        <v>-0.43753059563976882</v>
      </c>
      <c r="DQ24" s="138">
        <f t="shared" si="33"/>
        <v>11.716700926319835</v>
      </c>
      <c r="DR24" s="43">
        <f t="shared" si="11"/>
        <v>-0.87506119127953763</v>
      </c>
      <c r="DS24" s="64">
        <f t="shared" si="34"/>
        <v>2.6025782816282894</v>
      </c>
      <c r="DU24" s="3">
        <v>0.2</v>
      </c>
      <c r="DV24" s="18">
        <f t="shared" si="81"/>
        <v>24.996988285213654</v>
      </c>
      <c r="DW24" s="45">
        <f t="shared" si="63"/>
        <v>0</v>
      </c>
      <c r="DX24" s="46">
        <f t="shared" si="64"/>
        <v>20.830823571011379</v>
      </c>
      <c r="DY24" s="43">
        <f t="shared" si="35"/>
        <v>-0.43753059563976882</v>
      </c>
      <c r="DZ24" s="44">
        <f t="shared" si="36"/>
        <v>11.716700926319835</v>
      </c>
      <c r="EA24" s="45">
        <f t="shared" si="37"/>
        <v>-0.87506119127953763</v>
      </c>
      <c r="EB24" s="33">
        <f t="shared" si="85"/>
        <v>2.6025782816282894</v>
      </c>
      <c r="EE24" s="60">
        <v>20.830823571011379</v>
      </c>
      <c r="EF24" s="60">
        <v>19.953049173648814</v>
      </c>
      <c r="EG24" s="60">
        <v>20.830823571011379</v>
      </c>
      <c r="EH24" s="50">
        <f t="shared" si="65"/>
        <v>0</v>
      </c>
    </row>
    <row r="25" spans="1:138" ht="20.100000000000001" customHeight="1" x14ac:dyDescent="0.25">
      <c r="A25" s="72" t="s">
        <v>24</v>
      </c>
      <c r="B25" s="87"/>
      <c r="C25" s="119">
        <f t="shared" si="13"/>
        <v>73.89858291234539</v>
      </c>
      <c r="D25" s="96">
        <f t="shared" si="13"/>
        <v>65.68525005557116</v>
      </c>
      <c r="F25" s="3">
        <v>0.19</v>
      </c>
      <c r="G25" s="18">
        <f t="shared" si="38"/>
        <v>87.939313665691003</v>
      </c>
      <c r="H25" s="108">
        <v>-0.02</v>
      </c>
      <c r="I25" s="36">
        <f t="shared" si="39"/>
        <v>72.420611254098475</v>
      </c>
      <c r="J25" s="76">
        <f t="shared" si="14"/>
        <v>-0.31</v>
      </c>
      <c r="K25" s="36">
        <f t="shared" si="15"/>
        <v>50.990022209518315</v>
      </c>
      <c r="L25" s="109">
        <v>-0.6</v>
      </c>
      <c r="M25" s="34">
        <f t="shared" si="40"/>
        <v>29.559433164938156</v>
      </c>
      <c r="O25" s="3">
        <v>0.19</v>
      </c>
      <c r="P25" s="18">
        <f t="shared" si="41"/>
        <v>87.939313665691003</v>
      </c>
      <c r="Q25" s="56">
        <v>-0.02</v>
      </c>
      <c r="R25" s="36">
        <f t="shared" si="42"/>
        <v>72.420611254098475</v>
      </c>
      <c r="S25" s="76">
        <f t="shared" ref="S25:S34" si="86">+(Q25+U25)/2</f>
        <v>-0.31</v>
      </c>
      <c r="T25" s="36">
        <f t="shared" si="43"/>
        <v>50.990022209518315</v>
      </c>
      <c r="U25" s="54">
        <v>-0.6</v>
      </c>
      <c r="V25" s="34">
        <f t="shared" si="44"/>
        <v>29.559433164938156</v>
      </c>
      <c r="X25" s="3">
        <v>0.19</v>
      </c>
      <c r="Y25" s="18">
        <f t="shared" si="66"/>
        <v>87.939313665691003</v>
      </c>
      <c r="Z25" s="255" t="s">
        <v>36</v>
      </c>
      <c r="AA25" s="256"/>
      <c r="AB25" s="254" t="s">
        <v>36</v>
      </c>
      <c r="AC25" s="254"/>
      <c r="AE25" s="3">
        <v>0.19</v>
      </c>
      <c r="AF25" s="18">
        <f t="shared" si="67"/>
        <v>87.939313665691003</v>
      </c>
      <c r="AG25" s="255" t="s">
        <v>36</v>
      </c>
      <c r="AH25" s="256"/>
      <c r="AI25" s="254" t="s">
        <v>36</v>
      </c>
      <c r="AJ25" s="254"/>
      <c r="AL25" s="3">
        <v>0.19</v>
      </c>
      <c r="AM25" s="18">
        <f t="shared" si="68"/>
        <v>87.939313665691003</v>
      </c>
      <c r="AN25" s="31">
        <v>-0.02</v>
      </c>
      <c r="AO25" s="36">
        <f t="shared" si="69"/>
        <v>72.420611254098475</v>
      </c>
      <c r="AP25" s="19">
        <v>-0.6</v>
      </c>
      <c r="AQ25" s="34">
        <f t="shared" si="70"/>
        <v>29.559433164938156</v>
      </c>
      <c r="AS25" s="3">
        <f t="shared" si="0"/>
        <v>0.19</v>
      </c>
      <c r="AT25" s="18">
        <f t="shared" si="17"/>
        <v>87.939313665691003</v>
      </c>
      <c r="AU25" s="108">
        <f t="shared" si="1"/>
        <v>-0.02</v>
      </c>
      <c r="AV25" s="36">
        <f t="shared" si="18"/>
        <v>72.420611254098475</v>
      </c>
      <c r="AW25" s="136">
        <f t="shared" si="2"/>
        <v>-0.31</v>
      </c>
      <c r="AX25" s="18">
        <f t="shared" si="19"/>
        <v>50.990022209518315</v>
      </c>
      <c r="AY25" s="108">
        <f t="shared" si="3"/>
        <v>-0.6</v>
      </c>
      <c r="AZ25" s="34">
        <f t="shared" si="20"/>
        <v>29.559433164938156</v>
      </c>
      <c r="BB25" s="3">
        <f t="shared" si="45"/>
        <v>0.19</v>
      </c>
      <c r="BC25" s="18">
        <f t="shared" si="46"/>
        <v>87.939313665691003</v>
      </c>
      <c r="BD25" s="56">
        <f t="shared" si="47"/>
        <v>-0.02</v>
      </c>
      <c r="BE25" s="36">
        <f t="shared" si="48"/>
        <v>72.420611254098475</v>
      </c>
      <c r="BF25" s="76">
        <f t="shared" si="49"/>
        <v>-0.31</v>
      </c>
      <c r="BG25" s="36">
        <f t="shared" si="50"/>
        <v>50.990022209518315</v>
      </c>
      <c r="BH25" s="54">
        <f t="shared" si="51"/>
        <v>-0.6</v>
      </c>
      <c r="BI25" s="34">
        <f t="shared" si="52"/>
        <v>29.559433164938156</v>
      </c>
      <c r="BK25" s="3">
        <v>0.19</v>
      </c>
      <c r="BL25" s="18">
        <f t="shared" si="71"/>
        <v>87.939313665691003</v>
      </c>
      <c r="BM25" s="31">
        <v>-0.02</v>
      </c>
      <c r="BN25" s="36">
        <f t="shared" si="72"/>
        <v>72.420611254098475</v>
      </c>
      <c r="BO25" s="19">
        <v>-0.6</v>
      </c>
      <c r="BP25" s="34">
        <f t="shared" si="73"/>
        <v>29.559433164938156</v>
      </c>
      <c r="BR25" s="3">
        <v>0.19</v>
      </c>
      <c r="BS25" s="18">
        <f t="shared" si="74"/>
        <v>87.939313665691003</v>
      </c>
      <c r="BT25" s="45">
        <f t="shared" si="82"/>
        <v>-0.18333333333333343</v>
      </c>
      <c r="BU25" s="46">
        <f t="shared" si="53"/>
        <v>60.350509378415396</v>
      </c>
      <c r="BV25" s="6">
        <f t="shared" si="83"/>
        <v>-0.80000000000000016</v>
      </c>
      <c r="BW25" s="33">
        <f t="shared" si="54"/>
        <v>14.779716582469067</v>
      </c>
      <c r="BY25" s="3">
        <v>0.19</v>
      </c>
      <c r="BZ25" s="18">
        <f t="shared" si="75"/>
        <v>87.939313665691003</v>
      </c>
      <c r="CA25" s="31">
        <v>-0.02</v>
      </c>
      <c r="CB25" s="36">
        <f t="shared" si="76"/>
        <v>72.420611254098475</v>
      </c>
      <c r="CC25" s="19">
        <v>-0.6</v>
      </c>
      <c r="CD25" s="34">
        <f t="shared" si="77"/>
        <v>29.559433164938156</v>
      </c>
      <c r="CE25" s="1"/>
      <c r="CF25" s="3">
        <v>0.19</v>
      </c>
      <c r="CG25" s="18">
        <f t="shared" si="78"/>
        <v>87.939313665691003</v>
      </c>
      <c r="CH25" s="45">
        <f t="shared" si="55"/>
        <v>-2.0000000000000129E-2</v>
      </c>
      <c r="CI25" s="46">
        <f t="shared" si="56"/>
        <v>72.420611254098475</v>
      </c>
      <c r="CJ25" s="45">
        <f t="shared" si="22"/>
        <v>-0.79177848421147878</v>
      </c>
      <c r="CK25" s="33">
        <f t="shared" si="57"/>
        <v>15.387274948632266</v>
      </c>
      <c r="CM25" s="3">
        <f t="shared" si="4"/>
        <v>0.19</v>
      </c>
      <c r="CN25" s="18">
        <f t="shared" si="23"/>
        <v>87.939313665691003</v>
      </c>
      <c r="CO25" s="45">
        <f t="shared" si="5"/>
        <v>-2.0000000000000129E-2</v>
      </c>
      <c r="CP25" s="46">
        <f t="shared" si="24"/>
        <v>72.420611254098475</v>
      </c>
      <c r="CQ25" s="6">
        <f t="shared" si="6"/>
        <v>-0.46087955192096119</v>
      </c>
      <c r="CR25" s="134">
        <f t="shared" si="25"/>
        <v>39.84023713210965</v>
      </c>
      <c r="CS25" s="45">
        <f t="shared" si="7"/>
        <v>-0.90175910384192226</v>
      </c>
      <c r="CT25" s="33">
        <f t="shared" si="26"/>
        <v>7.2598630101208181</v>
      </c>
      <c r="CU25" s="1"/>
      <c r="CV25" s="3">
        <v>0.19</v>
      </c>
      <c r="CW25" s="18">
        <f t="shared" si="79"/>
        <v>87.939313665691003</v>
      </c>
      <c r="CX25" s="45">
        <f t="shared" si="58"/>
        <v>-2.0000000000000129E-2</v>
      </c>
      <c r="CY25" s="46">
        <f t="shared" si="59"/>
        <v>72.420611254098475</v>
      </c>
      <c r="CZ25" s="45">
        <f t="shared" si="27"/>
        <v>-0.46087955192096119</v>
      </c>
      <c r="DA25" s="46">
        <f t="shared" si="28"/>
        <v>39.84023713210965</v>
      </c>
      <c r="DB25" s="45">
        <f t="shared" si="29"/>
        <v>-0.90175910384192226</v>
      </c>
      <c r="DC25" s="33">
        <f t="shared" si="60"/>
        <v>7.2598630101208181</v>
      </c>
      <c r="DE25" s="3">
        <v>0.19</v>
      </c>
      <c r="DF25" s="18">
        <f t="shared" si="80"/>
        <v>87.939313665691003</v>
      </c>
      <c r="DG25" s="45">
        <f t="shared" si="61"/>
        <v>-2.6099964644650808E-2</v>
      </c>
      <c r="DH25" s="46">
        <f t="shared" si="62"/>
        <v>71.969832511043379</v>
      </c>
      <c r="DI25" s="45">
        <f t="shared" si="30"/>
        <v>-0.76167238867668885</v>
      </c>
      <c r="DJ25" s="33">
        <f t="shared" si="84"/>
        <v>17.612072745676933</v>
      </c>
      <c r="DL25" s="3">
        <f t="shared" si="8"/>
        <v>0.19</v>
      </c>
      <c r="DM25" s="18">
        <f t="shared" si="31"/>
        <v>87.939313665691003</v>
      </c>
      <c r="DN25" s="45">
        <f t="shared" si="9"/>
        <v>-2.9149946966976259E-2</v>
      </c>
      <c r="DO25" s="46">
        <f t="shared" si="32"/>
        <v>71.744443139515823</v>
      </c>
      <c r="DP25" s="6">
        <f t="shared" si="10"/>
        <v>-0.4539265489474163</v>
      </c>
      <c r="DQ25" s="134">
        <f t="shared" si="33"/>
        <v>40.35405419883994</v>
      </c>
      <c r="DR25" s="45">
        <f t="shared" si="11"/>
        <v>-0.87870315092785634</v>
      </c>
      <c r="DS25" s="33">
        <f t="shared" si="34"/>
        <v>8.9636652581640544</v>
      </c>
      <c r="DU25" s="3">
        <v>0.19</v>
      </c>
      <c r="DV25" s="18">
        <f t="shared" si="81"/>
        <v>87.939313665691003</v>
      </c>
      <c r="DW25" s="45">
        <f t="shared" si="63"/>
        <v>-2.9149946966976259E-2</v>
      </c>
      <c r="DX25" s="46">
        <f t="shared" si="64"/>
        <v>71.744443139515823</v>
      </c>
      <c r="DY25" s="45">
        <f t="shared" si="35"/>
        <v>-0.4539265489474163</v>
      </c>
      <c r="DZ25" s="46">
        <f t="shared" si="36"/>
        <v>40.35405419883994</v>
      </c>
      <c r="EA25" s="45">
        <f t="shared" si="37"/>
        <v>-0.87870315092785634</v>
      </c>
      <c r="EB25" s="33">
        <f t="shared" si="85"/>
        <v>8.9636652581640544</v>
      </c>
      <c r="EE25" s="60">
        <v>73.89858291234539</v>
      </c>
      <c r="EF25" s="60">
        <v>65.68525005557116</v>
      </c>
      <c r="EG25" s="60">
        <v>72.420611254098475</v>
      </c>
      <c r="EH25" s="50">
        <f t="shared" si="65"/>
        <v>-1.4779716582469149</v>
      </c>
    </row>
    <row r="26" spans="1:138" ht="20.100000000000001" customHeight="1" x14ac:dyDescent="0.25">
      <c r="A26" s="72" t="s">
        <v>25</v>
      </c>
      <c r="B26" s="87"/>
      <c r="C26" s="119">
        <f t="shared" si="13"/>
        <v>5.6278485342273434</v>
      </c>
      <c r="D26" s="96">
        <f t="shared" si="13"/>
        <v>5.7922263292033165</v>
      </c>
      <c r="F26" s="3">
        <v>0.11</v>
      </c>
      <c r="G26" s="18">
        <f t="shared" si="38"/>
        <v>6.2469118729923521</v>
      </c>
      <c r="H26" s="108">
        <v>-0.13</v>
      </c>
      <c r="I26" s="36">
        <f t="shared" si="39"/>
        <v>4.8962282247777891</v>
      </c>
      <c r="J26" s="76">
        <f t="shared" si="14"/>
        <v>-0.36499999999999999</v>
      </c>
      <c r="K26" s="36">
        <f t="shared" si="15"/>
        <v>3.573683819234363</v>
      </c>
      <c r="L26" s="109">
        <v>-0.6</v>
      </c>
      <c r="M26" s="34">
        <f t="shared" si="40"/>
        <v>2.2511394136909373</v>
      </c>
      <c r="O26" s="3">
        <v>0.11</v>
      </c>
      <c r="P26" s="18">
        <f t="shared" si="41"/>
        <v>6.2469118729923521</v>
      </c>
      <c r="Q26" s="56">
        <v>-0.13</v>
      </c>
      <c r="R26" s="36">
        <f t="shared" si="42"/>
        <v>4.8962282247777891</v>
      </c>
      <c r="S26" s="76">
        <f t="shared" si="86"/>
        <v>-0.36499999999999999</v>
      </c>
      <c r="T26" s="36">
        <f t="shared" si="43"/>
        <v>3.573683819234363</v>
      </c>
      <c r="U26" s="54">
        <v>-0.6</v>
      </c>
      <c r="V26" s="34">
        <f t="shared" si="44"/>
        <v>2.2511394136909373</v>
      </c>
      <c r="X26" s="3">
        <v>0.11</v>
      </c>
      <c r="Y26" s="18">
        <f t="shared" si="66"/>
        <v>6.2469118729923521</v>
      </c>
      <c r="Z26" s="255" t="s">
        <v>36</v>
      </c>
      <c r="AA26" s="256"/>
      <c r="AB26" s="254" t="s">
        <v>36</v>
      </c>
      <c r="AC26" s="254"/>
      <c r="AE26" s="3">
        <v>0.11</v>
      </c>
      <c r="AF26" s="18">
        <f t="shared" si="67"/>
        <v>6.2469118729923521</v>
      </c>
      <c r="AG26" s="255" t="s">
        <v>36</v>
      </c>
      <c r="AH26" s="256"/>
      <c r="AI26" s="254" t="s">
        <v>36</v>
      </c>
      <c r="AJ26" s="254"/>
      <c r="AL26" s="3">
        <v>0.11</v>
      </c>
      <c r="AM26" s="18">
        <f t="shared" si="68"/>
        <v>6.2469118729923521</v>
      </c>
      <c r="AN26" s="31">
        <v>-0.13</v>
      </c>
      <c r="AO26" s="36">
        <f t="shared" si="69"/>
        <v>4.8962282247777891</v>
      </c>
      <c r="AP26" s="19">
        <v>-0.6</v>
      </c>
      <c r="AQ26" s="34">
        <f t="shared" si="70"/>
        <v>2.2511394136909373</v>
      </c>
      <c r="AS26" s="3">
        <f t="shared" si="0"/>
        <v>0.11</v>
      </c>
      <c r="AT26" s="18">
        <f t="shared" si="17"/>
        <v>6.2469118729923521</v>
      </c>
      <c r="AU26" s="108">
        <f t="shared" si="1"/>
        <v>-0.13</v>
      </c>
      <c r="AV26" s="36">
        <f t="shared" si="18"/>
        <v>4.8962282247777891</v>
      </c>
      <c r="AW26" s="136">
        <f t="shared" si="2"/>
        <v>-0.36499999999999999</v>
      </c>
      <c r="AX26" s="18">
        <f t="shared" si="19"/>
        <v>3.573683819234363</v>
      </c>
      <c r="AY26" s="108">
        <f t="shared" si="3"/>
        <v>-0.6</v>
      </c>
      <c r="AZ26" s="34">
        <f t="shared" si="20"/>
        <v>2.2511394136909373</v>
      </c>
      <c r="BB26" s="3">
        <f t="shared" si="45"/>
        <v>0.11</v>
      </c>
      <c r="BC26" s="18">
        <f t="shared" si="46"/>
        <v>6.2469118729923521</v>
      </c>
      <c r="BD26" s="56">
        <f t="shared" si="47"/>
        <v>-0.13</v>
      </c>
      <c r="BE26" s="36">
        <f t="shared" si="48"/>
        <v>4.8962282247777891</v>
      </c>
      <c r="BF26" s="76">
        <f t="shared" si="49"/>
        <v>-0.36499999999999999</v>
      </c>
      <c r="BG26" s="36">
        <f t="shared" si="50"/>
        <v>3.573683819234363</v>
      </c>
      <c r="BH26" s="54">
        <f t="shared" si="51"/>
        <v>-0.6</v>
      </c>
      <c r="BI26" s="34">
        <f t="shared" si="52"/>
        <v>2.2511394136909373</v>
      </c>
      <c r="BK26" s="3">
        <v>0.11</v>
      </c>
      <c r="BL26" s="18">
        <f t="shared" si="71"/>
        <v>6.2469118729923521</v>
      </c>
      <c r="BM26" s="31">
        <v>-0.13</v>
      </c>
      <c r="BN26" s="36">
        <f t="shared" si="72"/>
        <v>4.8962282247777891</v>
      </c>
      <c r="BO26" s="19">
        <v>-0.6</v>
      </c>
      <c r="BP26" s="34">
        <f t="shared" si="73"/>
        <v>2.2511394136909373</v>
      </c>
      <c r="BR26" s="3">
        <v>0.11</v>
      </c>
      <c r="BS26" s="18">
        <f t="shared" si="74"/>
        <v>6.2469118729923521</v>
      </c>
      <c r="BT26" s="45">
        <f t="shared" si="82"/>
        <v>-0.27500000000000008</v>
      </c>
      <c r="BU26" s="46">
        <f t="shared" si="53"/>
        <v>4.0801901873148232</v>
      </c>
      <c r="BV26" s="6">
        <f t="shared" si="83"/>
        <v>-0.80000000000000016</v>
      </c>
      <c r="BW26" s="33">
        <f t="shared" si="54"/>
        <v>1.1255697068454678</v>
      </c>
      <c r="BY26" s="3">
        <v>0.11</v>
      </c>
      <c r="BZ26" s="18">
        <f t="shared" si="75"/>
        <v>6.2469118729923521</v>
      </c>
      <c r="CA26" s="31">
        <v>-0.13</v>
      </c>
      <c r="CB26" s="36">
        <f t="shared" si="76"/>
        <v>4.8962282247777891</v>
      </c>
      <c r="CC26" s="19">
        <v>-0.6</v>
      </c>
      <c r="CD26" s="34">
        <f t="shared" si="77"/>
        <v>2.2511394136909373</v>
      </c>
      <c r="CE26" s="1"/>
      <c r="CF26" s="3">
        <v>0.11</v>
      </c>
      <c r="CG26" s="18">
        <f t="shared" si="78"/>
        <v>6.2469118729923521</v>
      </c>
      <c r="CH26" s="45">
        <f t="shared" si="55"/>
        <v>-0.13</v>
      </c>
      <c r="CI26" s="46">
        <f t="shared" si="56"/>
        <v>4.8962282247777891</v>
      </c>
      <c r="CJ26" s="45">
        <f t="shared" si="22"/>
        <v>-0.81515028700406789</v>
      </c>
      <c r="CK26" s="33">
        <f t="shared" si="57"/>
        <v>1.0403061863365017</v>
      </c>
      <c r="CM26" s="3">
        <f t="shared" si="4"/>
        <v>0.11</v>
      </c>
      <c r="CN26" s="18">
        <f t="shared" si="23"/>
        <v>6.2469118729923521</v>
      </c>
      <c r="CO26" s="45">
        <f t="shared" si="5"/>
        <v>-0.13</v>
      </c>
      <c r="CP26" s="46">
        <f t="shared" si="24"/>
        <v>4.8962282247777891</v>
      </c>
      <c r="CQ26" s="6">
        <f t="shared" si="6"/>
        <v>-0.52139307160330217</v>
      </c>
      <c r="CR26" s="134">
        <f t="shared" si="25"/>
        <v>2.6935273004484066</v>
      </c>
      <c r="CS26" s="45">
        <f t="shared" si="7"/>
        <v>-0.91278614320660445</v>
      </c>
      <c r="CT26" s="33">
        <f t="shared" si="26"/>
        <v>0.49082637611902447</v>
      </c>
      <c r="CU26" s="1"/>
      <c r="CV26" s="3">
        <v>0.11</v>
      </c>
      <c r="CW26" s="18">
        <f t="shared" si="79"/>
        <v>6.2469118729923521</v>
      </c>
      <c r="CX26" s="45">
        <f t="shared" si="58"/>
        <v>-0.13</v>
      </c>
      <c r="CY26" s="46">
        <f t="shared" si="59"/>
        <v>4.8962282247777891</v>
      </c>
      <c r="CZ26" s="45">
        <f t="shared" si="27"/>
        <v>-0.52139307160330217</v>
      </c>
      <c r="DA26" s="46">
        <f t="shared" si="28"/>
        <v>2.6935273004484066</v>
      </c>
      <c r="DB26" s="45">
        <f t="shared" si="29"/>
        <v>-0.91278614320660445</v>
      </c>
      <c r="DC26" s="33">
        <f t="shared" si="60"/>
        <v>0.49082637611902447</v>
      </c>
      <c r="DE26" s="3">
        <v>0.11</v>
      </c>
      <c r="DF26" s="18">
        <f t="shared" si="80"/>
        <v>6.2469118729923521</v>
      </c>
      <c r="DG26" s="45">
        <f t="shared" si="61"/>
        <v>-0.16964977019022998</v>
      </c>
      <c r="DH26" s="46">
        <f t="shared" si="62"/>
        <v>4.6730853237302519</v>
      </c>
      <c r="DI26" s="45">
        <f t="shared" si="30"/>
        <v>-0.79680112984068385</v>
      </c>
      <c r="DJ26" s="33">
        <f t="shared" si="84"/>
        <v>1.1435724635827593</v>
      </c>
      <c r="DL26" s="3">
        <f t="shared" si="8"/>
        <v>0.11</v>
      </c>
      <c r="DM26" s="18">
        <f t="shared" si="31"/>
        <v>6.2469118729923521</v>
      </c>
      <c r="DN26" s="45">
        <f t="shared" si="9"/>
        <v>-0.18947465528534491</v>
      </c>
      <c r="DO26" s="46">
        <f t="shared" si="32"/>
        <v>4.5615138732064837</v>
      </c>
      <c r="DP26" s="6">
        <f t="shared" si="10"/>
        <v>-0.54410429213947697</v>
      </c>
      <c r="DQ26" s="134">
        <f t="shared" si="33"/>
        <v>2.5657119912433819</v>
      </c>
      <c r="DR26" s="45">
        <f t="shared" si="11"/>
        <v>-0.89873392899360893</v>
      </c>
      <c r="DS26" s="33">
        <f t="shared" si="34"/>
        <v>0.56991010928028019</v>
      </c>
      <c r="DU26" s="3">
        <v>0.11</v>
      </c>
      <c r="DV26" s="18">
        <f t="shared" si="81"/>
        <v>6.2469118729923521</v>
      </c>
      <c r="DW26" s="45">
        <f t="shared" si="63"/>
        <v>-0.18947465528534491</v>
      </c>
      <c r="DX26" s="46">
        <f t="shared" si="64"/>
        <v>4.5615138732064837</v>
      </c>
      <c r="DY26" s="45">
        <f t="shared" si="35"/>
        <v>-0.54410429213947697</v>
      </c>
      <c r="DZ26" s="46">
        <f t="shared" si="36"/>
        <v>2.5657119912433819</v>
      </c>
      <c r="EA26" s="45">
        <f t="shared" si="37"/>
        <v>-0.89873392899360893</v>
      </c>
      <c r="EB26" s="33">
        <f t="shared" si="85"/>
        <v>0.56991010928028019</v>
      </c>
      <c r="EE26" s="60">
        <v>5.6278485342273434</v>
      </c>
      <c r="EF26" s="60">
        <v>5.7922263292033165</v>
      </c>
      <c r="EG26" s="60">
        <v>4.8962282247777891</v>
      </c>
      <c r="EH26" s="50">
        <f t="shared" si="65"/>
        <v>-0.73162030944955436</v>
      </c>
    </row>
    <row r="27" spans="1:138" ht="20.100000000000001" customHeight="1" x14ac:dyDescent="0.25">
      <c r="A27" s="69" t="s">
        <v>26</v>
      </c>
      <c r="B27" s="84"/>
      <c r="C27" s="119">
        <f t="shared" si="13"/>
        <v>7.9014963740883175</v>
      </c>
      <c r="D27" s="96">
        <f t="shared" si="13"/>
        <v>7.9086956528118382</v>
      </c>
      <c r="F27" s="3">
        <v>0.17</v>
      </c>
      <c r="G27" s="18">
        <f t="shared" si="38"/>
        <v>9.244750757683331</v>
      </c>
      <c r="H27" s="108">
        <v>-0.06</v>
      </c>
      <c r="I27" s="36">
        <f t="shared" si="39"/>
        <v>7.4274065916430176</v>
      </c>
      <c r="J27" s="76">
        <f t="shared" si="14"/>
        <v>-0.32999999999999996</v>
      </c>
      <c r="K27" s="36">
        <f t="shared" si="15"/>
        <v>5.2940025706391722</v>
      </c>
      <c r="L27" s="109">
        <v>-0.6</v>
      </c>
      <c r="M27" s="34">
        <f t="shared" si="40"/>
        <v>3.1605985496353273</v>
      </c>
      <c r="O27" s="3">
        <v>0.17</v>
      </c>
      <c r="P27" s="18">
        <f t="shared" si="41"/>
        <v>9.244750757683331</v>
      </c>
      <c r="Q27" s="56">
        <v>-0.06</v>
      </c>
      <c r="R27" s="36">
        <f t="shared" si="42"/>
        <v>7.4274065916430176</v>
      </c>
      <c r="S27" s="76">
        <f t="shared" si="86"/>
        <v>-0.32999999999999996</v>
      </c>
      <c r="T27" s="36">
        <f t="shared" si="43"/>
        <v>5.2940025706391731</v>
      </c>
      <c r="U27" s="54">
        <v>-0.6</v>
      </c>
      <c r="V27" s="34">
        <f t="shared" si="44"/>
        <v>3.1605985496353273</v>
      </c>
      <c r="X27" s="3">
        <v>0.17</v>
      </c>
      <c r="Y27" s="18">
        <f t="shared" si="66"/>
        <v>9.244750757683331</v>
      </c>
      <c r="Z27" s="255" t="s">
        <v>36</v>
      </c>
      <c r="AA27" s="256"/>
      <c r="AB27" s="254" t="s">
        <v>36</v>
      </c>
      <c r="AC27" s="254"/>
      <c r="AE27" s="3">
        <v>0.17</v>
      </c>
      <c r="AF27" s="18">
        <f t="shared" si="67"/>
        <v>9.244750757683331</v>
      </c>
      <c r="AG27" s="255" t="s">
        <v>36</v>
      </c>
      <c r="AH27" s="256"/>
      <c r="AI27" s="254" t="s">
        <v>36</v>
      </c>
      <c r="AJ27" s="254"/>
      <c r="AL27" s="3">
        <v>0.17</v>
      </c>
      <c r="AM27" s="18">
        <f t="shared" si="68"/>
        <v>9.244750757683331</v>
      </c>
      <c r="AN27" s="31">
        <v>-0.06</v>
      </c>
      <c r="AO27" s="36">
        <f t="shared" si="69"/>
        <v>7.4274065916430176</v>
      </c>
      <c r="AP27" s="19">
        <v>-0.6</v>
      </c>
      <c r="AQ27" s="34">
        <f t="shared" si="70"/>
        <v>3.1605985496353273</v>
      </c>
      <c r="AS27" s="3">
        <f t="shared" si="0"/>
        <v>0.17</v>
      </c>
      <c r="AT27" s="18">
        <f t="shared" si="17"/>
        <v>9.244750757683331</v>
      </c>
      <c r="AU27" s="108">
        <f t="shared" si="1"/>
        <v>-0.06</v>
      </c>
      <c r="AV27" s="36">
        <f t="shared" si="18"/>
        <v>7.4274065916430176</v>
      </c>
      <c r="AW27" s="136">
        <f t="shared" si="2"/>
        <v>-0.32999999999999996</v>
      </c>
      <c r="AX27" s="18">
        <f t="shared" si="19"/>
        <v>5.2940025706391731</v>
      </c>
      <c r="AY27" s="108">
        <f t="shared" si="3"/>
        <v>-0.6</v>
      </c>
      <c r="AZ27" s="34">
        <f t="shared" si="20"/>
        <v>3.1605985496353273</v>
      </c>
      <c r="BB27" s="3">
        <f t="shared" si="45"/>
        <v>0.17</v>
      </c>
      <c r="BC27" s="18">
        <f t="shared" si="46"/>
        <v>9.244750757683331</v>
      </c>
      <c r="BD27" s="56">
        <f t="shared" si="47"/>
        <v>-0.06</v>
      </c>
      <c r="BE27" s="36">
        <f t="shared" si="48"/>
        <v>7.4274065916430176</v>
      </c>
      <c r="BF27" s="76">
        <f t="shared" si="49"/>
        <v>-0.32999999999999996</v>
      </c>
      <c r="BG27" s="36">
        <f t="shared" si="50"/>
        <v>5.2940025706391731</v>
      </c>
      <c r="BH27" s="54">
        <f t="shared" si="51"/>
        <v>-0.6</v>
      </c>
      <c r="BI27" s="34">
        <f t="shared" si="52"/>
        <v>3.1605985496353273</v>
      </c>
      <c r="BK27" s="3">
        <v>0.17</v>
      </c>
      <c r="BL27" s="18">
        <f t="shared" si="71"/>
        <v>9.244750757683331</v>
      </c>
      <c r="BM27" s="31">
        <v>-0.06</v>
      </c>
      <c r="BN27" s="36">
        <f t="shared" si="72"/>
        <v>7.4274065916430176</v>
      </c>
      <c r="BO27" s="19">
        <v>-0.6</v>
      </c>
      <c r="BP27" s="34">
        <f t="shared" si="73"/>
        <v>3.1605985496353273</v>
      </c>
      <c r="BR27" s="3">
        <v>0.17</v>
      </c>
      <c r="BS27" s="18">
        <f t="shared" si="74"/>
        <v>9.244750757683331</v>
      </c>
      <c r="BT27" s="45">
        <f t="shared" si="82"/>
        <v>-0.21666666666666673</v>
      </c>
      <c r="BU27" s="46">
        <f t="shared" si="53"/>
        <v>6.1895054930358482</v>
      </c>
      <c r="BV27" s="6">
        <f t="shared" si="83"/>
        <v>-0.80000000000000016</v>
      </c>
      <c r="BW27" s="33">
        <f t="shared" si="54"/>
        <v>1.5802992748176623</v>
      </c>
      <c r="BY27" s="3">
        <v>0.17</v>
      </c>
      <c r="BZ27" s="18">
        <f t="shared" si="75"/>
        <v>9.244750757683331</v>
      </c>
      <c r="CA27" s="31">
        <v>-0.06</v>
      </c>
      <c r="CB27" s="36">
        <f t="shared" si="76"/>
        <v>7.4274065916430176</v>
      </c>
      <c r="CC27" s="19">
        <v>-0.6</v>
      </c>
      <c r="CD27" s="34">
        <f t="shared" si="77"/>
        <v>3.1605985496353273</v>
      </c>
      <c r="CE27" s="1"/>
      <c r="CF27" s="3">
        <v>0.17</v>
      </c>
      <c r="CG27" s="18">
        <f t="shared" si="78"/>
        <v>9.244750757683331</v>
      </c>
      <c r="CH27" s="45">
        <f t="shared" si="55"/>
        <v>-6.0000000000000053E-2</v>
      </c>
      <c r="CI27" s="46">
        <f t="shared" si="56"/>
        <v>7.4274065916430176</v>
      </c>
      <c r="CJ27" s="45">
        <f t="shared" si="22"/>
        <v>-0.80027732159060205</v>
      </c>
      <c r="CK27" s="33">
        <f t="shared" si="57"/>
        <v>1.5781080192750645</v>
      </c>
      <c r="CM27" s="3">
        <f t="shared" si="4"/>
        <v>0.17</v>
      </c>
      <c r="CN27" s="18">
        <f t="shared" si="23"/>
        <v>9.244750757683331</v>
      </c>
      <c r="CO27" s="45">
        <f t="shared" si="5"/>
        <v>-6.0000000000000053E-2</v>
      </c>
      <c r="CP27" s="46">
        <f t="shared" si="24"/>
        <v>7.4274065916430176</v>
      </c>
      <c r="CQ27" s="6">
        <f t="shared" si="6"/>
        <v>-0.4828844681690852</v>
      </c>
      <c r="CR27" s="134">
        <f t="shared" si="25"/>
        <v>4.085986499746725</v>
      </c>
      <c r="CS27" s="45">
        <f t="shared" si="7"/>
        <v>-0.90576893633817035</v>
      </c>
      <c r="CT27" s="33">
        <f t="shared" si="26"/>
        <v>0.74456640785043227</v>
      </c>
      <c r="CU27" s="1"/>
      <c r="CV27" s="3">
        <v>0.17</v>
      </c>
      <c r="CW27" s="18">
        <f t="shared" si="79"/>
        <v>9.244750757683331</v>
      </c>
      <c r="CX27" s="45">
        <f t="shared" si="58"/>
        <v>-6.0000000000000053E-2</v>
      </c>
      <c r="CY27" s="46">
        <f t="shared" si="59"/>
        <v>7.4274065916430176</v>
      </c>
      <c r="CZ27" s="45">
        <f t="shared" si="27"/>
        <v>-0.4828844681690852</v>
      </c>
      <c r="DA27" s="46">
        <f t="shared" si="28"/>
        <v>4.085986499746725</v>
      </c>
      <c r="DB27" s="45">
        <f t="shared" si="29"/>
        <v>-0.90576893633817035</v>
      </c>
      <c r="DC27" s="33">
        <f t="shared" si="60"/>
        <v>0.74456640785043227</v>
      </c>
      <c r="DE27" s="3">
        <v>0.17</v>
      </c>
      <c r="DF27" s="18">
        <f t="shared" si="80"/>
        <v>9.244750757683331</v>
      </c>
      <c r="DG27" s="45">
        <f t="shared" si="61"/>
        <v>-7.8299893933952425E-2</v>
      </c>
      <c r="DH27" s="46">
        <f t="shared" si="62"/>
        <v>7.2828100460776923</v>
      </c>
      <c r="DI27" s="45">
        <f t="shared" si="30"/>
        <v>-0.77444647637268715</v>
      </c>
      <c r="DJ27" s="33">
        <f t="shared" si="84"/>
        <v>1.7822103491040562</v>
      </c>
      <c r="DL27" s="3">
        <f t="shared" si="8"/>
        <v>0.17</v>
      </c>
      <c r="DM27" s="18">
        <f t="shared" si="31"/>
        <v>9.244750757683331</v>
      </c>
      <c r="DN27" s="45">
        <f t="shared" si="9"/>
        <v>-8.7449840900928666E-2</v>
      </c>
      <c r="DO27" s="46">
        <f t="shared" si="32"/>
        <v>7.2105117732950292</v>
      </c>
      <c r="DP27" s="6">
        <f t="shared" si="10"/>
        <v>-0.48671845556271115</v>
      </c>
      <c r="DQ27" s="134">
        <f t="shared" si="33"/>
        <v>4.055692262257689</v>
      </c>
      <c r="DR27" s="45">
        <f t="shared" si="11"/>
        <v>-0.88598707022449363</v>
      </c>
      <c r="DS27" s="33">
        <f t="shared" si="34"/>
        <v>0.90087275122034949</v>
      </c>
      <c r="DU27" s="3">
        <v>0.17</v>
      </c>
      <c r="DV27" s="18">
        <f t="shared" si="81"/>
        <v>9.244750757683331</v>
      </c>
      <c r="DW27" s="45">
        <f t="shared" si="63"/>
        <v>-8.7449840900928666E-2</v>
      </c>
      <c r="DX27" s="46">
        <f t="shared" si="64"/>
        <v>7.2105117732950292</v>
      </c>
      <c r="DY27" s="45">
        <f t="shared" si="35"/>
        <v>-0.48671845556271115</v>
      </c>
      <c r="DZ27" s="46">
        <f t="shared" si="36"/>
        <v>4.055692262257689</v>
      </c>
      <c r="EA27" s="45">
        <f t="shared" si="37"/>
        <v>-0.88598707022449363</v>
      </c>
      <c r="EB27" s="33">
        <f t="shared" si="85"/>
        <v>0.90087275122034949</v>
      </c>
      <c r="EE27" s="60">
        <v>7.9014963740883175</v>
      </c>
      <c r="EF27" s="60">
        <v>7.9086956528118382</v>
      </c>
      <c r="EG27" s="60">
        <v>7.4274065916430176</v>
      </c>
      <c r="EH27" s="50">
        <f t="shared" si="65"/>
        <v>-0.47408978244529987</v>
      </c>
    </row>
    <row r="28" spans="1:138" ht="20.100000000000001" customHeight="1" x14ac:dyDescent="0.25">
      <c r="A28" s="72" t="s">
        <v>27</v>
      </c>
      <c r="B28" s="87"/>
      <c r="C28" s="119">
        <f t="shared" si="13"/>
        <v>9.784675006818631</v>
      </c>
      <c r="D28" s="96">
        <f t="shared" si="13"/>
        <v>11.44006889823387</v>
      </c>
      <c r="F28" s="3">
        <v>0.15</v>
      </c>
      <c r="G28" s="18">
        <f t="shared" si="38"/>
        <v>11.252376257841425</v>
      </c>
      <c r="H28" s="108">
        <v>-0.09</v>
      </c>
      <c r="I28" s="36">
        <f t="shared" si="39"/>
        <v>8.9040542562049545</v>
      </c>
      <c r="J28" s="76">
        <f t="shared" si="14"/>
        <v>-0.34499999999999997</v>
      </c>
      <c r="K28" s="36">
        <f t="shared" si="15"/>
        <v>6.4089621294662038</v>
      </c>
      <c r="L28" s="109">
        <v>-0.6</v>
      </c>
      <c r="M28" s="34">
        <f t="shared" si="40"/>
        <v>3.9138700027274527</v>
      </c>
      <c r="O28" s="3">
        <v>0.15</v>
      </c>
      <c r="P28" s="18">
        <f t="shared" si="41"/>
        <v>11.252376257841425</v>
      </c>
      <c r="Q28" s="56">
        <v>-0.09</v>
      </c>
      <c r="R28" s="36">
        <f t="shared" si="42"/>
        <v>8.9040542562049545</v>
      </c>
      <c r="S28" s="76">
        <f t="shared" si="86"/>
        <v>-0.34499999999999997</v>
      </c>
      <c r="T28" s="36">
        <f t="shared" si="43"/>
        <v>6.4089621294662038</v>
      </c>
      <c r="U28" s="54">
        <v>-0.6</v>
      </c>
      <c r="V28" s="34">
        <f t="shared" si="44"/>
        <v>3.9138700027274527</v>
      </c>
      <c r="X28" s="3">
        <v>0.15</v>
      </c>
      <c r="Y28" s="18">
        <f t="shared" si="66"/>
        <v>11.252376257841425</v>
      </c>
      <c r="Z28" s="255" t="s">
        <v>36</v>
      </c>
      <c r="AA28" s="256"/>
      <c r="AB28" s="254" t="s">
        <v>36</v>
      </c>
      <c r="AC28" s="254"/>
      <c r="AE28" s="3">
        <v>0.15</v>
      </c>
      <c r="AF28" s="18">
        <f t="shared" si="67"/>
        <v>11.252376257841425</v>
      </c>
      <c r="AG28" s="255" t="s">
        <v>36</v>
      </c>
      <c r="AH28" s="256"/>
      <c r="AI28" s="254" t="s">
        <v>36</v>
      </c>
      <c r="AJ28" s="254"/>
      <c r="AL28" s="3">
        <v>0.15</v>
      </c>
      <c r="AM28" s="18">
        <f t="shared" si="68"/>
        <v>11.252376257841425</v>
      </c>
      <c r="AN28" s="31">
        <v>-0.09</v>
      </c>
      <c r="AO28" s="36">
        <f t="shared" si="69"/>
        <v>8.9040542562049545</v>
      </c>
      <c r="AP28" s="19">
        <v>-0.6</v>
      </c>
      <c r="AQ28" s="34">
        <f t="shared" si="70"/>
        <v>3.9138700027274527</v>
      </c>
      <c r="AS28" s="3">
        <f t="shared" si="0"/>
        <v>0.15</v>
      </c>
      <c r="AT28" s="18">
        <f t="shared" si="17"/>
        <v>11.252376257841425</v>
      </c>
      <c r="AU28" s="108">
        <f t="shared" si="1"/>
        <v>-0.09</v>
      </c>
      <c r="AV28" s="36">
        <f t="shared" si="18"/>
        <v>8.9040542562049545</v>
      </c>
      <c r="AW28" s="136">
        <f t="shared" si="2"/>
        <v>-0.34499999999999997</v>
      </c>
      <c r="AX28" s="18">
        <f t="shared" si="19"/>
        <v>6.4089621294662038</v>
      </c>
      <c r="AY28" s="108">
        <f t="shared" si="3"/>
        <v>-0.6</v>
      </c>
      <c r="AZ28" s="34">
        <f t="shared" si="20"/>
        <v>3.9138700027274527</v>
      </c>
      <c r="BB28" s="3">
        <f t="shared" si="45"/>
        <v>0.15</v>
      </c>
      <c r="BC28" s="18">
        <f t="shared" si="46"/>
        <v>11.252376257841425</v>
      </c>
      <c r="BD28" s="56">
        <f t="shared" si="47"/>
        <v>-0.09</v>
      </c>
      <c r="BE28" s="36">
        <f t="shared" si="48"/>
        <v>8.9040542562049545</v>
      </c>
      <c r="BF28" s="76">
        <f t="shared" si="49"/>
        <v>-0.34499999999999997</v>
      </c>
      <c r="BG28" s="36">
        <f t="shared" si="50"/>
        <v>6.4089621294662038</v>
      </c>
      <c r="BH28" s="54">
        <f t="shared" si="51"/>
        <v>-0.6</v>
      </c>
      <c r="BI28" s="34">
        <f t="shared" si="52"/>
        <v>3.9138700027274527</v>
      </c>
      <c r="BK28" s="3">
        <v>0.15</v>
      </c>
      <c r="BL28" s="18">
        <f t="shared" si="71"/>
        <v>11.252376257841425</v>
      </c>
      <c r="BM28" s="31">
        <v>-0.09</v>
      </c>
      <c r="BN28" s="36">
        <f t="shared" si="72"/>
        <v>8.9040542562049545</v>
      </c>
      <c r="BO28" s="19">
        <v>-0.6</v>
      </c>
      <c r="BP28" s="34">
        <f t="shared" si="73"/>
        <v>3.9138700027274527</v>
      </c>
      <c r="BR28" s="3">
        <v>0.15</v>
      </c>
      <c r="BS28" s="18">
        <f t="shared" si="74"/>
        <v>11.252376257841425</v>
      </c>
      <c r="BT28" s="45">
        <f t="shared" si="82"/>
        <v>-0.24166666666666667</v>
      </c>
      <c r="BU28" s="46">
        <f t="shared" si="53"/>
        <v>7.4200452135041282</v>
      </c>
      <c r="BV28" s="6">
        <f t="shared" si="83"/>
        <v>-0.80000000000000016</v>
      </c>
      <c r="BW28" s="33">
        <f t="shared" si="54"/>
        <v>1.9569350013637248</v>
      </c>
      <c r="BY28" s="3">
        <v>0.15</v>
      </c>
      <c r="BZ28" s="18">
        <f t="shared" si="75"/>
        <v>11.252376257841425</v>
      </c>
      <c r="CA28" s="31">
        <v>-0.09</v>
      </c>
      <c r="CB28" s="36">
        <f t="shared" si="76"/>
        <v>8.9040542562049545</v>
      </c>
      <c r="CC28" s="19">
        <v>-0.6</v>
      </c>
      <c r="CD28" s="34">
        <f t="shared" si="77"/>
        <v>3.9138700027274527</v>
      </c>
      <c r="CE28" s="1"/>
      <c r="CF28" s="3">
        <v>0.15</v>
      </c>
      <c r="CG28" s="18">
        <f t="shared" si="78"/>
        <v>11.252376257841425</v>
      </c>
      <c r="CH28" s="45">
        <f t="shared" si="55"/>
        <v>-8.9999999999999969E-2</v>
      </c>
      <c r="CI28" s="46">
        <f t="shared" si="56"/>
        <v>8.9040542562049545</v>
      </c>
      <c r="CJ28" s="45">
        <f t="shared" si="22"/>
        <v>-0.80665144962494462</v>
      </c>
      <c r="CK28" s="33">
        <f t="shared" si="57"/>
        <v>1.8918527284594178</v>
      </c>
      <c r="CM28" s="3">
        <f t="shared" si="4"/>
        <v>0.15</v>
      </c>
      <c r="CN28" s="18">
        <f t="shared" si="23"/>
        <v>11.252376257841425</v>
      </c>
      <c r="CO28" s="45">
        <f t="shared" si="5"/>
        <v>-8.9999999999999969E-2</v>
      </c>
      <c r="CP28" s="46">
        <f t="shared" si="24"/>
        <v>8.9040542562049545</v>
      </c>
      <c r="CQ28" s="6">
        <f t="shared" si="6"/>
        <v>-0.49938815535517816</v>
      </c>
      <c r="CR28" s="134">
        <f t="shared" si="25"/>
        <v>4.8983242044135595</v>
      </c>
      <c r="CS28" s="45">
        <f t="shared" si="7"/>
        <v>-0.90877631071035636</v>
      </c>
      <c r="CT28" s="33">
        <f t="shared" si="26"/>
        <v>0.89259415262216413</v>
      </c>
      <c r="CU28" s="1"/>
      <c r="CV28" s="3">
        <v>0.15</v>
      </c>
      <c r="CW28" s="18">
        <f t="shared" si="79"/>
        <v>11.252376257841425</v>
      </c>
      <c r="CX28" s="45">
        <f t="shared" si="58"/>
        <v>-8.9999999999999969E-2</v>
      </c>
      <c r="CY28" s="46">
        <f t="shared" si="59"/>
        <v>8.9040542562049545</v>
      </c>
      <c r="CZ28" s="45">
        <f t="shared" si="27"/>
        <v>-0.49938815535517816</v>
      </c>
      <c r="DA28" s="46">
        <f t="shared" si="28"/>
        <v>4.8983242044135595</v>
      </c>
      <c r="DB28" s="45">
        <f t="shared" si="29"/>
        <v>-0.90877631071035636</v>
      </c>
      <c r="DC28" s="33">
        <f t="shared" si="60"/>
        <v>0.89259415262216413</v>
      </c>
      <c r="DE28" s="3">
        <v>0.15</v>
      </c>
      <c r="DF28" s="18">
        <f t="shared" si="80"/>
        <v>11.252376257841425</v>
      </c>
      <c r="DG28" s="45">
        <f t="shared" si="61"/>
        <v>-0.11744984090092836</v>
      </c>
      <c r="DH28" s="46">
        <f t="shared" si="62"/>
        <v>8.6354664840004922</v>
      </c>
      <c r="DI28" s="45">
        <f t="shared" si="30"/>
        <v>-0.78402704214468577</v>
      </c>
      <c r="DJ28" s="33">
        <f t="shared" si="84"/>
        <v>2.1132252028755869</v>
      </c>
      <c r="DL28" s="3">
        <f t="shared" si="8"/>
        <v>0.15</v>
      </c>
      <c r="DM28" s="18">
        <f t="shared" si="31"/>
        <v>11.252376257841425</v>
      </c>
      <c r="DN28" s="45">
        <f t="shared" si="9"/>
        <v>-0.13117476135139261</v>
      </c>
      <c r="DO28" s="46">
        <f t="shared" si="32"/>
        <v>8.5011725978982611</v>
      </c>
      <c r="DP28" s="6">
        <f t="shared" si="10"/>
        <v>-0.51131238552418212</v>
      </c>
      <c r="DQ28" s="134">
        <f t="shared" si="33"/>
        <v>4.7816494875033539</v>
      </c>
      <c r="DR28" s="45">
        <f t="shared" si="11"/>
        <v>-0.89145000969697163</v>
      </c>
      <c r="DS28" s="33">
        <f t="shared" si="34"/>
        <v>1.0621263771084468</v>
      </c>
      <c r="DU28" s="3">
        <v>0.15</v>
      </c>
      <c r="DV28" s="18">
        <f t="shared" si="81"/>
        <v>11.252376257841425</v>
      </c>
      <c r="DW28" s="45">
        <f t="shared" si="63"/>
        <v>-0.13117476135139261</v>
      </c>
      <c r="DX28" s="46">
        <f t="shared" si="64"/>
        <v>8.5011725978982611</v>
      </c>
      <c r="DY28" s="45">
        <f t="shared" si="35"/>
        <v>-0.51131238552418212</v>
      </c>
      <c r="DZ28" s="46">
        <f t="shared" si="36"/>
        <v>4.7816494875033539</v>
      </c>
      <c r="EA28" s="45">
        <f t="shared" si="37"/>
        <v>-0.89145000969697163</v>
      </c>
      <c r="EB28" s="33">
        <f t="shared" si="85"/>
        <v>1.0621263771084468</v>
      </c>
      <c r="EE28" s="60">
        <v>9.784675006818631</v>
      </c>
      <c r="EF28" s="60">
        <v>11.44006889823387</v>
      </c>
      <c r="EG28" s="60">
        <v>8.9040542562049545</v>
      </c>
      <c r="EH28" s="50">
        <f t="shared" si="65"/>
        <v>-0.88062075061367651</v>
      </c>
    </row>
    <row r="29" spans="1:138" ht="20.100000000000001" customHeight="1" x14ac:dyDescent="0.25">
      <c r="A29" s="72" t="s">
        <v>28</v>
      </c>
      <c r="B29" s="87"/>
      <c r="C29" s="119">
        <f t="shared" si="13"/>
        <v>15.975884936738568</v>
      </c>
      <c r="D29" s="96">
        <f t="shared" si="13"/>
        <v>15.346253614104931</v>
      </c>
      <c r="F29" s="3">
        <v>0.11</v>
      </c>
      <c r="G29" s="18">
        <f t="shared" si="38"/>
        <v>17.733232279779813</v>
      </c>
      <c r="H29" s="108">
        <v>-7.0000000000000007E-2</v>
      </c>
      <c r="I29" s="36">
        <f t="shared" si="39"/>
        <v>14.857572991166867</v>
      </c>
      <c r="J29" s="76">
        <f t="shared" si="14"/>
        <v>-0.33499999999999996</v>
      </c>
      <c r="K29" s="36">
        <f t="shared" si="15"/>
        <v>10.623963482931147</v>
      </c>
      <c r="L29" s="109">
        <v>-0.6</v>
      </c>
      <c r="M29" s="34">
        <f t="shared" si="40"/>
        <v>6.3903539746954277</v>
      </c>
      <c r="O29" s="3">
        <v>0.11</v>
      </c>
      <c r="P29" s="18">
        <f t="shared" si="41"/>
        <v>17.733232279779813</v>
      </c>
      <c r="Q29" s="56">
        <v>-7.0000000000000007E-2</v>
      </c>
      <c r="R29" s="36">
        <f t="shared" si="42"/>
        <v>14.857572991166867</v>
      </c>
      <c r="S29" s="76">
        <f t="shared" si="86"/>
        <v>-0.33499999999999996</v>
      </c>
      <c r="T29" s="36">
        <f t="shared" si="43"/>
        <v>10.623963482931149</v>
      </c>
      <c r="U29" s="54">
        <v>-0.6</v>
      </c>
      <c r="V29" s="34">
        <f t="shared" si="44"/>
        <v>6.3903539746954277</v>
      </c>
      <c r="X29" s="3">
        <v>0.11</v>
      </c>
      <c r="Y29" s="18">
        <f t="shared" si="66"/>
        <v>17.733232279779813</v>
      </c>
      <c r="Z29" s="255" t="s">
        <v>36</v>
      </c>
      <c r="AA29" s="256"/>
      <c r="AB29" s="254" t="s">
        <v>36</v>
      </c>
      <c r="AC29" s="254"/>
      <c r="AE29" s="3">
        <v>0.11</v>
      </c>
      <c r="AF29" s="18">
        <f t="shared" si="67"/>
        <v>17.733232279779813</v>
      </c>
      <c r="AG29" s="255" t="s">
        <v>36</v>
      </c>
      <c r="AH29" s="256"/>
      <c r="AI29" s="254" t="s">
        <v>36</v>
      </c>
      <c r="AJ29" s="254"/>
      <c r="AL29" s="3">
        <v>0.11</v>
      </c>
      <c r="AM29" s="18">
        <f t="shared" si="68"/>
        <v>17.733232279779813</v>
      </c>
      <c r="AN29" s="31">
        <v>-7.0000000000000007E-2</v>
      </c>
      <c r="AO29" s="36">
        <f t="shared" si="69"/>
        <v>14.857572991166867</v>
      </c>
      <c r="AP29" s="19">
        <v>-0.6</v>
      </c>
      <c r="AQ29" s="34">
        <f t="shared" si="70"/>
        <v>6.3903539746954277</v>
      </c>
      <c r="AS29" s="3">
        <f t="shared" si="0"/>
        <v>0.11</v>
      </c>
      <c r="AT29" s="18">
        <f t="shared" si="17"/>
        <v>17.733232279779813</v>
      </c>
      <c r="AU29" s="108">
        <f t="shared" si="1"/>
        <v>-7.0000000000000007E-2</v>
      </c>
      <c r="AV29" s="36">
        <f t="shared" si="18"/>
        <v>14.857572991166867</v>
      </c>
      <c r="AW29" s="136">
        <f t="shared" si="2"/>
        <v>-0.33499999999999996</v>
      </c>
      <c r="AX29" s="18">
        <f t="shared" si="19"/>
        <v>10.623963482931149</v>
      </c>
      <c r="AY29" s="108">
        <f t="shared" si="3"/>
        <v>-0.6</v>
      </c>
      <c r="AZ29" s="34">
        <f t="shared" si="20"/>
        <v>6.3903539746954277</v>
      </c>
      <c r="BB29" s="3">
        <f t="shared" si="45"/>
        <v>0.11</v>
      </c>
      <c r="BC29" s="18">
        <f t="shared" si="46"/>
        <v>17.733232279779813</v>
      </c>
      <c r="BD29" s="56">
        <f t="shared" si="47"/>
        <v>-7.0000000000000007E-2</v>
      </c>
      <c r="BE29" s="36">
        <f t="shared" si="48"/>
        <v>14.857572991166867</v>
      </c>
      <c r="BF29" s="76">
        <f t="shared" si="49"/>
        <v>-0.33499999999999996</v>
      </c>
      <c r="BG29" s="36">
        <f t="shared" si="50"/>
        <v>10.623963482931149</v>
      </c>
      <c r="BH29" s="54">
        <f t="shared" si="51"/>
        <v>-0.6</v>
      </c>
      <c r="BI29" s="34">
        <f t="shared" si="52"/>
        <v>6.3903539746954277</v>
      </c>
      <c r="BK29" s="3">
        <v>0.11</v>
      </c>
      <c r="BL29" s="18">
        <f t="shared" si="71"/>
        <v>17.733232279779813</v>
      </c>
      <c r="BM29" s="31">
        <v>-7.0000000000000007E-2</v>
      </c>
      <c r="BN29" s="36">
        <f t="shared" si="72"/>
        <v>14.857572991166867</v>
      </c>
      <c r="BO29" s="19">
        <v>-0.6</v>
      </c>
      <c r="BP29" s="34">
        <f t="shared" si="73"/>
        <v>6.3903539746954277</v>
      </c>
      <c r="BR29" s="3">
        <v>0.11</v>
      </c>
      <c r="BS29" s="18">
        <f t="shared" si="74"/>
        <v>17.733232279779813</v>
      </c>
      <c r="BT29" s="45">
        <f t="shared" si="82"/>
        <v>-0.22500000000000012</v>
      </c>
      <c r="BU29" s="46">
        <f t="shared" si="53"/>
        <v>12.381310825972388</v>
      </c>
      <c r="BV29" s="6">
        <f t="shared" si="83"/>
        <v>-0.80000000000000016</v>
      </c>
      <c r="BW29" s="33">
        <f t="shared" si="54"/>
        <v>3.1951769873477112</v>
      </c>
      <c r="BY29" s="3">
        <v>0.11</v>
      </c>
      <c r="BZ29" s="18">
        <f t="shared" si="75"/>
        <v>17.733232279779813</v>
      </c>
      <c r="CA29" s="31">
        <v>-7.0000000000000007E-2</v>
      </c>
      <c r="CB29" s="36">
        <f t="shared" si="76"/>
        <v>14.857572991166867</v>
      </c>
      <c r="CC29" s="19">
        <v>-0.6</v>
      </c>
      <c r="CD29" s="34">
        <f t="shared" si="77"/>
        <v>6.3903539746954277</v>
      </c>
      <c r="CE29" s="1"/>
      <c r="CF29" s="3">
        <v>0.11</v>
      </c>
      <c r="CG29" s="18">
        <f t="shared" si="78"/>
        <v>17.733232279779813</v>
      </c>
      <c r="CH29" s="45">
        <f t="shared" si="55"/>
        <v>-7.0000000000000062E-2</v>
      </c>
      <c r="CI29" s="46">
        <f t="shared" si="56"/>
        <v>14.857572991166867</v>
      </c>
      <c r="CJ29" s="45">
        <f t="shared" si="22"/>
        <v>-0.80240203093538298</v>
      </c>
      <c r="CK29" s="33">
        <f t="shared" si="57"/>
        <v>3.1568024175095486</v>
      </c>
      <c r="CM29" s="3">
        <f t="shared" si="4"/>
        <v>0.11</v>
      </c>
      <c r="CN29" s="18">
        <f t="shared" si="23"/>
        <v>17.733232279779813</v>
      </c>
      <c r="CO29" s="45">
        <f t="shared" si="5"/>
        <v>-7.0000000000000062E-2</v>
      </c>
      <c r="CP29" s="46">
        <f t="shared" si="24"/>
        <v>14.857572991166867</v>
      </c>
      <c r="CQ29" s="6">
        <f t="shared" si="6"/>
        <v>-0.48838569723111624</v>
      </c>
      <c r="CR29" s="134">
        <f t="shared" si="25"/>
        <v>8.1734912330254161</v>
      </c>
      <c r="CS29" s="45">
        <f t="shared" si="7"/>
        <v>-0.90677139446223243</v>
      </c>
      <c r="CT29" s="33">
        <f t="shared" si="26"/>
        <v>1.4894094748839635</v>
      </c>
      <c r="CU29" s="1"/>
      <c r="CV29" s="3">
        <v>0.11</v>
      </c>
      <c r="CW29" s="18">
        <f t="shared" si="79"/>
        <v>17.733232279779813</v>
      </c>
      <c r="CX29" s="45">
        <f t="shared" si="58"/>
        <v>-7.0000000000000062E-2</v>
      </c>
      <c r="CY29" s="46">
        <f t="shared" si="59"/>
        <v>14.857572991166867</v>
      </c>
      <c r="CZ29" s="45">
        <f t="shared" si="27"/>
        <v>-0.48838569723111624</v>
      </c>
      <c r="DA29" s="46">
        <f t="shared" si="28"/>
        <v>8.1734912330254161</v>
      </c>
      <c r="DB29" s="45">
        <f t="shared" si="29"/>
        <v>-0.90677139446223243</v>
      </c>
      <c r="DC29" s="33">
        <f t="shared" si="60"/>
        <v>1.4894094748839635</v>
      </c>
      <c r="DE29" s="3">
        <v>0.11</v>
      </c>
      <c r="DF29" s="18">
        <f t="shared" si="80"/>
        <v>17.733232279779813</v>
      </c>
      <c r="DG29" s="45">
        <f t="shared" si="61"/>
        <v>-9.1349876256277773E-2</v>
      </c>
      <c r="DH29" s="46">
        <f t="shared" si="62"/>
        <v>14.516489824682967</v>
      </c>
      <c r="DI29" s="45">
        <f t="shared" si="30"/>
        <v>-0.77763999829668662</v>
      </c>
      <c r="DJ29" s="33">
        <f t="shared" si="84"/>
        <v>3.5523978017451259</v>
      </c>
      <c r="DL29" s="3">
        <f t="shared" si="8"/>
        <v>0.11</v>
      </c>
      <c r="DM29" s="18">
        <f t="shared" si="31"/>
        <v>17.733232279779813</v>
      </c>
      <c r="DN29" s="45">
        <f t="shared" si="9"/>
        <v>-0.1020248143844168</v>
      </c>
      <c r="DO29" s="46">
        <f t="shared" si="32"/>
        <v>14.345948241441016</v>
      </c>
      <c r="DP29" s="6">
        <f t="shared" si="10"/>
        <v>-0.49491643221653486</v>
      </c>
      <c r="DQ29" s="134">
        <f t="shared" si="33"/>
        <v>8.0691569623460353</v>
      </c>
      <c r="DR29" s="45">
        <f t="shared" si="11"/>
        <v>-0.88780805004865293</v>
      </c>
      <c r="DS29" s="33">
        <f t="shared" si="34"/>
        <v>1.7923656832510524</v>
      </c>
      <c r="DU29" s="3">
        <v>0.11</v>
      </c>
      <c r="DV29" s="18">
        <f t="shared" si="81"/>
        <v>17.733232279779813</v>
      </c>
      <c r="DW29" s="45">
        <f t="shared" si="63"/>
        <v>-0.1020248143844168</v>
      </c>
      <c r="DX29" s="46">
        <f t="shared" si="64"/>
        <v>14.345948241441016</v>
      </c>
      <c r="DY29" s="45">
        <f t="shared" si="35"/>
        <v>-0.49491643221653486</v>
      </c>
      <c r="DZ29" s="46">
        <f t="shared" si="36"/>
        <v>8.0691569623460353</v>
      </c>
      <c r="EA29" s="45">
        <f t="shared" si="37"/>
        <v>-0.88780805004865293</v>
      </c>
      <c r="EB29" s="33">
        <f t="shared" si="85"/>
        <v>1.7923656832510524</v>
      </c>
      <c r="EE29" s="60">
        <v>15.975884936738568</v>
      </c>
      <c r="EF29" s="60">
        <v>15.346253614104931</v>
      </c>
      <c r="EG29" s="60">
        <v>14.857572991166867</v>
      </c>
      <c r="EH29" s="50">
        <f t="shared" si="65"/>
        <v>-1.1183119455717012</v>
      </c>
    </row>
    <row r="30" spans="1:138" ht="20.100000000000001" customHeight="1" x14ac:dyDescent="0.25">
      <c r="A30" s="69" t="s">
        <v>29</v>
      </c>
      <c r="B30" s="84"/>
      <c r="C30" s="119">
        <f t="shared" si="13"/>
        <v>41.645268560591987</v>
      </c>
      <c r="D30" s="96">
        <f t="shared" si="13"/>
        <v>36.736692918657198</v>
      </c>
      <c r="F30" s="3">
        <v>0.1</v>
      </c>
      <c r="G30" s="18">
        <f t="shared" si="38"/>
        <v>45.809795416651191</v>
      </c>
      <c r="H30" s="108">
        <v>-7.0000000000000007E-2</v>
      </c>
      <c r="I30" s="36">
        <f t="shared" si="39"/>
        <v>38.730099761350544</v>
      </c>
      <c r="J30" s="76">
        <f t="shared" si="14"/>
        <v>-0.33499999999999996</v>
      </c>
      <c r="K30" s="36">
        <f t="shared" si="15"/>
        <v>27.69410359279367</v>
      </c>
      <c r="L30" s="109">
        <v>-0.6</v>
      </c>
      <c r="M30" s="34">
        <f t="shared" si="40"/>
        <v>16.658107424236796</v>
      </c>
      <c r="O30" s="3">
        <v>0.1</v>
      </c>
      <c r="P30" s="18">
        <f t="shared" si="41"/>
        <v>45.809795416651191</v>
      </c>
      <c r="Q30" s="56">
        <v>-7.0000000000000007E-2</v>
      </c>
      <c r="R30" s="36">
        <f t="shared" si="42"/>
        <v>38.730099761350544</v>
      </c>
      <c r="S30" s="76">
        <f t="shared" si="86"/>
        <v>-0.33499999999999996</v>
      </c>
      <c r="T30" s="36">
        <f t="shared" si="43"/>
        <v>27.694103592793674</v>
      </c>
      <c r="U30" s="54">
        <v>-0.6</v>
      </c>
      <c r="V30" s="34">
        <f t="shared" si="44"/>
        <v>16.658107424236796</v>
      </c>
      <c r="X30" s="3">
        <v>0.1</v>
      </c>
      <c r="Y30" s="18">
        <f t="shared" si="66"/>
        <v>45.809795416651191</v>
      </c>
      <c r="Z30" s="255" t="s">
        <v>36</v>
      </c>
      <c r="AA30" s="256"/>
      <c r="AB30" s="254" t="s">
        <v>36</v>
      </c>
      <c r="AC30" s="254"/>
      <c r="AE30" s="3">
        <v>0.1</v>
      </c>
      <c r="AF30" s="18">
        <f t="shared" si="67"/>
        <v>45.809795416651191</v>
      </c>
      <c r="AG30" s="255" t="s">
        <v>36</v>
      </c>
      <c r="AH30" s="256"/>
      <c r="AI30" s="254" t="s">
        <v>36</v>
      </c>
      <c r="AJ30" s="254"/>
      <c r="AL30" s="3">
        <v>0.1</v>
      </c>
      <c r="AM30" s="18">
        <f t="shared" si="68"/>
        <v>45.809795416651191</v>
      </c>
      <c r="AN30" s="31">
        <v>-7.0000000000000007E-2</v>
      </c>
      <c r="AO30" s="36">
        <f t="shared" si="69"/>
        <v>38.730099761350544</v>
      </c>
      <c r="AP30" s="19">
        <v>-0.6</v>
      </c>
      <c r="AQ30" s="34">
        <f t="shared" si="70"/>
        <v>16.658107424236796</v>
      </c>
      <c r="AS30" s="3">
        <f t="shared" si="0"/>
        <v>0.1</v>
      </c>
      <c r="AT30" s="18">
        <f t="shared" si="17"/>
        <v>45.809795416651191</v>
      </c>
      <c r="AU30" s="108">
        <f t="shared" si="1"/>
        <v>-7.0000000000000007E-2</v>
      </c>
      <c r="AV30" s="36">
        <f t="shared" si="18"/>
        <v>38.730099761350544</v>
      </c>
      <c r="AW30" s="136">
        <f t="shared" si="2"/>
        <v>-0.33499999999999996</v>
      </c>
      <c r="AX30" s="18">
        <f t="shared" si="19"/>
        <v>27.694103592793674</v>
      </c>
      <c r="AY30" s="108">
        <f t="shared" si="3"/>
        <v>-0.6</v>
      </c>
      <c r="AZ30" s="34">
        <f t="shared" si="20"/>
        <v>16.658107424236796</v>
      </c>
      <c r="BB30" s="3">
        <f t="shared" si="45"/>
        <v>0.1</v>
      </c>
      <c r="BC30" s="18">
        <f t="shared" si="46"/>
        <v>45.809795416651191</v>
      </c>
      <c r="BD30" s="56">
        <f t="shared" si="47"/>
        <v>-7.0000000000000007E-2</v>
      </c>
      <c r="BE30" s="36">
        <f t="shared" si="48"/>
        <v>38.730099761350544</v>
      </c>
      <c r="BF30" s="76">
        <f t="shared" si="49"/>
        <v>-0.33499999999999996</v>
      </c>
      <c r="BG30" s="36">
        <f t="shared" si="50"/>
        <v>27.694103592793674</v>
      </c>
      <c r="BH30" s="54">
        <f t="shared" si="51"/>
        <v>-0.6</v>
      </c>
      <c r="BI30" s="34">
        <f t="shared" si="52"/>
        <v>16.658107424236796</v>
      </c>
      <c r="BK30" s="3">
        <v>0.1</v>
      </c>
      <c r="BL30" s="18">
        <f t="shared" si="71"/>
        <v>45.809795416651191</v>
      </c>
      <c r="BM30" s="31">
        <v>-7.0000000000000007E-2</v>
      </c>
      <c r="BN30" s="36">
        <f t="shared" si="72"/>
        <v>38.730099761350544</v>
      </c>
      <c r="BO30" s="19">
        <v>-0.6</v>
      </c>
      <c r="BP30" s="34">
        <f t="shared" si="73"/>
        <v>16.658107424236796</v>
      </c>
      <c r="BR30" s="3">
        <v>0.1</v>
      </c>
      <c r="BS30" s="18">
        <f t="shared" si="74"/>
        <v>45.809795416651191</v>
      </c>
      <c r="BT30" s="45">
        <f t="shared" si="82"/>
        <v>-0.22500000000000012</v>
      </c>
      <c r="BU30" s="46">
        <f t="shared" si="53"/>
        <v>32.275083134458789</v>
      </c>
      <c r="BV30" s="6">
        <f t="shared" si="83"/>
        <v>-0.80000000000000016</v>
      </c>
      <c r="BW30" s="33">
        <f t="shared" si="54"/>
        <v>8.329053712118391</v>
      </c>
      <c r="BY30" s="3">
        <v>0.1</v>
      </c>
      <c r="BZ30" s="18">
        <f t="shared" si="75"/>
        <v>45.809795416651191</v>
      </c>
      <c r="CA30" s="31">
        <v>-7.0000000000000007E-2</v>
      </c>
      <c r="CB30" s="36">
        <f t="shared" si="76"/>
        <v>38.730099761350544</v>
      </c>
      <c r="CC30" s="19">
        <v>-0.6</v>
      </c>
      <c r="CD30" s="34">
        <f t="shared" si="77"/>
        <v>16.658107424236796</v>
      </c>
      <c r="CE30" s="1"/>
      <c r="CF30" s="3">
        <v>0.1</v>
      </c>
      <c r="CG30" s="18">
        <f t="shared" si="78"/>
        <v>45.809795416651191</v>
      </c>
      <c r="CH30" s="45">
        <f t="shared" si="55"/>
        <v>-7.0000000000000062E-2</v>
      </c>
      <c r="CI30" s="46">
        <f t="shared" si="56"/>
        <v>38.730099761350544</v>
      </c>
      <c r="CJ30" s="45">
        <f t="shared" si="22"/>
        <v>-0.80240203093538298</v>
      </c>
      <c r="CK30" s="33">
        <f t="shared" si="57"/>
        <v>8.2290204887235241</v>
      </c>
      <c r="CM30" s="3">
        <f t="shared" si="4"/>
        <v>0.1</v>
      </c>
      <c r="CN30" s="18">
        <f t="shared" si="23"/>
        <v>45.809795416651191</v>
      </c>
      <c r="CO30" s="45">
        <f t="shared" si="5"/>
        <v>-7.0000000000000062E-2</v>
      </c>
      <c r="CP30" s="46">
        <f t="shared" si="24"/>
        <v>38.730099761350544</v>
      </c>
      <c r="CQ30" s="6">
        <f t="shared" si="6"/>
        <v>-0.48838569723111624</v>
      </c>
      <c r="CR30" s="134">
        <f t="shared" si="25"/>
        <v>21.306315038250187</v>
      </c>
      <c r="CS30" s="45">
        <f t="shared" si="7"/>
        <v>-0.90677139446223243</v>
      </c>
      <c r="CT30" s="33">
        <f t="shared" si="26"/>
        <v>3.8825303151498263</v>
      </c>
      <c r="CU30" s="1"/>
      <c r="CV30" s="3">
        <v>0.1</v>
      </c>
      <c r="CW30" s="18">
        <f t="shared" si="79"/>
        <v>45.809795416651191</v>
      </c>
      <c r="CX30" s="45">
        <f t="shared" si="58"/>
        <v>-7.0000000000000062E-2</v>
      </c>
      <c r="CY30" s="46">
        <f t="shared" si="59"/>
        <v>38.730099761350544</v>
      </c>
      <c r="CZ30" s="45">
        <f t="shared" si="27"/>
        <v>-0.48838569723111624</v>
      </c>
      <c r="DA30" s="46">
        <f t="shared" si="28"/>
        <v>21.306315038250187</v>
      </c>
      <c r="DB30" s="45">
        <f t="shared" si="29"/>
        <v>-0.90677139446223243</v>
      </c>
      <c r="DC30" s="33">
        <f t="shared" si="60"/>
        <v>3.8825303151498263</v>
      </c>
      <c r="DE30" s="3">
        <v>0.1</v>
      </c>
      <c r="DF30" s="18">
        <f t="shared" si="80"/>
        <v>45.809795416651191</v>
      </c>
      <c r="DG30" s="45">
        <f t="shared" si="61"/>
        <v>-9.1349876256277773E-2</v>
      </c>
      <c r="DH30" s="46">
        <f t="shared" si="62"/>
        <v>37.840978430922455</v>
      </c>
      <c r="DI30" s="45">
        <f t="shared" si="30"/>
        <v>-0.77763999829668662</v>
      </c>
      <c r="DJ30" s="33">
        <f t="shared" si="84"/>
        <v>9.2602419880681772</v>
      </c>
      <c r="DL30" s="3">
        <f t="shared" si="8"/>
        <v>0.1</v>
      </c>
      <c r="DM30" s="18">
        <f t="shared" si="31"/>
        <v>45.809795416651191</v>
      </c>
      <c r="DN30" s="45">
        <f t="shared" si="9"/>
        <v>-0.10202481438441668</v>
      </c>
      <c r="DO30" s="46">
        <f t="shared" si="32"/>
        <v>37.396417765708406</v>
      </c>
      <c r="DP30" s="6">
        <f t="shared" si="10"/>
        <v>-0.49491643221653481</v>
      </c>
      <c r="DQ30" s="134">
        <f t="shared" si="33"/>
        <v>21.034340825884374</v>
      </c>
      <c r="DR30" s="45">
        <f t="shared" si="11"/>
        <v>-0.88780805004865293</v>
      </c>
      <c r="DS30" s="33">
        <f t="shared" si="34"/>
        <v>4.6722638860603425</v>
      </c>
      <c r="DU30" s="3">
        <v>0.1</v>
      </c>
      <c r="DV30" s="18">
        <f t="shared" si="81"/>
        <v>45.809795416651191</v>
      </c>
      <c r="DW30" s="45">
        <f t="shared" si="63"/>
        <v>-0.10202481438441668</v>
      </c>
      <c r="DX30" s="46">
        <f t="shared" si="64"/>
        <v>37.396417765708406</v>
      </c>
      <c r="DY30" s="45">
        <f t="shared" si="35"/>
        <v>-0.49491643221653481</v>
      </c>
      <c r="DZ30" s="46">
        <f t="shared" si="36"/>
        <v>21.034340825884374</v>
      </c>
      <c r="EA30" s="45">
        <f t="shared" si="37"/>
        <v>-0.88780805004865293</v>
      </c>
      <c r="EB30" s="33">
        <f t="shared" si="85"/>
        <v>4.6722638860603425</v>
      </c>
      <c r="EE30" s="60">
        <v>41.645268560591987</v>
      </c>
      <c r="EF30" s="60">
        <v>36.736692918657198</v>
      </c>
      <c r="EG30" s="60">
        <v>38.730099761350544</v>
      </c>
      <c r="EH30" s="50">
        <f t="shared" si="65"/>
        <v>-2.9151687992414423</v>
      </c>
    </row>
    <row r="31" spans="1:138" ht="20.100000000000001" customHeight="1" x14ac:dyDescent="0.25">
      <c r="A31" s="72" t="s">
        <v>30</v>
      </c>
      <c r="B31" s="87"/>
      <c r="C31" s="119">
        <f t="shared" si="13"/>
        <v>57.979763699629586</v>
      </c>
      <c r="D31" s="96">
        <f t="shared" si="13"/>
        <v>50.030956488916274</v>
      </c>
      <c r="F31" s="3">
        <v>-0.04</v>
      </c>
      <c r="G31" s="18">
        <f t="shared" si="38"/>
        <v>55.6605731516444</v>
      </c>
      <c r="H31" s="108">
        <v>-0.16</v>
      </c>
      <c r="I31" s="36">
        <f t="shared" si="39"/>
        <v>48.703001507688853</v>
      </c>
      <c r="J31" s="76">
        <f t="shared" si="14"/>
        <v>-0.38</v>
      </c>
      <c r="K31" s="36">
        <f t="shared" si="15"/>
        <v>35.947453493770347</v>
      </c>
      <c r="L31" s="109">
        <v>-0.6</v>
      </c>
      <c r="M31" s="34">
        <f t="shared" si="40"/>
        <v>23.191905479851837</v>
      </c>
      <c r="O31" s="3">
        <v>-0.04</v>
      </c>
      <c r="P31" s="18">
        <f t="shared" si="41"/>
        <v>55.6605731516444</v>
      </c>
      <c r="Q31" s="56">
        <v>-0.16</v>
      </c>
      <c r="R31" s="36">
        <f t="shared" si="42"/>
        <v>48.703001507688853</v>
      </c>
      <c r="S31" s="76">
        <f t="shared" si="86"/>
        <v>-0.38</v>
      </c>
      <c r="T31" s="36">
        <f t="shared" si="43"/>
        <v>35.947453493770347</v>
      </c>
      <c r="U31" s="54">
        <v>-0.6</v>
      </c>
      <c r="V31" s="34">
        <f t="shared" si="44"/>
        <v>23.191905479851837</v>
      </c>
      <c r="X31" s="3">
        <v>-0.04</v>
      </c>
      <c r="Y31" s="18">
        <f t="shared" si="66"/>
        <v>55.6605731516444</v>
      </c>
      <c r="Z31" s="255" t="s">
        <v>36</v>
      </c>
      <c r="AA31" s="256"/>
      <c r="AB31" s="254" t="s">
        <v>36</v>
      </c>
      <c r="AC31" s="254"/>
      <c r="AE31" s="3">
        <v>-0.04</v>
      </c>
      <c r="AF31" s="18">
        <f t="shared" si="67"/>
        <v>55.6605731516444</v>
      </c>
      <c r="AG31" s="255" t="s">
        <v>36</v>
      </c>
      <c r="AH31" s="256"/>
      <c r="AI31" s="254" t="s">
        <v>36</v>
      </c>
      <c r="AJ31" s="254"/>
      <c r="AL31" s="3">
        <v>-0.04</v>
      </c>
      <c r="AM31" s="18">
        <f t="shared" si="68"/>
        <v>55.6605731516444</v>
      </c>
      <c r="AN31" s="31">
        <v>-0.16</v>
      </c>
      <c r="AO31" s="36">
        <f t="shared" si="69"/>
        <v>48.703001507688853</v>
      </c>
      <c r="AP31" s="19">
        <v>-0.6</v>
      </c>
      <c r="AQ31" s="34">
        <f t="shared" si="70"/>
        <v>23.191905479851837</v>
      </c>
      <c r="AS31" s="3">
        <f t="shared" si="0"/>
        <v>-0.04</v>
      </c>
      <c r="AT31" s="18">
        <f t="shared" si="17"/>
        <v>55.6605731516444</v>
      </c>
      <c r="AU31" s="108">
        <f t="shared" si="1"/>
        <v>-0.16</v>
      </c>
      <c r="AV31" s="36">
        <f t="shared" si="18"/>
        <v>48.703001507688853</v>
      </c>
      <c r="AW31" s="136">
        <f t="shared" si="2"/>
        <v>-0.38</v>
      </c>
      <c r="AX31" s="18">
        <f t="shared" si="19"/>
        <v>35.947453493770347</v>
      </c>
      <c r="AY31" s="108">
        <f t="shared" si="3"/>
        <v>-0.6</v>
      </c>
      <c r="AZ31" s="34">
        <f t="shared" si="20"/>
        <v>23.191905479851837</v>
      </c>
      <c r="BB31" s="3">
        <f t="shared" si="45"/>
        <v>-0.04</v>
      </c>
      <c r="BC31" s="18">
        <f t="shared" si="46"/>
        <v>55.6605731516444</v>
      </c>
      <c r="BD31" s="56">
        <f t="shared" si="47"/>
        <v>-0.16</v>
      </c>
      <c r="BE31" s="36">
        <f t="shared" si="48"/>
        <v>48.703001507688853</v>
      </c>
      <c r="BF31" s="76">
        <f t="shared" si="49"/>
        <v>-0.38</v>
      </c>
      <c r="BG31" s="36">
        <f t="shared" si="50"/>
        <v>35.947453493770347</v>
      </c>
      <c r="BH31" s="54">
        <f t="shared" si="51"/>
        <v>-0.6</v>
      </c>
      <c r="BI31" s="34">
        <f t="shared" si="52"/>
        <v>23.191905479851837</v>
      </c>
      <c r="BK31" s="3">
        <v>-0.04</v>
      </c>
      <c r="BL31" s="18">
        <f t="shared" si="71"/>
        <v>55.6605731516444</v>
      </c>
      <c r="BM31" s="31">
        <v>-0.16</v>
      </c>
      <c r="BN31" s="36">
        <f t="shared" si="72"/>
        <v>48.703001507688853</v>
      </c>
      <c r="BO31" s="19">
        <v>-0.6</v>
      </c>
      <c r="BP31" s="34">
        <f t="shared" si="73"/>
        <v>23.191905479851837</v>
      </c>
      <c r="BR31" s="3">
        <v>-0.04</v>
      </c>
      <c r="BS31" s="18">
        <f t="shared" si="74"/>
        <v>55.6605731516444</v>
      </c>
      <c r="BT31" s="45">
        <f t="shared" si="82"/>
        <v>-0.3000000000000001</v>
      </c>
      <c r="BU31" s="46">
        <f t="shared" si="53"/>
        <v>40.585834589740706</v>
      </c>
      <c r="BV31" s="6">
        <f t="shared" si="83"/>
        <v>-0.80000000000000016</v>
      </c>
      <c r="BW31" s="33">
        <f t="shared" si="54"/>
        <v>11.595952739925908</v>
      </c>
      <c r="BY31" s="3">
        <v>-0.04</v>
      </c>
      <c r="BZ31" s="18">
        <f t="shared" si="75"/>
        <v>55.6605731516444</v>
      </c>
      <c r="CA31" s="31">
        <v>-0.16</v>
      </c>
      <c r="CB31" s="36">
        <f t="shared" si="76"/>
        <v>48.703001507688853</v>
      </c>
      <c r="CC31" s="19">
        <v>-0.6</v>
      </c>
      <c r="CD31" s="34">
        <f t="shared" si="77"/>
        <v>23.191905479851837</v>
      </c>
      <c r="CE31" s="1"/>
      <c r="CF31" s="3">
        <v>-0.04</v>
      </c>
      <c r="CG31" s="18">
        <f t="shared" si="78"/>
        <v>55.6605731516444</v>
      </c>
      <c r="CH31" s="45">
        <f t="shared" si="55"/>
        <v>-0.16000000000000003</v>
      </c>
      <c r="CI31" s="46">
        <f t="shared" si="56"/>
        <v>48.703001507688853</v>
      </c>
      <c r="CJ31" s="45">
        <f t="shared" si="22"/>
        <v>-0.82152441503841045</v>
      </c>
      <c r="CK31" s="33">
        <f t="shared" si="57"/>
        <v>10.347972242226129</v>
      </c>
      <c r="CM31" s="3">
        <f t="shared" si="4"/>
        <v>-0.04</v>
      </c>
      <c r="CN31" s="18">
        <f t="shared" si="23"/>
        <v>55.6605731516444</v>
      </c>
      <c r="CO31" s="45">
        <f t="shared" si="5"/>
        <v>-0.16000000000000003</v>
      </c>
      <c r="CP31" s="46">
        <f t="shared" si="24"/>
        <v>48.703001507688853</v>
      </c>
      <c r="CQ31" s="6">
        <f t="shared" si="6"/>
        <v>-0.53789675878939525</v>
      </c>
      <c r="CR31" s="134">
        <f t="shared" si="25"/>
        <v>26.792636730223794</v>
      </c>
      <c r="CS31" s="45">
        <f t="shared" si="7"/>
        <v>-0.91579351757879057</v>
      </c>
      <c r="CT31" s="33">
        <f t="shared" si="26"/>
        <v>4.8822719527587379</v>
      </c>
      <c r="CU31" s="1"/>
      <c r="CV31" s="3">
        <v>-0.04</v>
      </c>
      <c r="CW31" s="18">
        <f t="shared" si="79"/>
        <v>55.6605731516444</v>
      </c>
      <c r="CX31" s="45">
        <f t="shared" si="58"/>
        <v>-0.16000000000000003</v>
      </c>
      <c r="CY31" s="46">
        <f t="shared" si="59"/>
        <v>48.703001507688853</v>
      </c>
      <c r="CZ31" s="45">
        <f t="shared" si="27"/>
        <v>-0.53789675878939525</v>
      </c>
      <c r="DA31" s="46">
        <f t="shared" si="28"/>
        <v>26.792636730223794</v>
      </c>
      <c r="DB31" s="45">
        <f t="shared" si="29"/>
        <v>-0.91579351757879057</v>
      </c>
      <c r="DC31" s="33">
        <f t="shared" si="60"/>
        <v>4.8822719527587379</v>
      </c>
      <c r="DE31" s="3">
        <v>-0.04</v>
      </c>
      <c r="DF31" s="18">
        <f t="shared" si="80"/>
        <v>55.6605731516444</v>
      </c>
      <c r="DG31" s="45">
        <f t="shared" si="61"/>
        <v>-0.20879971715720624</v>
      </c>
      <c r="DH31" s="46">
        <f t="shared" si="62"/>
        <v>45.873605438305276</v>
      </c>
      <c r="DI31" s="45">
        <f t="shared" si="30"/>
        <v>-0.80638169561268258</v>
      </c>
      <c r="DJ31" s="33">
        <f t="shared" si="84"/>
        <v>11.225943536299617</v>
      </c>
      <c r="DL31" s="3">
        <f t="shared" si="8"/>
        <v>-0.04</v>
      </c>
      <c r="DM31" s="18">
        <f t="shared" si="31"/>
        <v>55.6605731516444</v>
      </c>
      <c r="DN31" s="45">
        <f t="shared" si="9"/>
        <v>-0.23319957573580918</v>
      </c>
      <c r="DO31" s="46">
        <f t="shared" si="32"/>
        <v>44.458907403613495</v>
      </c>
      <c r="DP31" s="6">
        <f t="shared" si="10"/>
        <v>-0.568698222100948</v>
      </c>
      <c r="DQ31" s="134">
        <f t="shared" si="33"/>
        <v>25.006775165817153</v>
      </c>
      <c r="DR31" s="45">
        <f t="shared" si="11"/>
        <v>-0.90419686846608682</v>
      </c>
      <c r="DS31" s="33">
        <f t="shared" si="34"/>
        <v>5.5546429280208143</v>
      </c>
      <c r="DU31" s="3">
        <v>-0.04</v>
      </c>
      <c r="DV31" s="18">
        <f t="shared" si="81"/>
        <v>55.6605731516444</v>
      </c>
      <c r="DW31" s="45">
        <f t="shared" si="63"/>
        <v>-0.23319957573580918</v>
      </c>
      <c r="DX31" s="46">
        <f t="shared" si="64"/>
        <v>44.458907403613495</v>
      </c>
      <c r="DY31" s="45">
        <f t="shared" si="35"/>
        <v>-0.568698222100948</v>
      </c>
      <c r="DZ31" s="46">
        <f t="shared" si="36"/>
        <v>25.006775165817153</v>
      </c>
      <c r="EA31" s="45">
        <f t="shared" si="37"/>
        <v>-0.90419686846608682</v>
      </c>
      <c r="EB31" s="33">
        <f t="shared" si="85"/>
        <v>5.5546429280208143</v>
      </c>
      <c r="EE31" s="60">
        <v>57.979763699629586</v>
      </c>
      <c r="EF31" s="60">
        <v>50.030956488916274</v>
      </c>
      <c r="EG31" s="60">
        <v>48.703001507688853</v>
      </c>
      <c r="EH31" s="50">
        <f t="shared" si="65"/>
        <v>-9.2767621919407333</v>
      </c>
    </row>
    <row r="32" spans="1:138" ht="20.100000000000001" customHeight="1" x14ac:dyDescent="0.25">
      <c r="A32" s="72" t="s">
        <v>31</v>
      </c>
      <c r="B32" s="87"/>
      <c r="C32" s="119">
        <f t="shared" si="13"/>
        <v>20.782580891152513</v>
      </c>
      <c r="D32" s="96">
        <f t="shared" si="13"/>
        <v>20.77694649044259</v>
      </c>
      <c r="F32" s="3">
        <v>0.13</v>
      </c>
      <c r="G32" s="18">
        <f t="shared" si="38"/>
        <v>23.484316407002339</v>
      </c>
      <c r="H32" s="108">
        <v>-0.12</v>
      </c>
      <c r="I32" s="36">
        <f t="shared" si="39"/>
        <v>18.288671184214213</v>
      </c>
      <c r="J32" s="76">
        <f t="shared" si="14"/>
        <v>-0.36</v>
      </c>
      <c r="K32" s="36">
        <f t="shared" si="15"/>
        <v>13.300851770337609</v>
      </c>
      <c r="L32" s="109">
        <v>-0.6</v>
      </c>
      <c r="M32" s="34">
        <f t="shared" si="40"/>
        <v>8.3130323564610062</v>
      </c>
      <c r="O32" s="3">
        <v>0.13</v>
      </c>
      <c r="P32" s="18">
        <f t="shared" si="41"/>
        <v>23.484316407002339</v>
      </c>
      <c r="Q32" s="56">
        <v>-0.12</v>
      </c>
      <c r="R32" s="36">
        <f t="shared" si="42"/>
        <v>18.288671184214213</v>
      </c>
      <c r="S32" s="76">
        <f t="shared" si="86"/>
        <v>-0.36</v>
      </c>
      <c r="T32" s="36">
        <f t="shared" si="43"/>
        <v>13.300851770337609</v>
      </c>
      <c r="U32" s="54">
        <v>-0.6</v>
      </c>
      <c r="V32" s="34">
        <f t="shared" si="44"/>
        <v>8.3130323564610062</v>
      </c>
      <c r="X32" s="3">
        <v>0.13</v>
      </c>
      <c r="Y32" s="18">
        <f t="shared" si="66"/>
        <v>23.484316407002339</v>
      </c>
      <c r="Z32" s="255" t="s">
        <v>36</v>
      </c>
      <c r="AA32" s="256"/>
      <c r="AB32" s="254" t="s">
        <v>36</v>
      </c>
      <c r="AC32" s="254"/>
      <c r="AE32" s="3">
        <v>0.13</v>
      </c>
      <c r="AF32" s="18">
        <f t="shared" si="67"/>
        <v>23.484316407002339</v>
      </c>
      <c r="AG32" s="255" t="s">
        <v>36</v>
      </c>
      <c r="AH32" s="256"/>
      <c r="AI32" s="254" t="s">
        <v>36</v>
      </c>
      <c r="AJ32" s="254"/>
      <c r="AL32" s="3">
        <v>0.13</v>
      </c>
      <c r="AM32" s="18">
        <f t="shared" si="68"/>
        <v>23.484316407002339</v>
      </c>
      <c r="AN32" s="31">
        <v>-0.12</v>
      </c>
      <c r="AO32" s="36">
        <f t="shared" si="69"/>
        <v>18.288671184214213</v>
      </c>
      <c r="AP32" s="19">
        <v>-0.6</v>
      </c>
      <c r="AQ32" s="34">
        <f t="shared" si="70"/>
        <v>8.3130323564610062</v>
      </c>
      <c r="AS32" s="3">
        <f t="shared" si="0"/>
        <v>0.13</v>
      </c>
      <c r="AT32" s="18">
        <f t="shared" si="17"/>
        <v>23.484316407002339</v>
      </c>
      <c r="AU32" s="108">
        <f t="shared" si="1"/>
        <v>-0.12</v>
      </c>
      <c r="AV32" s="36">
        <f t="shared" si="18"/>
        <v>18.288671184214213</v>
      </c>
      <c r="AW32" s="136">
        <f t="shared" si="2"/>
        <v>-0.36</v>
      </c>
      <c r="AX32" s="18">
        <f t="shared" si="19"/>
        <v>13.300851770337609</v>
      </c>
      <c r="AY32" s="108">
        <f t="shared" si="3"/>
        <v>-0.6</v>
      </c>
      <c r="AZ32" s="34">
        <f t="shared" si="20"/>
        <v>8.3130323564610062</v>
      </c>
      <c r="BB32" s="3">
        <f t="shared" si="45"/>
        <v>0.13</v>
      </c>
      <c r="BC32" s="18">
        <f t="shared" si="46"/>
        <v>23.484316407002339</v>
      </c>
      <c r="BD32" s="56">
        <f t="shared" si="47"/>
        <v>-0.12</v>
      </c>
      <c r="BE32" s="36">
        <f t="shared" si="48"/>
        <v>18.288671184214213</v>
      </c>
      <c r="BF32" s="76">
        <f t="shared" si="49"/>
        <v>-0.36</v>
      </c>
      <c r="BG32" s="36">
        <f t="shared" si="50"/>
        <v>13.300851770337609</v>
      </c>
      <c r="BH32" s="54">
        <f t="shared" si="51"/>
        <v>-0.6</v>
      </c>
      <c r="BI32" s="34">
        <f t="shared" si="52"/>
        <v>8.3130323564610062</v>
      </c>
      <c r="BK32" s="3">
        <v>0.13</v>
      </c>
      <c r="BL32" s="18">
        <f t="shared" si="71"/>
        <v>23.484316407002339</v>
      </c>
      <c r="BM32" s="31">
        <v>-0.12</v>
      </c>
      <c r="BN32" s="36">
        <f t="shared" si="72"/>
        <v>18.288671184214213</v>
      </c>
      <c r="BO32" s="19">
        <v>-0.6</v>
      </c>
      <c r="BP32" s="34">
        <f t="shared" si="73"/>
        <v>8.3130323564610062</v>
      </c>
      <c r="BR32" s="3">
        <v>0.13</v>
      </c>
      <c r="BS32" s="18">
        <f t="shared" si="74"/>
        <v>23.484316407002339</v>
      </c>
      <c r="BT32" s="45">
        <f t="shared" si="82"/>
        <v>-0.26666666666666661</v>
      </c>
      <c r="BU32" s="46">
        <f t="shared" si="53"/>
        <v>15.240559320178511</v>
      </c>
      <c r="BV32" s="6">
        <f t="shared" si="83"/>
        <v>-0.80000000000000016</v>
      </c>
      <c r="BW32" s="33">
        <f t="shared" si="54"/>
        <v>4.1565161782304996</v>
      </c>
      <c r="BY32" s="3">
        <v>0.13</v>
      </c>
      <c r="BZ32" s="18">
        <f t="shared" si="75"/>
        <v>23.484316407002339</v>
      </c>
      <c r="CA32" s="31">
        <v>-0.12</v>
      </c>
      <c r="CB32" s="36">
        <f t="shared" si="76"/>
        <v>18.288671184214213</v>
      </c>
      <c r="CC32" s="19">
        <v>-0.6</v>
      </c>
      <c r="CD32" s="34">
        <f t="shared" si="77"/>
        <v>8.3130323564610062</v>
      </c>
      <c r="CE32" s="1"/>
      <c r="CF32" s="3">
        <v>0.13</v>
      </c>
      <c r="CG32" s="18">
        <f t="shared" si="78"/>
        <v>23.484316407002339</v>
      </c>
      <c r="CH32" s="45">
        <f t="shared" si="55"/>
        <v>-0.11999999999999988</v>
      </c>
      <c r="CI32" s="46">
        <f t="shared" si="56"/>
        <v>18.288671184214213</v>
      </c>
      <c r="CJ32" s="45">
        <f t="shared" si="22"/>
        <v>-0.81302557765928707</v>
      </c>
      <c r="CK32" s="33">
        <f t="shared" si="57"/>
        <v>3.88581105687238</v>
      </c>
      <c r="CM32" s="3">
        <f t="shared" si="4"/>
        <v>0.13</v>
      </c>
      <c r="CN32" s="18">
        <f t="shared" si="23"/>
        <v>23.484316407002339</v>
      </c>
      <c r="CO32" s="45">
        <f t="shared" si="5"/>
        <v>-0.11999999999999988</v>
      </c>
      <c r="CP32" s="46">
        <f t="shared" si="24"/>
        <v>18.288671184214213</v>
      </c>
      <c r="CQ32" s="6">
        <f t="shared" si="6"/>
        <v>-0.51589184254127118</v>
      </c>
      <c r="CR32" s="134">
        <f t="shared" si="25"/>
        <v>10.061016942452829</v>
      </c>
      <c r="CS32" s="45">
        <f t="shared" si="7"/>
        <v>-0.91178368508254248</v>
      </c>
      <c r="CT32" s="33">
        <f t="shared" si="26"/>
        <v>1.8333627006914455</v>
      </c>
      <c r="CU32" s="1"/>
      <c r="CV32" s="3">
        <v>0.13</v>
      </c>
      <c r="CW32" s="18">
        <f t="shared" si="79"/>
        <v>23.484316407002339</v>
      </c>
      <c r="CX32" s="45">
        <f t="shared" si="58"/>
        <v>-0.11999999999999988</v>
      </c>
      <c r="CY32" s="46">
        <f t="shared" si="59"/>
        <v>18.288671184214213</v>
      </c>
      <c r="CZ32" s="45">
        <f t="shared" si="27"/>
        <v>-0.51589184254127118</v>
      </c>
      <c r="DA32" s="46">
        <f t="shared" si="28"/>
        <v>10.061016942452829</v>
      </c>
      <c r="DB32" s="45">
        <f t="shared" si="29"/>
        <v>-0.91178368508254248</v>
      </c>
      <c r="DC32" s="33">
        <f t="shared" si="60"/>
        <v>1.8333627006914455</v>
      </c>
      <c r="DE32" s="3">
        <v>0.13</v>
      </c>
      <c r="DF32" s="18">
        <f t="shared" si="80"/>
        <v>23.484316407002339</v>
      </c>
      <c r="DG32" s="45">
        <f t="shared" si="61"/>
        <v>-0.15659978786790452</v>
      </c>
      <c r="DH32" s="46">
        <f t="shared" si="62"/>
        <v>17.528033132250464</v>
      </c>
      <c r="DI32" s="45">
        <f t="shared" si="30"/>
        <v>-0.79360760791668439</v>
      </c>
      <c r="DJ32" s="33">
        <f t="shared" si="84"/>
        <v>4.289366583789973</v>
      </c>
      <c r="DL32" s="3">
        <f t="shared" si="8"/>
        <v>0.13</v>
      </c>
      <c r="DM32" s="18">
        <f t="shared" si="31"/>
        <v>23.484316407002339</v>
      </c>
      <c r="DN32" s="45">
        <f t="shared" si="9"/>
        <v>-0.17489968180185689</v>
      </c>
      <c r="DO32" s="46">
        <f t="shared" si="32"/>
        <v>17.147714106268587</v>
      </c>
      <c r="DP32" s="6">
        <f t="shared" si="10"/>
        <v>-0.53590631548565315</v>
      </c>
      <c r="DQ32" s="134">
        <f t="shared" si="33"/>
        <v>9.6450645394924273</v>
      </c>
      <c r="DR32" s="45">
        <f t="shared" si="11"/>
        <v>-0.89691294916944952</v>
      </c>
      <c r="DS32" s="33">
        <f t="shared" si="34"/>
        <v>2.1424149727162654</v>
      </c>
      <c r="DU32" s="3">
        <v>0.13</v>
      </c>
      <c r="DV32" s="18">
        <f t="shared" si="81"/>
        <v>23.484316407002339</v>
      </c>
      <c r="DW32" s="45">
        <f t="shared" si="63"/>
        <v>-0.17489968180185689</v>
      </c>
      <c r="DX32" s="46">
        <f t="shared" si="64"/>
        <v>17.147714106268587</v>
      </c>
      <c r="DY32" s="45">
        <f t="shared" si="35"/>
        <v>-0.53590631548565315</v>
      </c>
      <c r="DZ32" s="46">
        <f t="shared" si="36"/>
        <v>9.6450645394924273</v>
      </c>
      <c r="EA32" s="45">
        <f t="shared" si="37"/>
        <v>-0.89691294916944952</v>
      </c>
      <c r="EB32" s="33">
        <f t="shared" si="85"/>
        <v>2.1424149727162654</v>
      </c>
      <c r="EE32" s="60">
        <v>20.782580891152513</v>
      </c>
      <c r="EF32" s="60">
        <v>20.77694649044259</v>
      </c>
      <c r="EG32" s="60">
        <v>18.288671184214213</v>
      </c>
      <c r="EH32" s="50">
        <f t="shared" si="65"/>
        <v>-2.4939097069383003</v>
      </c>
    </row>
    <row r="33" spans="1:138" ht="20.100000000000001" customHeight="1" x14ac:dyDescent="0.25">
      <c r="A33" s="69" t="s">
        <v>32</v>
      </c>
      <c r="B33" s="84"/>
      <c r="C33" s="119">
        <f t="shared" si="13"/>
        <v>10.96403176989808</v>
      </c>
      <c r="D33" s="96">
        <f t="shared" si="13"/>
        <v>11.085624785753687</v>
      </c>
      <c r="F33" s="3">
        <v>0.04</v>
      </c>
      <c r="G33" s="18">
        <f t="shared" si="38"/>
        <v>11.402593040694004</v>
      </c>
      <c r="H33" s="108">
        <v>-0.15</v>
      </c>
      <c r="I33" s="36">
        <f t="shared" si="39"/>
        <v>9.3194270044133685</v>
      </c>
      <c r="J33" s="76">
        <f t="shared" si="14"/>
        <v>-0.375</v>
      </c>
      <c r="K33" s="36">
        <f t="shared" si="15"/>
        <v>6.8525198561862997</v>
      </c>
      <c r="L33" s="109">
        <v>-0.6</v>
      </c>
      <c r="M33" s="34">
        <f t="shared" si="40"/>
        <v>4.3856127079592317</v>
      </c>
      <c r="O33" s="3">
        <v>0.04</v>
      </c>
      <c r="P33" s="18">
        <f t="shared" si="41"/>
        <v>11.402593040694004</v>
      </c>
      <c r="Q33" s="56">
        <v>-0.15</v>
      </c>
      <c r="R33" s="36">
        <f t="shared" si="42"/>
        <v>9.3194270044133685</v>
      </c>
      <c r="S33" s="76">
        <f t="shared" si="86"/>
        <v>-0.375</v>
      </c>
      <c r="T33" s="36">
        <f t="shared" si="43"/>
        <v>6.8525198561862997</v>
      </c>
      <c r="U33" s="54">
        <v>-0.6</v>
      </c>
      <c r="V33" s="34">
        <f t="shared" si="44"/>
        <v>4.3856127079592317</v>
      </c>
      <c r="X33" s="3">
        <v>0.04</v>
      </c>
      <c r="Y33" s="18">
        <f t="shared" si="66"/>
        <v>11.402593040694004</v>
      </c>
      <c r="Z33" s="255" t="s">
        <v>36</v>
      </c>
      <c r="AA33" s="256"/>
      <c r="AB33" s="254" t="s">
        <v>36</v>
      </c>
      <c r="AC33" s="254"/>
      <c r="AE33" s="3">
        <v>0.04</v>
      </c>
      <c r="AF33" s="18">
        <f t="shared" si="67"/>
        <v>11.402593040694004</v>
      </c>
      <c r="AG33" s="255" t="s">
        <v>36</v>
      </c>
      <c r="AH33" s="256"/>
      <c r="AI33" s="254" t="s">
        <v>36</v>
      </c>
      <c r="AJ33" s="254"/>
      <c r="AL33" s="3">
        <v>0.04</v>
      </c>
      <c r="AM33" s="18">
        <f t="shared" si="68"/>
        <v>11.402593040694004</v>
      </c>
      <c r="AN33" s="31">
        <v>-0.15</v>
      </c>
      <c r="AO33" s="36">
        <f t="shared" si="69"/>
        <v>9.3194270044133685</v>
      </c>
      <c r="AP33" s="19">
        <v>-0.6</v>
      </c>
      <c r="AQ33" s="34">
        <f t="shared" si="70"/>
        <v>4.3856127079592317</v>
      </c>
      <c r="AS33" s="3">
        <f t="shared" si="0"/>
        <v>0.04</v>
      </c>
      <c r="AT33" s="18">
        <f t="shared" si="17"/>
        <v>11.402593040694004</v>
      </c>
      <c r="AU33" s="108">
        <f t="shared" si="1"/>
        <v>-0.15</v>
      </c>
      <c r="AV33" s="36">
        <f t="shared" si="18"/>
        <v>9.3194270044133685</v>
      </c>
      <c r="AW33" s="136">
        <f t="shared" si="2"/>
        <v>-0.375</v>
      </c>
      <c r="AX33" s="18">
        <f t="shared" si="19"/>
        <v>6.8525198561862997</v>
      </c>
      <c r="AY33" s="108">
        <f t="shared" si="3"/>
        <v>-0.6</v>
      </c>
      <c r="AZ33" s="34">
        <f t="shared" si="20"/>
        <v>4.3856127079592317</v>
      </c>
      <c r="BB33" s="3">
        <f t="shared" si="45"/>
        <v>0.04</v>
      </c>
      <c r="BC33" s="18">
        <f t="shared" si="46"/>
        <v>11.402593040694004</v>
      </c>
      <c r="BD33" s="56">
        <f t="shared" si="47"/>
        <v>-0.15</v>
      </c>
      <c r="BE33" s="36">
        <f t="shared" si="48"/>
        <v>9.3194270044133685</v>
      </c>
      <c r="BF33" s="76">
        <f t="shared" si="49"/>
        <v>-0.375</v>
      </c>
      <c r="BG33" s="36">
        <f t="shared" si="50"/>
        <v>6.8525198561862997</v>
      </c>
      <c r="BH33" s="54">
        <f t="shared" si="51"/>
        <v>-0.6</v>
      </c>
      <c r="BI33" s="34">
        <f t="shared" si="52"/>
        <v>4.3856127079592317</v>
      </c>
      <c r="BK33" s="3">
        <v>0.04</v>
      </c>
      <c r="BL33" s="18">
        <f t="shared" si="71"/>
        <v>11.402593040694004</v>
      </c>
      <c r="BM33" s="31">
        <v>-0.15</v>
      </c>
      <c r="BN33" s="36">
        <f t="shared" si="72"/>
        <v>9.3194270044133685</v>
      </c>
      <c r="BO33" s="19">
        <v>-0.6</v>
      </c>
      <c r="BP33" s="34">
        <f t="shared" si="73"/>
        <v>4.3856127079592317</v>
      </c>
      <c r="BR33" s="3">
        <v>0.04</v>
      </c>
      <c r="BS33" s="18">
        <f t="shared" si="74"/>
        <v>11.402593040694004</v>
      </c>
      <c r="BT33" s="45">
        <f t="shared" si="82"/>
        <v>-0.29166666666666674</v>
      </c>
      <c r="BU33" s="46">
        <f t="shared" si="53"/>
        <v>7.7661891703444725</v>
      </c>
      <c r="BV33" s="6">
        <f t="shared" si="83"/>
        <v>-0.80000000000000016</v>
      </c>
      <c r="BW33" s="33">
        <f t="shared" si="54"/>
        <v>2.1928063539796141</v>
      </c>
      <c r="BY33" s="3">
        <v>0.04</v>
      </c>
      <c r="BZ33" s="18">
        <f t="shared" si="75"/>
        <v>11.402593040694004</v>
      </c>
      <c r="CA33" s="31">
        <v>-0.15</v>
      </c>
      <c r="CB33" s="36">
        <f t="shared" si="76"/>
        <v>9.3194270044133685</v>
      </c>
      <c r="CC33" s="19">
        <v>-0.6</v>
      </c>
      <c r="CD33" s="34">
        <f t="shared" si="77"/>
        <v>4.3856127079592317</v>
      </c>
      <c r="CE33" s="1"/>
      <c r="CF33" s="3">
        <v>0.04</v>
      </c>
      <c r="CG33" s="18">
        <f t="shared" si="78"/>
        <v>11.402593040694004</v>
      </c>
      <c r="CH33" s="45">
        <f t="shared" si="55"/>
        <v>-0.14999999999999991</v>
      </c>
      <c r="CI33" s="46">
        <f t="shared" si="56"/>
        <v>9.3194270044133685</v>
      </c>
      <c r="CJ33" s="45">
        <f t="shared" si="22"/>
        <v>-0.81939970569362952</v>
      </c>
      <c r="CK33" s="33">
        <f t="shared" si="57"/>
        <v>1.980107364427989</v>
      </c>
      <c r="CM33" s="3">
        <f t="shared" si="4"/>
        <v>0.04</v>
      </c>
      <c r="CN33" s="18">
        <f t="shared" si="23"/>
        <v>11.402593040694004</v>
      </c>
      <c r="CO33" s="45">
        <f t="shared" si="5"/>
        <v>-0.14999999999999991</v>
      </c>
      <c r="CP33" s="46">
        <f t="shared" si="24"/>
        <v>9.3194270044133685</v>
      </c>
      <c r="CQ33" s="6">
        <f t="shared" si="6"/>
        <v>-0.53239552972736415</v>
      </c>
      <c r="CR33" s="134">
        <f t="shared" si="25"/>
        <v>5.1268302678155413</v>
      </c>
      <c r="CS33" s="45">
        <f t="shared" si="7"/>
        <v>-0.91479105945472849</v>
      </c>
      <c r="CT33" s="33">
        <f t="shared" si="26"/>
        <v>0.93423353121771335</v>
      </c>
      <c r="CU33" s="1"/>
      <c r="CV33" s="3">
        <v>0.04</v>
      </c>
      <c r="CW33" s="18">
        <f t="shared" si="79"/>
        <v>11.402593040694004</v>
      </c>
      <c r="CX33" s="45">
        <f t="shared" si="58"/>
        <v>-0.14999999999999991</v>
      </c>
      <c r="CY33" s="46">
        <f t="shared" si="59"/>
        <v>9.3194270044133685</v>
      </c>
      <c r="CZ33" s="45">
        <f t="shared" si="27"/>
        <v>-0.53239552972736415</v>
      </c>
      <c r="DA33" s="46">
        <f t="shared" si="28"/>
        <v>5.1268302678155413</v>
      </c>
      <c r="DB33" s="45">
        <f t="shared" si="29"/>
        <v>-0.91479105945472849</v>
      </c>
      <c r="DC33" s="33">
        <f t="shared" si="60"/>
        <v>0.93423353121771335</v>
      </c>
      <c r="DE33" s="3">
        <v>0.04</v>
      </c>
      <c r="DF33" s="18">
        <f t="shared" si="80"/>
        <v>11.402593040694004</v>
      </c>
      <c r="DG33" s="45">
        <f t="shared" si="61"/>
        <v>-0.19574973483488067</v>
      </c>
      <c r="DH33" s="46">
        <f t="shared" si="62"/>
        <v>8.817825458219323</v>
      </c>
      <c r="DI33" s="45">
        <f t="shared" si="30"/>
        <v>-0.803188173688683</v>
      </c>
      <c r="DJ33" s="33">
        <f t="shared" si="84"/>
        <v>2.157851116368942</v>
      </c>
      <c r="DL33" s="3">
        <f t="shared" si="8"/>
        <v>0.04</v>
      </c>
      <c r="DM33" s="18">
        <f t="shared" si="31"/>
        <v>11.402593040694004</v>
      </c>
      <c r="DN33" s="45">
        <f t="shared" si="9"/>
        <v>-0.21862460225232105</v>
      </c>
      <c r="DO33" s="46">
        <f t="shared" si="32"/>
        <v>8.5670246851223002</v>
      </c>
      <c r="DP33" s="6">
        <f t="shared" si="10"/>
        <v>-0.56050024544712429</v>
      </c>
      <c r="DQ33" s="134">
        <f t="shared" si="33"/>
        <v>4.8186892717801371</v>
      </c>
      <c r="DR33" s="45">
        <f t="shared" si="11"/>
        <v>-0.90237588864192753</v>
      </c>
      <c r="DS33" s="33">
        <f t="shared" si="34"/>
        <v>1.0703538584379741</v>
      </c>
      <c r="DU33" s="3">
        <v>0.04</v>
      </c>
      <c r="DV33" s="18">
        <f t="shared" si="81"/>
        <v>11.402593040694004</v>
      </c>
      <c r="DW33" s="45">
        <f t="shared" si="63"/>
        <v>-0.21862460225232105</v>
      </c>
      <c r="DX33" s="46">
        <f t="shared" si="64"/>
        <v>8.5670246851223002</v>
      </c>
      <c r="DY33" s="45">
        <f t="shared" si="35"/>
        <v>-0.56050024544712429</v>
      </c>
      <c r="DZ33" s="46">
        <f t="shared" si="36"/>
        <v>4.8186892717801371</v>
      </c>
      <c r="EA33" s="45">
        <f t="shared" si="37"/>
        <v>-0.90237588864192753</v>
      </c>
      <c r="EB33" s="33">
        <f t="shared" si="85"/>
        <v>1.0703538584379741</v>
      </c>
      <c r="EE33" s="60">
        <v>10.96403176989808</v>
      </c>
      <c r="EF33" s="60">
        <v>11.085624785753687</v>
      </c>
      <c r="EG33" s="60">
        <v>9.3194270044133685</v>
      </c>
      <c r="EH33" s="50">
        <f t="shared" si="65"/>
        <v>-1.6446047654847114</v>
      </c>
    </row>
    <row r="34" spans="1:138" ht="20.100000000000001" customHeight="1" x14ac:dyDescent="0.25">
      <c r="A34" s="72" t="s">
        <v>33</v>
      </c>
      <c r="B34" s="87"/>
      <c r="C34" s="119">
        <f t="shared" si="13"/>
        <v>3.8115391285948368</v>
      </c>
      <c r="D34" s="96">
        <f t="shared" si="13"/>
        <v>4.0485859102332569</v>
      </c>
      <c r="F34" s="3">
        <v>-0.05</v>
      </c>
      <c r="G34" s="18">
        <f t="shared" si="38"/>
        <v>3.6209621721650946</v>
      </c>
      <c r="H34" s="108">
        <v>-0.24</v>
      </c>
      <c r="I34" s="36">
        <f t="shared" si="39"/>
        <v>2.8967697377320758</v>
      </c>
      <c r="J34" s="76">
        <f t="shared" si="14"/>
        <v>-0.42</v>
      </c>
      <c r="K34" s="36">
        <f t="shared" si="15"/>
        <v>2.2106926945850054</v>
      </c>
      <c r="L34" s="109">
        <v>-0.6</v>
      </c>
      <c r="M34" s="34">
        <f t="shared" si="40"/>
        <v>1.5246156514379348</v>
      </c>
      <c r="O34" s="3">
        <v>-0.05</v>
      </c>
      <c r="P34" s="18">
        <f t="shared" si="41"/>
        <v>3.6209621721650946</v>
      </c>
      <c r="Q34" s="56">
        <v>-0.24</v>
      </c>
      <c r="R34" s="36">
        <f t="shared" si="42"/>
        <v>2.8967697377320758</v>
      </c>
      <c r="S34" s="76">
        <f t="shared" si="86"/>
        <v>-0.42</v>
      </c>
      <c r="T34" s="36">
        <f t="shared" si="43"/>
        <v>2.2106926945850054</v>
      </c>
      <c r="U34" s="54">
        <v>-0.6</v>
      </c>
      <c r="V34" s="34">
        <f t="shared" si="44"/>
        <v>1.5246156514379348</v>
      </c>
      <c r="X34" s="3">
        <v>-0.05</v>
      </c>
      <c r="Y34" s="18">
        <f t="shared" si="66"/>
        <v>3.6209621721650946</v>
      </c>
      <c r="Z34" s="255" t="s">
        <v>36</v>
      </c>
      <c r="AA34" s="256"/>
      <c r="AB34" s="254" t="s">
        <v>36</v>
      </c>
      <c r="AC34" s="254"/>
      <c r="AE34" s="3">
        <v>-0.05</v>
      </c>
      <c r="AF34" s="18">
        <f t="shared" si="67"/>
        <v>3.6209621721650946</v>
      </c>
      <c r="AG34" s="255" t="s">
        <v>36</v>
      </c>
      <c r="AH34" s="256"/>
      <c r="AI34" s="254" t="s">
        <v>36</v>
      </c>
      <c r="AJ34" s="254"/>
      <c r="AL34" s="3">
        <v>-0.05</v>
      </c>
      <c r="AM34" s="18">
        <f t="shared" si="68"/>
        <v>3.6209621721650946</v>
      </c>
      <c r="AN34" s="31">
        <v>-0.24</v>
      </c>
      <c r="AO34" s="36">
        <f t="shared" si="69"/>
        <v>2.8967697377320758</v>
      </c>
      <c r="AP34" s="19">
        <v>-0.6</v>
      </c>
      <c r="AQ34" s="34">
        <f t="shared" si="70"/>
        <v>1.5246156514379348</v>
      </c>
      <c r="AS34" s="3">
        <f t="shared" si="0"/>
        <v>-0.05</v>
      </c>
      <c r="AT34" s="18">
        <f t="shared" si="17"/>
        <v>3.6209621721650946</v>
      </c>
      <c r="AU34" s="108">
        <f t="shared" si="1"/>
        <v>-0.24</v>
      </c>
      <c r="AV34" s="36">
        <f t="shared" si="18"/>
        <v>2.8967697377320758</v>
      </c>
      <c r="AW34" s="136">
        <f t="shared" si="2"/>
        <v>-0.42</v>
      </c>
      <c r="AX34" s="18">
        <f t="shared" si="19"/>
        <v>2.2106926945850054</v>
      </c>
      <c r="AY34" s="108">
        <f t="shared" si="3"/>
        <v>-0.6</v>
      </c>
      <c r="AZ34" s="34">
        <f t="shared" si="20"/>
        <v>1.5246156514379348</v>
      </c>
      <c r="BB34" s="3">
        <f t="shared" si="45"/>
        <v>-0.05</v>
      </c>
      <c r="BC34" s="18">
        <f t="shared" si="46"/>
        <v>3.6209621721650946</v>
      </c>
      <c r="BD34" s="56">
        <f t="shared" si="47"/>
        <v>-0.24</v>
      </c>
      <c r="BE34" s="36">
        <f t="shared" si="48"/>
        <v>2.8967697377320758</v>
      </c>
      <c r="BF34" s="76">
        <f t="shared" si="49"/>
        <v>-0.42</v>
      </c>
      <c r="BG34" s="36">
        <f t="shared" si="50"/>
        <v>2.2106926945850054</v>
      </c>
      <c r="BH34" s="54">
        <f t="shared" si="51"/>
        <v>-0.6</v>
      </c>
      <c r="BI34" s="34">
        <f t="shared" si="52"/>
        <v>1.5246156514379348</v>
      </c>
      <c r="BK34" s="3">
        <v>-0.05</v>
      </c>
      <c r="BL34" s="18">
        <f t="shared" si="71"/>
        <v>3.6209621721650946</v>
      </c>
      <c r="BM34" s="31">
        <v>-0.24</v>
      </c>
      <c r="BN34" s="36">
        <f t="shared" si="72"/>
        <v>2.8967697377320758</v>
      </c>
      <c r="BO34" s="19">
        <v>-0.6</v>
      </c>
      <c r="BP34" s="34">
        <f t="shared" si="73"/>
        <v>1.5246156514379348</v>
      </c>
      <c r="BR34" s="3">
        <v>-0.05</v>
      </c>
      <c r="BS34" s="18">
        <f t="shared" si="74"/>
        <v>3.6209621721650946</v>
      </c>
      <c r="BT34" s="45">
        <f t="shared" si="82"/>
        <v>-0.3666666666666667</v>
      </c>
      <c r="BU34" s="46">
        <f t="shared" si="53"/>
        <v>2.4139747814433967</v>
      </c>
      <c r="BV34" s="6">
        <f t="shared" si="83"/>
        <v>-0.80000000000000016</v>
      </c>
      <c r="BW34" s="33">
        <f t="shared" si="54"/>
        <v>0.76230782571896671</v>
      </c>
      <c r="BY34" s="3">
        <v>-0.05</v>
      </c>
      <c r="BZ34" s="18">
        <f t="shared" si="75"/>
        <v>3.6209621721650946</v>
      </c>
      <c r="CA34" s="31">
        <v>-0.24</v>
      </c>
      <c r="CB34" s="36">
        <f t="shared" si="76"/>
        <v>2.8967697377320758</v>
      </c>
      <c r="CC34" s="19">
        <v>-0.6</v>
      </c>
      <c r="CD34" s="34">
        <f t="shared" si="77"/>
        <v>1.5246156514379348</v>
      </c>
      <c r="CE34" s="1"/>
      <c r="CF34" s="3">
        <v>-0.05</v>
      </c>
      <c r="CG34" s="18">
        <f t="shared" si="78"/>
        <v>3.6209621721650946</v>
      </c>
      <c r="CH34" s="45">
        <f t="shared" si="55"/>
        <v>-0.24</v>
      </c>
      <c r="CI34" s="46">
        <f t="shared" si="56"/>
        <v>2.8967697377320758</v>
      </c>
      <c r="CJ34" s="45">
        <f t="shared" si="22"/>
        <v>-0.83852208979665699</v>
      </c>
      <c r="CK34" s="33">
        <f t="shared" si="57"/>
        <v>0.61547937314376522</v>
      </c>
      <c r="CM34" s="3">
        <f t="shared" si="4"/>
        <v>-0.05</v>
      </c>
      <c r="CN34" s="18">
        <f t="shared" si="23"/>
        <v>3.6209621721650946</v>
      </c>
      <c r="CO34" s="45">
        <f t="shared" si="5"/>
        <v>-0.24</v>
      </c>
      <c r="CP34" s="46">
        <f t="shared" si="24"/>
        <v>2.8967697377320758</v>
      </c>
      <c r="CQ34" s="6">
        <f t="shared" si="6"/>
        <v>-0.58190659128564337</v>
      </c>
      <c r="CR34" s="134">
        <f t="shared" si="25"/>
        <v>1.593579386722364</v>
      </c>
      <c r="CS34" s="45">
        <f t="shared" si="7"/>
        <v>-0.92381318257128664</v>
      </c>
      <c r="CT34" s="33">
        <f t="shared" si="26"/>
        <v>0.29038903571265196</v>
      </c>
      <c r="CU34" s="1"/>
      <c r="CV34" s="3">
        <v>-0.05</v>
      </c>
      <c r="CW34" s="18">
        <f t="shared" si="79"/>
        <v>3.6209621721650946</v>
      </c>
      <c r="CX34" s="45">
        <f t="shared" si="58"/>
        <v>-0.24</v>
      </c>
      <c r="CY34" s="46">
        <f t="shared" si="59"/>
        <v>2.8967697377320758</v>
      </c>
      <c r="CZ34" s="45">
        <f t="shared" si="27"/>
        <v>-0.58190659128564337</v>
      </c>
      <c r="DA34" s="46">
        <f t="shared" si="28"/>
        <v>1.593579386722364</v>
      </c>
      <c r="DB34" s="45">
        <f t="shared" si="29"/>
        <v>-0.92381318257128664</v>
      </c>
      <c r="DC34" s="33">
        <f t="shared" si="60"/>
        <v>0.29038903571265196</v>
      </c>
      <c r="DE34" s="3">
        <v>-0.05</v>
      </c>
      <c r="DF34" s="18">
        <f t="shared" si="80"/>
        <v>3.6209621721650946</v>
      </c>
      <c r="DG34" s="45">
        <f t="shared" si="61"/>
        <v>-0.31319957573580948</v>
      </c>
      <c r="DH34" s="46">
        <f t="shared" si="62"/>
        <v>2.6177666906184971</v>
      </c>
      <c r="DI34" s="45">
        <f t="shared" si="30"/>
        <v>-0.83192987100467908</v>
      </c>
      <c r="DJ34" s="33">
        <f t="shared" si="84"/>
        <v>0.64060587301364746</v>
      </c>
      <c r="DL34" s="3">
        <f t="shared" si="8"/>
        <v>-0.05</v>
      </c>
      <c r="DM34" s="18">
        <f t="shared" si="31"/>
        <v>3.6209621721650946</v>
      </c>
      <c r="DN34" s="45">
        <f t="shared" si="9"/>
        <v>-0.349799363603714</v>
      </c>
      <c r="DO34" s="46">
        <f t="shared" si="32"/>
        <v>2.4782651670617084</v>
      </c>
      <c r="DP34" s="6">
        <f t="shared" si="10"/>
        <v>-0.63428203533153771</v>
      </c>
      <c r="DQ34" s="134">
        <f t="shared" si="33"/>
        <v>1.3939483323639079</v>
      </c>
      <c r="DR34" s="45">
        <f t="shared" si="11"/>
        <v>-0.91876470705936153</v>
      </c>
      <c r="DS34" s="33">
        <f t="shared" si="34"/>
        <v>0.30963149766610748</v>
      </c>
      <c r="DU34" s="3">
        <v>-0.05</v>
      </c>
      <c r="DV34" s="18">
        <f t="shared" si="81"/>
        <v>3.6209621721650946</v>
      </c>
      <c r="DW34" s="45">
        <f t="shared" si="63"/>
        <v>-0.349799363603714</v>
      </c>
      <c r="DX34" s="46">
        <f t="shared" si="64"/>
        <v>2.4782651670617084</v>
      </c>
      <c r="DY34" s="45">
        <f t="shared" si="35"/>
        <v>-0.63428203533153771</v>
      </c>
      <c r="DZ34" s="46">
        <f t="shared" si="36"/>
        <v>1.3939483323639079</v>
      </c>
      <c r="EA34" s="45">
        <f t="shared" si="37"/>
        <v>-0.91876470705936153</v>
      </c>
      <c r="EB34" s="33">
        <f t="shared" si="85"/>
        <v>0.30963149766610748</v>
      </c>
      <c r="EE34" s="60">
        <v>3.8115391285948368</v>
      </c>
      <c r="EF34" s="60">
        <v>4.0485859102332569</v>
      </c>
      <c r="EG34" s="60">
        <v>2.8967697377320758</v>
      </c>
      <c r="EH34" s="50">
        <f t="shared" si="65"/>
        <v>-0.91476939086276099</v>
      </c>
    </row>
    <row r="35" spans="1:138" ht="20.100000000000001" customHeight="1" x14ac:dyDescent="0.25">
      <c r="A35" s="74" t="s">
        <v>34</v>
      </c>
      <c r="B35" s="89"/>
      <c r="C35" s="121">
        <f t="shared" si="13"/>
        <v>0.82179633315626988</v>
      </c>
      <c r="D35" s="98">
        <f t="shared" si="13"/>
        <v>0.92670502777647945</v>
      </c>
      <c r="F35" s="9">
        <v>0.05</v>
      </c>
      <c r="G35" s="38">
        <f t="shared" si="38"/>
        <v>0.8628861498140834</v>
      </c>
      <c r="H35" s="110">
        <v>-0.19</v>
      </c>
      <c r="I35" s="38">
        <f t="shared" si="39"/>
        <v>0.66565502985657865</v>
      </c>
      <c r="J35" s="78">
        <f t="shared" si="14"/>
        <v>-0.39500000000000002</v>
      </c>
      <c r="K35" s="38">
        <f t="shared" si="15"/>
        <v>0.49718678155954332</v>
      </c>
      <c r="L35" s="111">
        <v>-0.6</v>
      </c>
      <c r="M35" s="35">
        <f t="shared" si="40"/>
        <v>0.32871853326250799</v>
      </c>
      <c r="O35" s="9">
        <v>0.05</v>
      </c>
      <c r="P35" s="38">
        <f t="shared" si="41"/>
        <v>0.8628861498140834</v>
      </c>
      <c r="Q35" s="57">
        <v>-0.19</v>
      </c>
      <c r="R35" s="38">
        <f t="shared" si="42"/>
        <v>0.66565502985657865</v>
      </c>
      <c r="S35" s="78">
        <f>+(Q35+U35)/2</f>
        <v>-0.39500000000000002</v>
      </c>
      <c r="T35" s="38">
        <f t="shared" si="43"/>
        <v>0.49718678155954327</v>
      </c>
      <c r="U35" s="58">
        <v>-0.6</v>
      </c>
      <c r="V35" s="35">
        <f t="shared" si="44"/>
        <v>0.32871853326250799</v>
      </c>
      <c r="X35" s="9">
        <v>0.05</v>
      </c>
      <c r="Y35" s="38">
        <f t="shared" si="66"/>
        <v>0.8628861498140834</v>
      </c>
      <c r="Z35" s="257" t="s">
        <v>36</v>
      </c>
      <c r="AA35" s="258"/>
      <c r="AB35" s="259" t="s">
        <v>36</v>
      </c>
      <c r="AC35" s="260"/>
      <c r="AE35" s="9">
        <v>0.05</v>
      </c>
      <c r="AF35" s="38">
        <f t="shared" si="67"/>
        <v>0.8628861498140834</v>
      </c>
      <c r="AG35" s="257" t="s">
        <v>36</v>
      </c>
      <c r="AH35" s="258"/>
      <c r="AI35" s="259" t="s">
        <v>36</v>
      </c>
      <c r="AJ35" s="260"/>
      <c r="AL35" s="9">
        <v>0.05</v>
      </c>
      <c r="AM35" s="38">
        <f t="shared" si="68"/>
        <v>0.8628861498140834</v>
      </c>
      <c r="AN35" s="32">
        <v>-0.19</v>
      </c>
      <c r="AO35" s="38">
        <f t="shared" si="69"/>
        <v>0.66565502985657865</v>
      </c>
      <c r="AP35" s="27">
        <v>-0.6</v>
      </c>
      <c r="AQ35" s="35">
        <f t="shared" si="70"/>
        <v>0.32871853326250799</v>
      </c>
      <c r="AS35" s="9">
        <f t="shared" si="0"/>
        <v>0.05</v>
      </c>
      <c r="AT35" s="80">
        <f t="shared" si="17"/>
        <v>0.8628861498140834</v>
      </c>
      <c r="AU35" s="110">
        <f t="shared" si="1"/>
        <v>-0.19</v>
      </c>
      <c r="AV35" s="38">
        <f t="shared" si="18"/>
        <v>0.66565502985657865</v>
      </c>
      <c r="AW35" s="137">
        <f t="shared" si="2"/>
        <v>-0.39500000000000002</v>
      </c>
      <c r="AX35" s="80">
        <f t="shared" si="19"/>
        <v>0.49718678155954327</v>
      </c>
      <c r="AY35" s="110">
        <f t="shared" si="3"/>
        <v>-0.6</v>
      </c>
      <c r="AZ35" s="35">
        <f t="shared" si="20"/>
        <v>0.32871853326250799</v>
      </c>
      <c r="BB35" s="9">
        <f t="shared" si="45"/>
        <v>0.05</v>
      </c>
      <c r="BC35" s="80">
        <f t="shared" si="46"/>
        <v>0.8628861498140834</v>
      </c>
      <c r="BD35" s="57">
        <f t="shared" si="47"/>
        <v>-0.19</v>
      </c>
      <c r="BE35" s="38">
        <f t="shared" si="48"/>
        <v>0.66565502985657865</v>
      </c>
      <c r="BF35" s="78">
        <f t="shared" si="49"/>
        <v>-0.39500000000000002</v>
      </c>
      <c r="BG35" s="38">
        <f t="shared" si="50"/>
        <v>0.49718678155954327</v>
      </c>
      <c r="BH35" s="58">
        <f t="shared" si="51"/>
        <v>-0.6</v>
      </c>
      <c r="BI35" s="35">
        <f t="shared" si="52"/>
        <v>0.32871853326250799</v>
      </c>
      <c r="BK35" s="9">
        <v>0.05</v>
      </c>
      <c r="BL35" s="38">
        <f t="shared" si="71"/>
        <v>0.8628861498140834</v>
      </c>
      <c r="BM35" s="32">
        <v>-0.19</v>
      </c>
      <c r="BN35" s="38">
        <f t="shared" si="72"/>
        <v>0.66565502985657865</v>
      </c>
      <c r="BO35" s="27">
        <v>-0.6</v>
      </c>
      <c r="BP35" s="35">
        <f t="shared" si="73"/>
        <v>0.32871853326250799</v>
      </c>
      <c r="BR35" s="9">
        <v>0.05</v>
      </c>
      <c r="BS35" s="38">
        <f t="shared" si="74"/>
        <v>0.8628861498140834</v>
      </c>
      <c r="BT35" s="47">
        <f t="shared" si="82"/>
        <v>-0.32499999999999996</v>
      </c>
      <c r="BU35" s="48">
        <f t="shared" si="53"/>
        <v>0.55471252488048217</v>
      </c>
      <c r="BV35" s="10">
        <f t="shared" si="83"/>
        <v>-0.80000000000000016</v>
      </c>
      <c r="BW35" s="65">
        <f t="shared" si="54"/>
        <v>0.16435926663125386</v>
      </c>
      <c r="BY35" s="9">
        <v>0.05</v>
      </c>
      <c r="BZ35" s="38">
        <f t="shared" si="75"/>
        <v>0.8628861498140834</v>
      </c>
      <c r="CA35" s="32">
        <v>-0.19</v>
      </c>
      <c r="CB35" s="38">
        <f t="shared" si="76"/>
        <v>0.66565502985657865</v>
      </c>
      <c r="CC35" s="27">
        <v>-0.6</v>
      </c>
      <c r="CD35" s="35">
        <f t="shared" si="77"/>
        <v>0.32871853326250799</v>
      </c>
      <c r="CE35" s="1"/>
      <c r="CF35" s="9">
        <v>0.05</v>
      </c>
      <c r="CG35" s="38">
        <f t="shared" si="78"/>
        <v>0.8628861498140834</v>
      </c>
      <c r="CH35" s="47">
        <f t="shared" si="55"/>
        <v>-0.18999999999999995</v>
      </c>
      <c r="CI35" s="48">
        <f t="shared" si="56"/>
        <v>0.66565502985657865</v>
      </c>
      <c r="CJ35" s="47">
        <f t="shared" si="22"/>
        <v>-0.8278985430727529</v>
      </c>
      <c r="CK35" s="65">
        <f t="shared" si="57"/>
        <v>0.14143234623366341</v>
      </c>
      <c r="CM35" s="9">
        <f t="shared" si="4"/>
        <v>0.05</v>
      </c>
      <c r="CN35" s="80">
        <f t="shared" si="23"/>
        <v>0.8628861498140834</v>
      </c>
      <c r="CO35" s="47">
        <f t="shared" si="5"/>
        <v>-0.18999999999999995</v>
      </c>
      <c r="CP35" s="48">
        <f t="shared" si="24"/>
        <v>0.66565502985657865</v>
      </c>
      <c r="CQ35" s="10">
        <f t="shared" si="6"/>
        <v>-0.55440044597548832</v>
      </c>
      <c r="CR35" s="139">
        <f t="shared" si="25"/>
        <v>0.36619207955341293</v>
      </c>
      <c r="CS35" s="47">
        <f t="shared" si="7"/>
        <v>-0.91880089195097658</v>
      </c>
      <c r="CT35" s="65">
        <f t="shared" si="26"/>
        <v>6.672912925024721E-2</v>
      </c>
      <c r="CU35" s="1"/>
      <c r="CV35" s="9">
        <v>0.05</v>
      </c>
      <c r="CW35" s="38">
        <f t="shared" si="79"/>
        <v>0.8628861498140834</v>
      </c>
      <c r="CX35" s="47">
        <f t="shared" si="58"/>
        <v>-0.18999999999999995</v>
      </c>
      <c r="CY35" s="48">
        <f t="shared" si="59"/>
        <v>0.66565502985657865</v>
      </c>
      <c r="CZ35" s="47">
        <f>+(CX35+DB35)/2</f>
        <v>-0.55440044597548832</v>
      </c>
      <c r="DA35" s="48">
        <f t="shared" si="28"/>
        <v>0.36619207955341293</v>
      </c>
      <c r="DB35" s="47">
        <f t="shared" si="29"/>
        <v>-0.91880089195097658</v>
      </c>
      <c r="DC35" s="65">
        <f t="shared" si="60"/>
        <v>6.672912925024721E-2</v>
      </c>
      <c r="DE35" s="9">
        <v>0.05</v>
      </c>
      <c r="DF35" s="38">
        <f t="shared" si="80"/>
        <v>0.8628861498140834</v>
      </c>
      <c r="DG35" s="47">
        <f t="shared" si="61"/>
        <v>-0.24794966412418229</v>
      </c>
      <c r="DH35" s="48">
        <f t="shared" si="62"/>
        <v>0.61803220837168815</v>
      </c>
      <c r="DI35" s="47">
        <f t="shared" si="30"/>
        <v>-0.8159622613846812</v>
      </c>
      <c r="DJ35" s="65">
        <f t="shared" si="84"/>
        <v>0.15124153875644103</v>
      </c>
      <c r="DL35" s="9">
        <f t="shared" si="8"/>
        <v>0.05</v>
      </c>
      <c r="DM35" s="80">
        <f t="shared" si="31"/>
        <v>0.8628861498140834</v>
      </c>
      <c r="DN35" s="47">
        <f t="shared" si="9"/>
        <v>-0.27692449618627335</v>
      </c>
      <c r="DO35" s="48">
        <f t="shared" si="32"/>
        <v>0.59422079762924296</v>
      </c>
      <c r="DP35" s="10">
        <f t="shared" si="10"/>
        <v>-0.59329215206241903</v>
      </c>
      <c r="DQ35" s="139">
        <f t="shared" si="33"/>
        <v>0.33423101810098177</v>
      </c>
      <c r="DR35" s="47">
        <f t="shared" si="11"/>
        <v>-0.90965980793856482</v>
      </c>
      <c r="DS35" s="65">
        <f t="shared" si="34"/>
        <v>7.4241238572720553E-2</v>
      </c>
      <c r="DU35" s="9">
        <v>0.05</v>
      </c>
      <c r="DV35" s="38">
        <f t="shared" si="81"/>
        <v>0.8628861498140834</v>
      </c>
      <c r="DW35" s="47">
        <f t="shared" si="63"/>
        <v>-0.27692449618627335</v>
      </c>
      <c r="DX35" s="48">
        <f t="shared" si="64"/>
        <v>0.59422079762924296</v>
      </c>
      <c r="DY35" s="47">
        <f>+(DW35+EA35)/2</f>
        <v>-0.59329215206241903</v>
      </c>
      <c r="DZ35" s="48">
        <f t="shared" si="36"/>
        <v>0.33423101810098177</v>
      </c>
      <c r="EA35" s="47">
        <f t="shared" si="37"/>
        <v>-0.90965980793856482</v>
      </c>
      <c r="EB35" s="65">
        <f t="shared" si="85"/>
        <v>7.4241238572720553E-2</v>
      </c>
      <c r="EE35" s="60">
        <v>0.82179633315626988</v>
      </c>
      <c r="EF35" s="60">
        <v>0.92670502777647945</v>
      </c>
      <c r="EG35" s="60">
        <v>0.66565502985657865</v>
      </c>
      <c r="EH35" s="50">
        <f t="shared" si="65"/>
        <v>-0.15614130329969123</v>
      </c>
    </row>
    <row r="36" spans="1:138" ht="60" customHeight="1" x14ac:dyDescent="0.25">
      <c r="A36" s="67"/>
      <c r="B36" s="100">
        <f>+B2</f>
        <v>1990</v>
      </c>
      <c r="C36" s="122">
        <f>+C2</f>
        <v>2005</v>
      </c>
      <c r="D36" s="101">
        <f>+D2</f>
        <v>2011</v>
      </c>
      <c r="F36" s="223" t="s">
        <v>66</v>
      </c>
      <c r="G36" s="224"/>
      <c r="H36" s="225" t="s">
        <v>67</v>
      </c>
      <c r="I36" s="226"/>
      <c r="J36" s="225" t="s">
        <v>68</v>
      </c>
      <c r="K36" s="226"/>
      <c r="L36" s="229" t="s">
        <v>51</v>
      </c>
      <c r="M36" s="230"/>
      <c r="O36" s="223" t="s">
        <v>66</v>
      </c>
      <c r="P36" s="224"/>
      <c r="Q36" s="225" t="s">
        <v>67</v>
      </c>
      <c r="R36" s="226"/>
      <c r="S36" s="227" t="s">
        <v>68</v>
      </c>
      <c r="T36" s="228"/>
      <c r="U36" s="229" t="s">
        <v>51</v>
      </c>
      <c r="V36" s="230"/>
      <c r="X36" s="223" t="s">
        <v>66</v>
      </c>
      <c r="Y36" s="224"/>
      <c r="Z36" s="225" t="s">
        <v>67</v>
      </c>
      <c r="AA36" s="226"/>
      <c r="AB36" s="229" t="s">
        <v>51</v>
      </c>
      <c r="AC36" s="230"/>
      <c r="AE36" s="223" t="s">
        <v>66</v>
      </c>
      <c r="AF36" s="224"/>
      <c r="AG36" s="225" t="s">
        <v>67</v>
      </c>
      <c r="AH36" s="226"/>
      <c r="AI36" s="229" t="s">
        <v>51</v>
      </c>
      <c r="AJ36" s="230"/>
      <c r="AL36" s="223" t="s">
        <v>66</v>
      </c>
      <c r="AM36" s="224"/>
      <c r="AN36" s="225" t="s">
        <v>67</v>
      </c>
      <c r="AO36" s="226"/>
      <c r="AP36" s="229" t="s">
        <v>51</v>
      </c>
      <c r="AQ36" s="230"/>
      <c r="AS36" s="223" t="str">
        <f t="shared" si="0"/>
        <v>Target for 2020 (compared to 1990)</v>
      </c>
      <c r="AT36" s="224"/>
      <c r="AU36" s="225" t="str">
        <f t="shared" si="1"/>
        <v>Target for 2030 (compared to 1990)</v>
      </c>
      <c r="AV36" s="226"/>
      <c r="AW36" s="224" t="str">
        <f t="shared" si="2"/>
        <v>Target for 2040 (compared to 1990)</v>
      </c>
      <c r="AX36" s="224"/>
      <c r="AY36" s="225" t="str">
        <f t="shared" si="3"/>
        <v>Target for 2050 (compared to 1990)</v>
      </c>
      <c r="AZ36" s="261"/>
      <c r="BB36" s="223" t="s">
        <v>66</v>
      </c>
      <c r="BC36" s="224"/>
      <c r="BD36" s="225" t="s">
        <v>67</v>
      </c>
      <c r="BE36" s="226"/>
      <c r="BF36" s="227" t="s">
        <v>68</v>
      </c>
      <c r="BG36" s="228"/>
      <c r="BH36" s="229" t="s">
        <v>51</v>
      </c>
      <c r="BI36" s="230"/>
      <c r="BK36" s="223" t="s">
        <v>66</v>
      </c>
      <c r="BL36" s="224"/>
      <c r="BM36" s="225" t="s">
        <v>67</v>
      </c>
      <c r="BN36" s="226"/>
      <c r="BO36" s="229" t="s">
        <v>51</v>
      </c>
      <c r="BP36" s="230"/>
      <c r="BR36" s="223" t="s">
        <v>66</v>
      </c>
      <c r="BS36" s="224"/>
      <c r="BT36" s="225" t="s">
        <v>67</v>
      </c>
      <c r="BU36" s="226"/>
      <c r="BV36" s="229" t="s">
        <v>51</v>
      </c>
      <c r="BW36" s="230"/>
      <c r="BY36" s="223" t="s">
        <v>66</v>
      </c>
      <c r="BZ36" s="224"/>
      <c r="CA36" s="225" t="s">
        <v>67</v>
      </c>
      <c r="CB36" s="226"/>
      <c r="CC36" s="229" t="s">
        <v>51</v>
      </c>
      <c r="CD36" s="230"/>
      <c r="CE36" s="1"/>
      <c r="CF36" s="223" t="s">
        <v>66</v>
      </c>
      <c r="CG36" s="224"/>
      <c r="CH36" s="225" t="s">
        <v>67</v>
      </c>
      <c r="CI36" s="226"/>
      <c r="CJ36" s="229" t="s">
        <v>51</v>
      </c>
      <c r="CK36" s="230"/>
      <c r="CM36" s="223" t="str">
        <f t="shared" si="4"/>
        <v>Target for 2020 (compared to 1990)</v>
      </c>
      <c r="CN36" s="224"/>
      <c r="CO36" s="225" t="str">
        <f t="shared" si="5"/>
        <v>Target for 2030 (compared to 1990)</v>
      </c>
      <c r="CP36" s="226"/>
      <c r="CQ36" s="224" t="str">
        <f t="shared" si="6"/>
        <v>Target for 2040 (compared to 1990)</v>
      </c>
      <c r="CR36" s="224"/>
      <c r="CS36" s="225" t="str">
        <f t="shared" si="7"/>
        <v>Target for 2050 (compared to 1990)</v>
      </c>
      <c r="CT36" s="261"/>
      <c r="CU36" s="1"/>
      <c r="CV36" s="223" t="s">
        <v>66</v>
      </c>
      <c r="CW36" s="224"/>
      <c r="CX36" s="225" t="s">
        <v>67</v>
      </c>
      <c r="CY36" s="226"/>
      <c r="CZ36" s="225" t="s">
        <v>68</v>
      </c>
      <c r="DA36" s="226"/>
      <c r="DB36" s="229" t="s">
        <v>51</v>
      </c>
      <c r="DC36" s="230"/>
      <c r="DE36" s="223" t="s">
        <v>66</v>
      </c>
      <c r="DF36" s="224"/>
      <c r="DG36" s="225" t="s">
        <v>67</v>
      </c>
      <c r="DH36" s="226"/>
      <c r="DI36" s="229" t="s">
        <v>51</v>
      </c>
      <c r="DJ36" s="230"/>
      <c r="DL36" s="223" t="str">
        <f t="shared" si="8"/>
        <v>Target for 2020 (compared to 1990)</v>
      </c>
      <c r="DM36" s="224"/>
      <c r="DN36" s="225" t="str">
        <f t="shared" si="9"/>
        <v>Target for 2030 (compared to 1990)</v>
      </c>
      <c r="DO36" s="226"/>
      <c r="DP36" s="224" t="str">
        <f t="shared" si="10"/>
        <v>Target for 2040 (compared to 1990)</v>
      </c>
      <c r="DQ36" s="224"/>
      <c r="DR36" s="225" t="str">
        <f t="shared" si="11"/>
        <v>Target for 2050 (compared to 1990)</v>
      </c>
      <c r="DS36" s="261"/>
      <c r="DU36" s="223" t="s">
        <v>66</v>
      </c>
      <c r="DV36" s="224"/>
      <c r="DW36" s="225" t="s">
        <v>67</v>
      </c>
      <c r="DX36" s="226"/>
      <c r="DY36" s="225" t="s">
        <v>68</v>
      </c>
      <c r="DZ36" s="226"/>
      <c r="EA36" s="229" t="s">
        <v>51</v>
      </c>
      <c r="EB36" s="230"/>
      <c r="EE36" s="60">
        <f>SUM(EE8:EE35)</f>
        <v>2706.5255412157912</v>
      </c>
      <c r="EF36" s="60">
        <v>2499.6203693917637</v>
      </c>
      <c r="EG36" s="60">
        <f>SUM(EG8:EG35)</f>
        <v>1891.0052144935046</v>
      </c>
      <c r="EH36" s="50">
        <f t="shared" si="65"/>
        <v>-815.52032672228665</v>
      </c>
    </row>
    <row r="37" spans="1:138" ht="20.100000000000001" customHeight="1" x14ac:dyDescent="0.25">
      <c r="A37" s="68" t="s">
        <v>54</v>
      </c>
      <c r="B37" s="99">
        <f>+ED37</f>
        <v>1211.1566313063843</v>
      </c>
      <c r="C37" s="118">
        <f>+EE37</f>
        <v>971.89948580231442</v>
      </c>
      <c r="D37" s="95">
        <f>+EF37</f>
        <v>905.61661818257119</v>
      </c>
      <c r="F37" s="231" t="s">
        <v>36</v>
      </c>
      <c r="G37" s="234"/>
      <c r="H37" s="233" t="s">
        <v>36</v>
      </c>
      <c r="I37" s="234"/>
      <c r="J37" s="233" t="s">
        <v>36</v>
      </c>
      <c r="K37" s="234"/>
      <c r="L37" s="232" t="s">
        <v>36</v>
      </c>
      <c r="M37" s="247"/>
      <c r="O37" s="81">
        <v>-0.4</v>
      </c>
      <c r="P37" s="82">
        <f>$ED37*0.6</f>
        <v>726.69397878383052</v>
      </c>
      <c r="Q37" s="29">
        <v>-0.55000000000000004</v>
      </c>
      <c r="R37" s="26">
        <f>$ED37*0.45</f>
        <v>545.02048408787289</v>
      </c>
      <c r="S37" s="29">
        <f>+(Q37+U37)/2</f>
        <v>-0.7</v>
      </c>
      <c r="T37" s="26">
        <f>$ED37*0.3</f>
        <v>363.34698939191526</v>
      </c>
      <c r="U37" s="2">
        <v>-0.85</v>
      </c>
      <c r="V37" s="28">
        <f>$ED37*0.15</f>
        <v>181.67349469595763</v>
      </c>
      <c r="X37" s="231" t="s">
        <v>36</v>
      </c>
      <c r="Y37" s="234"/>
      <c r="Z37" s="233" t="s">
        <v>36</v>
      </c>
      <c r="AA37" s="234"/>
      <c r="AB37" s="233" t="s">
        <v>36</v>
      </c>
      <c r="AC37" s="247"/>
      <c r="AE37" s="231" t="s">
        <v>36</v>
      </c>
      <c r="AF37" s="234"/>
      <c r="AG37" s="233" t="s">
        <v>36</v>
      </c>
      <c r="AH37" s="234"/>
      <c r="AI37" s="233" t="s">
        <v>36</v>
      </c>
      <c r="AJ37" s="247"/>
      <c r="AL37" s="231" t="s">
        <v>36</v>
      </c>
      <c r="AM37" s="234"/>
      <c r="AN37" s="233" t="s">
        <v>36</v>
      </c>
      <c r="AO37" s="234"/>
      <c r="AP37" s="233" t="s">
        <v>36</v>
      </c>
      <c r="AQ37" s="247"/>
      <c r="AS37" s="231" t="s">
        <v>36</v>
      </c>
      <c r="AT37" s="232"/>
      <c r="AU37" s="233" t="s">
        <v>36</v>
      </c>
      <c r="AV37" s="234"/>
      <c r="AW37" s="232" t="s">
        <v>36</v>
      </c>
      <c r="AX37" s="232"/>
      <c r="AY37" s="233" t="s">
        <v>36</v>
      </c>
      <c r="AZ37" s="247"/>
      <c r="BB37" s="51">
        <v>-0.4</v>
      </c>
      <c r="BC37" s="14">
        <f>$ED37*0.6</f>
        <v>726.69397878383052</v>
      </c>
      <c r="BD37" s="29">
        <v>-0.65</v>
      </c>
      <c r="BE37" s="26">
        <f>$ED37*0.35</f>
        <v>423.90482095723445</v>
      </c>
      <c r="BF37" s="29">
        <f>+(BD37+BH37)/2</f>
        <v>-0.8</v>
      </c>
      <c r="BG37" s="26">
        <f>$ED37*0.2</f>
        <v>242.23132626127688</v>
      </c>
      <c r="BH37" s="2">
        <v>-0.95</v>
      </c>
      <c r="BI37" s="28">
        <f>$ED37*0.05</f>
        <v>60.557831565319219</v>
      </c>
      <c r="BK37" s="231" t="s">
        <v>36</v>
      </c>
      <c r="BL37" s="234"/>
      <c r="BM37" s="233" t="s">
        <v>36</v>
      </c>
      <c r="BN37" s="234"/>
      <c r="BO37" s="233" t="s">
        <v>36</v>
      </c>
      <c r="BP37" s="247"/>
      <c r="BR37" s="231" t="s">
        <v>36</v>
      </c>
      <c r="BS37" s="234"/>
      <c r="BT37" s="233" t="s">
        <v>36</v>
      </c>
      <c r="BU37" s="234"/>
      <c r="BV37" s="233" t="s">
        <v>36</v>
      </c>
      <c r="BW37" s="247"/>
      <c r="BY37" s="231" t="s">
        <v>36</v>
      </c>
      <c r="BZ37" s="234"/>
      <c r="CA37" s="233" t="s">
        <v>36</v>
      </c>
      <c r="CB37" s="234"/>
      <c r="CC37" s="233" t="s">
        <v>36</v>
      </c>
      <c r="CD37" s="247"/>
      <c r="CE37" s="1"/>
      <c r="CF37" s="231" t="s">
        <v>36</v>
      </c>
      <c r="CG37" s="234"/>
      <c r="CH37" s="233" t="s">
        <v>36</v>
      </c>
      <c r="CI37" s="234"/>
      <c r="CJ37" s="233" t="s">
        <v>36</v>
      </c>
      <c r="CK37" s="247"/>
      <c r="CM37" s="231" t="s">
        <v>36</v>
      </c>
      <c r="CN37" s="232"/>
      <c r="CO37" s="233" t="s">
        <v>36</v>
      </c>
      <c r="CP37" s="234"/>
      <c r="CQ37" s="232" t="s">
        <v>36</v>
      </c>
      <c r="CR37" s="232"/>
      <c r="CS37" s="233" t="s">
        <v>36</v>
      </c>
      <c r="CT37" s="247"/>
      <c r="CU37" s="1"/>
      <c r="CV37" s="104">
        <f t="shared" ref="CV37:DC37" si="87">+BB37</f>
        <v>-0.4</v>
      </c>
      <c r="CW37" s="14">
        <f t="shared" si="87"/>
        <v>726.69397878383052</v>
      </c>
      <c r="CX37" s="29">
        <f t="shared" si="87"/>
        <v>-0.65</v>
      </c>
      <c r="CY37" s="26">
        <f t="shared" si="87"/>
        <v>423.90482095723445</v>
      </c>
      <c r="CZ37" s="29">
        <f t="shared" si="87"/>
        <v>-0.8</v>
      </c>
      <c r="DA37" s="26">
        <f t="shared" si="87"/>
        <v>242.23132626127688</v>
      </c>
      <c r="DB37" s="2">
        <f t="shared" si="87"/>
        <v>-0.95</v>
      </c>
      <c r="DC37" s="28">
        <f t="shared" si="87"/>
        <v>60.557831565319219</v>
      </c>
      <c r="DE37" s="231" t="s">
        <v>36</v>
      </c>
      <c r="DF37" s="234"/>
      <c r="DG37" s="233" t="s">
        <v>36</v>
      </c>
      <c r="DH37" s="234"/>
      <c r="DI37" s="233" t="s">
        <v>36</v>
      </c>
      <c r="DJ37" s="247"/>
      <c r="DL37" s="231" t="s">
        <v>36</v>
      </c>
      <c r="DM37" s="232"/>
      <c r="DN37" s="233" t="s">
        <v>36</v>
      </c>
      <c r="DO37" s="234"/>
      <c r="DP37" s="232" t="s">
        <v>36</v>
      </c>
      <c r="DQ37" s="232"/>
      <c r="DR37" s="233" t="s">
        <v>36</v>
      </c>
      <c r="DS37" s="247"/>
      <c r="DU37" s="104">
        <f t="shared" ref="DU37:EB37" si="88">+BB37</f>
        <v>-0.4</v>
      </c>
      <c r="DV37" s="14">
        <f t="shared" si="88"/>
        <v>726.69397878383052</v>
      </c>
      <c r="DW37" s="29">
        <f t="shared" si="88"/>
        <v>-0.65</v>
      </c>
      <c r="DX37" s="26">
        <f t="shared" si="88"/>
        <v>423.90482095723445</v>
      </c>
      <c r="DY37" s="29">
        <f t="shared" si="88"/>
        <v>-0.8</v>
      </c>
      <c r="DZ37" s="26">
        <f t="shared" si="88"/>
        <v>242.23132626127688</v>
      </c>
      <c r="EA37" s="2">
        <f t="shared" si="88"/>
        <v>-0.95</v>
      </c>
      <c r="EB37" s="28">
        <f t="shared" si="88"/>
        <v>60.557831565319219</v>
      </c>
      <c r="ED37" s="50">
        <v>1211.1566313063843</v>
      </c>
      <c r="EE37" s="50">
        <v>971.89948580231442</v>
      </c>
      <c r="EF37" s="50">
        <v>905.61661818257119</v>
      </c>
      <c r="EG37" s="61"/>
    </row>
    <row r="38" spans="1:138" x14ac:dyDescent="0.25">
      <c r="A38" s="7"/>
      <c r="B38" s="7"/>
      <c r="C38" s="7"/>
      <c r="D38" s="7"/>
      <c r="F38" s="12"/>
      <c r="G38" s="12"/>
      <c r="H38" s="12"/>
      <c r="I38" s="12"/>
      <c r="J38" s="12"/>
      <c r="K38" s="12"/>
      <c r="L38" s="12"/>
      <c r="M38" s="12"/>
      <c r="O38" s="12"/>
      <c r="P38" s="12"/>
      <c r="Q38" s="12"/>
      <c r="R38" s="12"/>
      <c r="S38" s="12"/>
      <c r="T38" s="12"/>
      <c r="U38" s="12"/>
      <c r="V38" s="12"/>
      <c r="X38" s="12"/>
      <c r="Y38" s="12"/>
      <c r="Z38" s="12"/>
      <c r="AA38" s="12"/>
      <c r="AB38" s="12"/>
      <c r="AC38" s="12"/>
      <c r="AE38" s="12"/>
      <c r="AF38" s="12"/>
      <c r="AG38" s="12"/>
      <c r="AH38" s="12"/>
      <c r="AI38" s="12"/>
      <c r="AJ38" s="12"/>
      <c r="AL38" s="12"/>
      <c r="AM38" s="12"/>
      <c r="AN38" s="12"/>
      <c r="AO38" s="12"/>
      <c r="AP38" s="12"/>
      <c r="AQ38" s="12"/>
      <c r="AS38" s="12"/>
      <c r="AT38" s="12"/>
      <c r="AU38" s="12"/>
      <c r="AV38" s="12"/>
      <c r="AW38" s="12"/>
      <c r="AX38" s="12"/>
      <c r="AY38" s="12"/>
      <c r="AZ38" s="12"/>
      <c r="BB38" s="12"/>
      <c r="BC38" s="12"/>
      <c r="BD38" s="12"/>
      <c r="BE38" s="12"/>
      <c r="BF38" s="12"/>
      <c r="BG38" s="12"/>
      <c r="BH38" s="12"/>
      <c r="BI38" s="12"/>
      <c r="BK38" s="12"/>
      <c r="BL38" s="12"/>
      <c r="BM38" s="12"/>
      <c r="BN38" s="12"/>
      <c r="BO38" s="12"/>
      <c r="BP38" s="12"/>
      <c r="BR38" s="12"/>
      <c r="BS38" s="12"/>
      <c r="BT38" s="12"/>
      <c r="BU38" s="12"/>
      <c r="BV38" s="12"/>
      <c r="BW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E38" s="12"/>
      <c r="DF38" s="12"/>
      <c r="DG38" s="12"/>
      <c r="DH38" s="12"/>
      <c r="DI38" s="12"/>
      <c r="DJ38" s="12"/>
      <c r="DL38" s="12"/>
      <c r="DM38" s="12"/>
      <c r="DN38" s="12"/>
      <c r="DO38" s="12"/>
      <c r="DP38" s="12"/>
      <c r="DQ38" s="12"/>
      <c r="DR38" s="12"/>
      <c r="DS38" s="12"/>
      <c r="DU38" s="12"/>
      <c r="DV38" s="12"/>
      <c r="DW38" s="12"/>
      <c r="DX38" s="12"/>
      <c r="DY38" s="12"/>
      <c r="DZ38" s="12"/>
      <c r="EA38" s="12"/>
      <c r="EB38" s="12"/>
    </row>
    <row r="39" spans="1:138" x14ac:dyDescent="0.25">
      <c r="F39" s="12"/>
      <c r="G39" s="12"/>
      <c r="H39" s="12"/>
      <c r="I39" s="12"/>
      <c r="J39" s="12"/>
      <c r="K39" s="12"/>
      <c r="L39" s="12"/>
      <c r="M39" s="12"/>
      <c r="O39" s="12"/>
      <c r="P39" s="12"/>
      <c r="Q39" s="12"/>
      <c r="R39" s="12"/>
      <c r="S39" s="12"/>
      <c r="T39" s="12"/>
      <c r="U39" s="12"/>
      <c r="V39" s="12"/>
      <c r="X39" s="12"/>
      <c r="Y39" s="12"/>
      <c r="Z39" s="12"/>
      <c r="AA39" s="12"/>
      <c r="AB39" s="12"/>
      <c r="AC39" s="12"/>
      <c r="AE39" s="12"/>
      <c r="AF39" s="12"/>
      <c r="AG39" s="12"/>
      <c r="AH39" s="12"/>
      <c r="AI39" s="12"/>
      <c r="AJ39" s="12"/>
      <c r="AL39" s="12"/>
      <c r="AM39" s="12"/>
      <c r="AN39" s="12"/>
      <c r="AO39" s="12"/>
      <c r="AP39" s="12"/>
      <c r="AQ39" s="12"/>
      <c r="AS39" s="12"/>
      <c r="AT39" s="12"/>
      <c r="AU39" s="12"/>
      <c r="AV39" s="12"/>
      <c r="AW39" s="12"/>
      <c r="AX39" s="12"/>
      <c r="AY39" s="12"/>
      <c r="AZ39" s="12"/>
      <c r="BB39" s="12"/>
      <c r="BC39" s="12"/>
      <c r="BD39" s="12"/>
      <c r="BE39" s="12"/>
      <c r="BF39" s="12"/>
      <c r="BG39" s="12"/>
      <c r="BH39" s="12"/>
      <c r="BI39" s="12"/>
      <c r="BK39" s="12"/>
      <c r="BL39" s="12"/>
      <c r="BM39" s="12"/>
      <c r="BN39" s="12"/>
      <c r="BO39" s="12"/>
      <c r="BP39" s="12"/>
      <c r="BR39" s="12"/>
      <c r="BS39" s="12"/>
      <c r="BT39" s="12"/>
      <c r="BU39" s="12"/>
      <c r="BV39" s="12"/>
      <c r="BW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E39" s="12"/>
      <c r="DF39" s="12"/>
      <c r="DG39" s="12"/>
      <c r="DH39" s="12"/>
      <c r="DI39" s="12"/>
      <c r="DJ39" s="12"/>
      <c r="DL39" s="12"/>
      <c r="DM39" s="12"/>
      <c r="DN39" s="12"/>
      <c r="DO39" s="12"/>
      <c r="DP39" s="12"/>
      <c r="DQ39" s="12"/>
      <c r="DR39" s="12"/>
      <c r="DS39" s="12"/>
      <c r="DU39" s="12"/>
      <c r="DV39" s="12"/>
      <c r="DW39" s="12"/>
      <c r="DX39" s="12"/>
      <c r="DY39" s="12"/>
      <c r="DZ39" s="12"/>
      <c r="EA39" s="12"/>
      <c r="EB39" s="12"/>
    </row>
    <row r="40" spans="1:138" x14ac:dyDescent="0.25">
      <c r="A40" s="7"/>
      <c r="B40" s="7"/>
      <c r="C40" s="7"/>
      <c r="D40" s="7"/>
      <c r="F40" s="12"/>
      <c r="G40" s="12"/>
      <c r="H40" s="12"/>
      <c r="I40" s="12"/>
      <c r="J40" s="12"/>
      <c r="K40" s="12"/>
      <c r="L40" s="12"/>
      <c r="M40" s="12"/>
      <c r="O40" s="12"/>
      <c r="P40" s="12"/>
      <c r="Q40" s="12"/>
      <c r="R40" s="12"/>
      <c r="S40" s="12"/>
      <c r="T40" s="12"/>
      <c r="U40" s="12"/>
      <c r="V40" s="12"/>
      <c r="X40" s="12"/>
      <c r="Y40" s="12"/>
      <c r="Z40" s="12"/>
      <c r="AA40" s="12"/>
      <c r="AB40" s="12"/>
      <c r="AC40" s="12"/>
      <c r="AE40" s="12"/>
      <c r="AF40" s="12"/>
      <c r="AG40" s="12"/>
      <c r="AH40" s="12"/>
      <c r="AI40" s="12"/>
      <c r="AJ40" s="12"/>
      <c r="AL40" s="12"/>
      <c r="AM40" s="12"/>
      <c r="AN40" s="12"/>
      <c r="AO40" s="12"/>
      <c r="AP40" s="12"/>
      <c r="AQ40" s="12"/>
      <c r="AS40" s="12"/>
      <c r="AT40" s="12"/>
      <c r="AU40" s="12"/>
      <c r="AV40" s="12"/>
      <c r="AW40" s="12"/>
      <c r="AX40" s="12"/>
      <c r="AY40" s="12"/>
      <c r="AZ40" s="12"/>
      <c r="BB40" s="12"/>
      <c r="BC40" s="12"/>
      <c r="BD40" s="12"/>
      <c r="BE40" s="12"/>
      <c r="BF40" s="12"/>
      <c r="BG40" s="12"/>
      <c r="BH40" s="12"/>
      <c r="BI40" s="12"/>
      <c r="BK40" s="12"/>
      <c r="BL40" s="12"/>
      <c r="BM40" s="12"/>
      <c r="BN40" s="12"/>
      <c r="BO40" s="12"/>
      <c r="BP40" s="12"/>
      <c r="BR40" s="12"/>
      <c r="BS40" s="12"/>
      <c r="BT40" s="12"/>
      <c r="BU40" s="12"/>
      <c r="BV40" s="12"/>
      <c r="BW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E40" s="12"/>
      <c r="DF40" s="12"/>
      <c r="DG40" s="12"/>
      <c r="DH40" s="12"/>
      <c r="DI40" s="12"/>
      <c r="DJ40" s="12"/>
      <c r="DL40" s="12"/>
      <c r="DM40" s="12"/>
      <c r="DN40" s="12"/>
      <c r="DO40" s="12"/>
      <c r="DP40" s="12"/>
      <c r="DQ40" s="12"/>
      <c r="DR40" s="12"/>
      <c r="DS40" s="12"/>
      <c r="DU40" s="12"/>
      <c r="DV40" s="12"/>
      <c r="DW40" s="12"/>
      <c r="DX40" s="12"/>
      <c r="DY40" s="12"/>
      <c r="DZ40" s="12"/>
      <c r="EA40" s="12"/>
      <c r="EB40" s="12"/>
    </row>
    <row r="41" spans="1:138" x14ac:dyDescent="0.25">
      <c r="A41" s="7"/>
      <c r="B41" s="7"/>
      <c r="C41" s="7"/>
      <c r="D41" s="7"/>
      <c r="F41" s="12"/>
      <c r="G41" s="12"/>
      <c r="H41" s="12"/>
      <c r="I41" s="12"/>
      <c r="J41" s="12"/>
      <c r="K41" s="12"/>
      <c r="L41" s="12"/>
      <c r="M41" s="12"/>
      <c r="O41" s="12"/>
      <c r="P41" s="12"/>
      <c r="Q41" s="12"/>
      <c r="R41" s="12"/>
      <c r="S41" s="12"/>
      <c r="T41" s="12"/>
      <c r="U41" s="12"/>
      <c r="V41" s="12"/>
      <c r="X41" s="12"/>
      <c r="Y41" s="12"/>
      <c r="Z41" s="12"/>
      <c r="AA41" s="12"/>
      <c r="AB41" s="12"/>
      <c r="AC41" s="12"/>
      <c r="AE41" s="12"/>
      <c r="AF41" s="12"/>
      <c r="AG41" s="12"/>
      <c r="AH41" s="12"/>
      <c r="AI41" s="12"/>
      <c r="AJ41" s="12"/>
      <c r="AL41" s="12"/>
      <c r="AM41" s="12"/>
      <c r="AN41" s="12"/>
      <c r="AO41" s="12"/>
      <c r="AP41" s="12"/>
      <c r="AQ41" s="12"/>
      <c r="AS41" s="12"/>
      <c r="AT41" s="12"/>
      <c r="AU41" s="12"/>
      <c r="AV41" s="12"/>
      <c r="AW41" s="12"/>
      <c r="AX41" s="12"/>
      <c r="AY41" s="12"/>
      <c r="AZ41" s="12"/>
      <c r="BB41" s="12"/>
      <c r="BC41" s="12"/>
      <c r="BD41" s="12"/>
      <c r="BE41" s="12"/>
      <c r="BF41" s="12"/>
      <c r="BG41" s="12"/>
      <c r="BH41" s="12"/>
      <c r="BI41" s="12"/>
      <c r="BK41" s="12"/>
      <c r="BL41" s="12"/>
      <c r="BM41" s="12"/>
      <c r="BN41" s="12"/>
      <c r="BO41" s="12"/>
      <c r="BP41" s="12"/>
      <c r="BR41" s="12"/>
      <c r="BS41" s="12"/>
      <c r="BT41" s="12"/>
      <c r="BU41" s="12"/>
      <c r="BV41" s="12"/>
      <c r="BW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E41" s="12"/>
      <c r="DF41" s="12"/>
      <c r="DG41" s="12"/>
      <c r="DH41" s="12"/>
      <c r="DI41" s="12"/>
      <c r="DJ41" s="12"/>
      <c r="DL41" s="12"/>
      <c r="DM41" s="12"/>
      <c r="DN41" s="12"/>
      <c r="DO41" s="12"/>
      <c r="DP41" s="12"/>
      <c r="DQ41" s="12"/>
      <c r="DR41" s="12"/>
      <c r="DS41" s="12"/>
      <c r="DU41" s="12"/>
      <c r="DV41" s="12"/>
      <c r="DW41" s="12"/>
      <c r="DX41" s="12"/>
      <c r="DY41" s="12"/>
      <c r="DZ41" s="12"/>
      <c r="EA41" s="12"/>
      <c r="EB41" s="12"/>
    </row>
    <row r="42" spans="1:138" x14ac:dyDescent="0.25">
      <c r="F42" s="12"/>
      <c r="G42" s="12"/>
      <c r="H42" s="12"/>
      <c r="I42" s="12"/>
      <c r="J42" s="12"/>
      <c r="K42" s="12"/>
      <c r="L42" s="12"/>
      <c r="M42" s="12"/>
      <c r="O42" s="12"/>
      <c r="P42" s="12"/>
      <c r="Q42" s="12"/>
      <c r="R42" s="12"/>
      <c r="S42" s="12"/>
      <c r="T42" s="12"/>
      <c r="U42" s="12"/>
      <c r="V42" s="12"/>
      <c r="X42" s="12"/>
      <c r="Y42" s="12"/>
      <c r="Z42" s="12"/>
      <c r="AA42" s="12"/>
      <c r="AB42" s="12"/>
      <c r="AC42" s="12"/>
      <c r="AE42" s="12"/>
      <c r="AF42" s="12"/>
      <c r="AG42" s="12"/>
      <c r="AH42" s="12"/>
      <c r="AI42" s="12"/>
      <c r="AJ42" s="12"/>
      <c r="AL42" s="12"/>
      <c r="AM42" s="12"/>
      <c r="AN42" s="12"/>
      <c r="AO42" s="12"/>
      <c r="AP42" s="12"/>
      <c r="AQ42" s="12"/>
      <c r="AS42" s="12"/>
      <c r="AT42" s="12"/>
      <c r="AU42" s="12"/>
      <c r="AV42" s="12"/>
      <c r="AW42" s="12"/>
      <c r="AX42" s="12"/>
      <c r="AY42" s="12"/>
      <c r="AZ42" s="12"/>
      <c r="BB42" s="12"/>
      <c r="BC42" s="12"/>
      <c r="BD42" s="12"/>
      <c r="BE42" s="12"/>
      <c r="BF42" s="12"/>
      <c r="BG42" s="12"/>
      <c r="BH42" s="12"/>
      <c r="BI42" s="12"/>
      <c r="BK42" s="12"/>
      <c r="BL42" s="12"/>
      <c r="BM42" s="12"/>
      <c r="BN42" s="12"/>
      <c r="BO42" s="12"/>
      <c r="BP42" s="12"/>
      <c r="BR42" s="12"/>
      <c r="BS42" s="12"/>
      <c r="BT42" s="12"/>
      <c r="BU42" s="12"/>
      <c r="BV42" s="12"/>
      <c r="BW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E42" s="12"/>
      <c r="DF42" s="12"/>
      <c r="DG42" s="12"/>
      <c r="DH42" s="12"/>
      <c r="DI42" s="12"/>
      <c r="DJ42" s="12"/>
      <c r="DL42" s="12"/>
      <c r="DM42" s="12"/>
      <c r="DN42" s="12"/>
      <c r="DO42" s="12"/>
      <c r="DP42" s="12"/>
      <c r="DQ42" s="12"/>
      <c r="DR42" s="12"/>
      <c r="DS42" s="12"/>
      <c r="DU42" s="12"/>
      <c r="DV42" s="12"/>
      <c r="DW42" s="12"/>
      <c r="DX42" s="12"/>
      <c r="DY42" s="12"/>
      <c r="DZ42" s="12"/>
      <c r="EA42" s="12"/>
      <c r="EB42" s="12"/>
    </row>
    <row r="43" spans="1:138" x14ac:dyDescent="0.25">
      <c r="A43" s="7"/>
      <c r="B43" s="7"/>
      <c r="C43" s="7"/>
      <c r="D43" s="7"/>
      <c r="F43" s="12"/>
      <c r="G43" s="12"/>
      <c r="H43" s="12"/>
      <c r="I43" s="12"/>
      <c r="J43" s="12"/>
      <c r="K43" s="12"/>
      <c r="L43" s="12"/>
      <c r="M43" s="12"/>
      <c r="O43" s="12"/>
      <c r="P43" s="12"/>
      <c r="Q43" s="12"/>
      <c r="R43" s="12"/>
      <c r="S43" s="12"/>
      <c r="T43" s="12"/>
      <c r="U43" s="12"/>
      <c r="V43" s="12"/>
      <c r="X43" s="12"/>
      <c r="Y43" s="12"/>
      <c r="Z43" s="12"/>
      <c r="AA43" s="12"/>
      <c r="AB43" s="12"/>
      <c r="AC43" s="12"/>
      <c r="AE43" s="12"/>
      <c r="AF43" s="12"/>
      <c r="AG43" s="12"/>
      <c r="AH43" s="12"/>
      <c r="AI43" s="12"/>
      <c r="AJ43" s="12"/>
      <c r="AL43" s="12"/>
      <c r="AM43" s="12"/>
      <c r="AN43" s="12"/>
      <c r="AO43" s="12"/>
      <c r="AP43" s="12"/>
      <c r="AQ43" s="12"/>
      <c r="AS43" s="12"/>
      <c r="AT43" s="12"/>
      <c r="AU43" s="12"/>
      <c r="AV43" s="12"/>
      <c r="AW43" s="12"/>
      <c r="AX43" s="12"/>
      <c r="AY43" s="12"/>
      <c r="AZ43" s="12"/>
      <c r="BB43" s="12"/>
      <c r="BC43" s="12"/>
      <c r="BD43" s="12"/>
      <c r="BE43" s="12"/>
      <c r="BF43" s="12"/>
      <c r="BG43" s="12"/>
      <c r="BH43" s="12"/>
      <c r="BI43" s="12"/>
      <c r="BK43" s="12"/>
      <c r="BL43" s="12"/>
      <c r="BM43" s="12"/>
      <c r="BN43" s="12"/>
      <c r="BO43" s="12"/>
      <c r="BP43" s="12"/>
      <c r="BR43" s="12"/>
      <c r="BS43" s="12"/>
      <c r="BT43" s="12"/>
      <c r="BU43" s="12"/>
      <c r="BV43" s="12"/>
      <c r="BW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E43" s="12"/>
      <c r="DF43" s="12"/>
      <c r="DG43" s="12"/>
      <c r="DH43" s="12"/>
      <c r="DI43" s="12"/>
      <c r="DJ43" s="12"/>
      <c r="DL43" s="12"/>
      <c r="DM43" s="12"/>
      <c r="DN43" s="12"/>
      <c r="DO43" s="12"/>
      <c r="DP43" s="12"/>
      <c r="DQ43" s="12"/>
      <c r="DR43" s="12"/>
      <c r="DS43" s="12"/>
      <c r="DU43" s="12"/>
      <c r="DV43" s="12"/>
      <c r="DW43" s="12"/>
      <c r="DX43" s="12"/>
      <c r="DY43" s="12"/>
      <c r="DZ43" s="12"/>
      <c r="EA43" s="12"/>
      <c r="EB43" s="12"/>
    </row>
    <row r="44" spans="1:138" x14ac:dyDescent="0.25">
      <c r="A44" s="7"/>
      <c r="B44" s="7"/>
      <c r="C44" s="7"/>
      <c r="D44" s="7"/>
      <c r="F44" s="12"/>
      <c r="G44" s="12"/>
      <c r="H44" s="12"/>
      <c r="I44" s="12"/>
      <c r="J44" s="12"/>
      <c r="K44" s="12"/>
      <c r="L44" s="12"/>
      <c r="M44" s="12"/>
      <c r="O44" s="12"/>
      <c r="P44" s="12"/>
      <c r="Q44" s="12"/>
      <c r="R44" s="12"/>
      <c r="S44" s="12"/>
      <c r="T44" s="12"/>
      <c r="U44" s="12"/>
      <c r="V44" s="12"/>
      <c r="X44" s="12"/>
      <c r="Y44" s="12"/>
      <c r="Z44" s="12"/>
      <c r="AA44" s="12"/>
      <c r="AB44" s="12"/>
      <c r="AC44" s="12"/>
      <c r="AE44" s="12"/>
      <c r="AF44" s="12"/>
      <c r="AG44" s="12"/>
      <c r="AH44" s="12"/>
      <c r="AI44" s="12"/>
      <c r="AJ44" s="12"/>
      <c r="AL44" s="12"/>
      <c r="AM44" s="12"/>
      <c r="AN44" s="12"/>
      <c r="AO44" s="12"/>
      <c r="AP44" s="12"/>
      <c r="AQ44" s="12"/>
      <c r="AS44" s="12"/>
      <c r="AT44" s="12"/>
      <c r="AU44" s="12"/>
      <c r="AV44" s="12"/>
      <c r="AW44" s="12"/>
      <c r="AX44" s="12"/>
      <c r="AY44" s="12"/>
      <c r="AZ44" s="12"/>
      <c r="BB44" s="12"/>
      <c r="BC44" s="12"/>
      <c r="BD44" s="12"/>
      <c r="BE44" s="12"/>
      <c r="BF44" s="12"/>
      <c r="BG44" s="12"/>
      <c r="BH44" s="12"/>
      <c r="BI44" s="12"/>
      <c r="BK44" s="12"/>
      <c r="BL44" s="12"/>
      <c r="BM44" s="12"/>
      <c r="BN44" s="12"/>
      <c r="BO44" s="12"/>
      <c r="BP44" s="12"/>
      <c r="BR44" s="12"/>
      <c r="BS44" s="12"/>
      <c r="BT44" s="12"/>
      <c r="BU44" s="12"/>
      <c r="BV44" s="12"/>
      <c r="BW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E44" s="12"/>
      <c r="DF44" s="12"/>
      <c r="DG44" s="12"/>
      <c r="DH44" s="12"/>
      <c r="DI44" s="12"/>
      <c r="DJ44" s="12"/>
      <c r="DL44" s="12"/>
      <c r="DM44" s="12"/>
      <c r="DN44" s="12"/>
      <c r="DO44" s="12"/>
      <c r="DP44" s="12"/>
      <c r="DQ44" s="12"/>
      <c r="DR44" s="12"/>
      <c r="DS44" s="12"/>
      <c r="DU44" s="12"/>
      <c r="DV44" s="12"/>
      <c r="DW44" s="12"/>
      <c r="DX44" s="12"/>
      <c r="DY44" s="12"/>
      <c r="DZ44" s="12"/>
      <c r="EA44" s="12"/>
      <c r="EB44" s="12"/>
    </row>
    <row r="45" spans="1:138" x14ac:dyDescent="0.25">
      <c r="F45" s="12"/>
      <c r="G45" s="12"/>
      <c r="H45" s="12"/>
      <c r="I45" s="12"/>
      <c r="J45" s="12"/>
      <c r="K45" s="12"/>
      <c r="L45" s="12"/>
      <c r="M45" s="12"/>
      <c r="O45" s="12"/>
      <c r="P45" s="12"/>
      <c r="Q45" s="12"/>
      <c r="R45" s="12"/>
      <c r="S45" s="12"/>
      <c r="T45" s="12"/>
      <c r="U45" s="12"/>
      <c r="V45" s="12"/>
      <c r="X45" s="12"/>
      <c r="Y45" s="12"/>
      <c r="Z45" s="12"/>
      <c r="AA45" s="12"/>
      <c r="AB45" s="12"/>
      <c r="AC45" s="12"/>
      <c r="AE45" s="12"/>
      <c r="AF45" s="12"/>
      <c r="AG45" s="12"/>
      <c r="AH45" s="12"/>
      <c r="AI45" s="12"/>
      <c r="AJ45" s="12"/>
      <c r="AL45" s="12"/>
      <c r="AM45" s="12"/>
      <c r="AN45" s="12"/>
      <c r="AO45" s="12"/>
      <c r="AP45" s="12"/>
      <c r="AQ45" s="12"/>
      <c r="AS45" s="12"/>
      <c r="AT45" s="12"/>
      <c r="AU45" s="12"/>
      <c r="AV45" s="12"/>
      <c r="AW45" s="12"/>
      <c r="AX45" s="12"/>
      <c r="AY45" s="12"/>
      <c r="AZ45" s="12"/>
      <c r="BB45" s="12"/>
      <c r="BC45" s="12"/>
      <c r="BD45" s="12"/>
      <c r="BE45" s="12"/>
      <c r="BF45" s="12"/>
      <c r="BG45" s="12"/>
      <c r="BH45" s="12"/>
      <c r="BI45" s="12"/>
      <c r="BK45" s="12"/>
      <c r="BL45" s="12"/>
      <c r="BM45" s="12"/>
      <c r="BN45" s="12"/>
      <c r="BO45" s="12"/>
      <c r="BP45" s="12"/>
      <c r="BR45" s="12"/>
      <c r="BS45" s="12"/>
      <c r="BT45" s="12"/>
      <c r="BU45" s="12"/>
      <c r="BV45" s="12"/>
      <c r="BW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E45" s="12"/>
      <c r="DF45" s="12"/>
      <c r="DG45" s="12"/>
      <c r="DH45" s="12"/>
      <c r="DI45" s="12"/>
      <c r="DJ45" s="12"/>
      <c r="DL45" s="12"/>
      <c r="DM45" s="12"/>
      <c r="DN45" s="12"/>
      <c r="DO45" s="12"/>
      <c r="DP45" s="12"/>
      <c r="DQ45" s="12"/>
      <c r="DR45" s="12"/>
      <c r="DS45" s="12"/>
      <c r="DU45" s="12"/>
      <c r="DV45" s="12"/>
      <c r="DW45" s="12"/>
      <c r="DX45" s="12"/>
      <c r="DY45" s="12"/>
      <c r="DZ45" s="12"/>
      <c r="EA45" s="12"/>
      <c r="EB45" s="12"/>
    </row>
    <row r="46" spans="1:138" x14ac:dyDescent="0.25">
      <c r="A46" s="7"/>
      <c r="B46" s="7"/>
      <c r="C46" s="7"/>
      <c r="D46" s="7"/>
      <c r="F46" s="12"/>
      <c r="G46" s="12"/>
      <c r="H46" s="12"/>
      <c r="I46" s="12"/>
      <c r="J46" s="12"/>
      <c r="K46" s="12"/>
      <c r="L46" s="12"/>
      <c r="M46" s="12"/>
      <c r="O46" s="12"/>
      <c r="P46" s="12"/>
      <c r="Q46" s="12"/>
      <c r="R46" s="12"/>
      <c r="S46" s="12"/>
      <c r="T46" s="12"/>
      <c r="U46" s="12"/>
      <c r="V46" s="12"/>
      <c r="X46" s="12"/>
      <c r="Y46" s="12"/>
      <c r="Z46" s="12"/>
      <c r="AA46" s="12"/>
      <c r="AB46" s="12"/>
      <c r="AC46" s="12"/>
      <c r="AE46" s="12"/>
      <c r="AF46" s="12"/>
      <c r="AG46" s="12"/>
      <c r="AH46" s="12"/>
      <c r="AI46" s="12"/>
      <c r="AJ46" s="12"/>
      <c r="AL46" s="12"/>
      <c r="AM46" s="12"/>
      <c r="AN46" s="12"/>
      <c r="AO46" s="12"/>
      <c r="AP46" s="12"/>
      <c r="AQ46" s="12"/>
      <c r="AS46" s="12"/>
      <c r="AT46" s="12"/>
      <c r="AU46" s="12"/>
      <c r="AV46" s="12"/>
      <c r="AW46" s="12"/>
      <c r="AX46" s="12"/>
      <c r="AY46" s="12"/>
      <c r="AZ46" s="12"/>
      <c r="BB46" s="12"/>
      <c r="BC46" s="12"/>
      <c r="BD46" s="12"/>
      <c r="BE46" s="12"/>
      <c r="BF46" s="12"/>
      <c r="BG46" s="12"/>
      <c r="BH46" s="12"/>
      <c r="BI46" s="12"/>
      <c r="BK46" s="12"/>
      <c r="BL46" s="12"/>
      <c r="BM46" s="12"/>
      <c r="BN46" s="12"/>
      <c r="BO46" s="12"/>
      <c r="BP46" s="12"/>
      <c r="BR46" s="12"/>
      <c r="BS46" s="12"/>
      <c r="BT46" s="12"/>
      <c r="BU46" s="12"/>
      <c r="BV46" s="12"/>
      <c r="BW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E46" s="12"/>
      <c r="DF46" s="12"/>
      <c r="DG46" s="12"/>
      <c r="DH46" s="12"/>
      <c r="DI46" s="12"/>
      <c r="DJ46" s="12"/>
      <c r="DL46" s="12"/>
      <c r="DM46" s="12"/>
      <c r="DN46" s="12"/>
      <c r="DO46" s="12"/>
      <c r="DP46" s="12"/>
      <c r="DQ46" s="12"/>
      <c r="DR46" s="12"/>
      <c r="DS46" s="12"/>
      <c r="DU46" s="12"/>
      <c r="DV46" s="12"/>
      <c r="DW46" s="12"/>
      <c r="DX46" s="12"/>
      <c r="DY46" s="12"/>
      <c r="DZ46" s="12"/>
      <c r="EA46" s="12"/>
      <c r="EB46" s="12"/>
    </row>
    <row r="47" spans="1:138" x14ac:dyDescent="0.25">
      <c r="A47" s="7"/>
      <c r="B47" s="7"/>
      <c r="C47" s="7"/>
      <c r="D47" s="7"/>
      <c r="F47" s="12"/>
      <c r="G47" s="12"/>
      <c r="H47" s="12"/>
      <c r="I47" s="12"/>
      <c r="J47" s="12"/>
      <c r="K47" s="12"/>
      <c r="L47" s="12"/>
      <c r="M47" s="12"/>
      <c r="O47" s="12"/>
      <c r="P47" s="12"/>
      <c r="Q47" s="12"/>
      <c r="R47" s="12"/>
      <c r="S47" s="12"/>
      <c r="T47" s="12"/>
      <c r="U47" s="12"/>
      <c r="V47" s="12"/>
      <c r="X47" s="12"/>
      <c r="Y47" s="12"/>
      <c r="Z47" s="12"/>
      <c r="AA47" s="12"/>
      <c r="AB47" s="12"/>
      <c r="AC47" s="12"/>
      <c r="AE47" s="12"/>
      <c r="AF47" s="12"/>
      <c r="AG47" s="12"/>
      <c r="AH47" s="12"/>
      <c r="AI47" s="12"/>
      <c r="AJ47" s="12"/>
      <c r="AL47" s="12"/>
      <c r="AM47" s="12"/>
      <c r="AN47" s="12"/>
      <c r="AO47" s="12"/>
      <c r="AP47" s="12"/>
      <c r="AQ47" s="12"/>
      <c r="AS47" s="12"/>
      <c r="AT47" s="12"/>
      <c r="AU47" s="12"/>
      <c r="AV47" s="12"/>
      <c r="AW47" s="12"/>
      <c r="AX47" s="12"/>
      <c r="AY47" s="12"/>
      <c r="AZ47" s="12"/>
      <c r="BB47" s="12"/>
      <c r="BC47" s="12"/>
      <c r="BD47" s="12"/>
      <c r="BE47" s="12"/>
      <c r="BF47" s="12"/>
      <c r="BG47" s="12"/>
      <c r="BH47" s="12"/>
      <c r="BI47" s="12"/>
      <c r="BK47" s="12"/>
      <c r="BL47" s="12"/>
      <c r="BM47" s="12"/>
      <c r="BN47" s="12"/>
      <c r="BO47" s="12"/>
      <c r="BP47" s="12"/>
      <c r="BR47" s="12"/>
      <c r="BS47" s="12"/>
      <c r="BT47" s="12"/>
      <c r="BU47" s="12"/>
      <c r="BV47" s="12"/>
      <c r="BW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E47" s="12"/>
      <c r="DF47" s="12"/>
      <c r="DG47" s="12"/>
      <c r="DH47" s="12"/>
      <c r="DI47" s="12"/>
      <c r="DJ47" s="12"/>
      <c r="DL47" s="12"/>
      <c r="DM47" s="12"/>
      <c r="DN47" s="12"/>
      <c r="DO47" s="12"/>
      <c r="DP47" s="12"/>
      <c r="DQ47" s="12"/>
      <c r="DR47" s="12"/>
      <c r="DS47" s="12"/>
      <c r="DU47" s="12"/>
      <c r="DV47" s="12"/>
      <c r="DW47" s="12"/>
      <c r="DX47" s="12"/>
      <c r="DY47" s="12"/>
      <c r="DZ47" s="12"/>
      <c r="EA47" s="12"/>
      <c r="EB47" s="12"/>
    </row>
    <row r="48" spans="1:138" x14ac:dyDescent="0.25">
      <c r="F48" s="12"/>
      <c r="G48" s="12"/>
      <c r="H48" s="12"/>
      <c r="I48" s="12"/>
      <c r="J48" s="12"/>
      <c r="K48" s="12"/>
      <c r="L48" s="12"/>
      <c r="M48" s="12"/>
      <c r="O48" s="12"/>
      <c r="P48" s="12"/>
      <c r="Q48" s="12"/>
      <c r="R48" s="12"/>
      <c r="S48" s="12"/>
      <c r="T48" s="12"/>
      <c r="U48" s="12"/>
      <c r="V48" s="12"/>
      <c r="X48" s="12"/>
      <c r="Y48" s="12"/>
      <c r="Z48" s="12"/>
      <c r="AA48" s="12"/>
      <c r="AB48" s="12"/>
      <c r="AC48" s="12"/>
      <c r="AE48" s="12"/>
      <c r="AF48" s="12"/>
      <c r="AG48" s="12"/>
      <c r="AH48" s="12"/>
      <c r="AI48" s="12"/>
      <c r="AJ48" s="12"/>
      <c r="AL48" s="12"/>
      <c r="AM48" s="12"/>
      <c r="AN48" s="12"/>
      <c r="AO48" s="12"/>
      <c r="AP48" s="12"/>
      <c r="AQ48" s="12"/>
      <c r="AS48" s="12"/>
      <c r="AT48" s="12"/>
      <c r="AU48" s="12"/>
      <c r="AV48" s="12"/>
      <c r="AW48" s="12"/>
      <c r="AX48" s="12"/>
      <c r="AY48" s="12"/>
      <c r="AZ48" s="12"/>
      <c r="BB48" s="12"/>
      <c r="BC48" s="12"/>
      <c r="BD48" s="12"/>
      <c r="BE48" s="12"/>
      <c r="BF48" s="12"/>
      <c r="BG48" s="12"/>
      <c r="BH48" s="12"/>
      <c r="BI48" s="12"/>
      <c r="BK48" s="12"/>
      <c r="BL48" s="12"/>
      <c r="BM48" s="12"/>
      <c r="BN48" s="12"/>
      <c r="BO48" s="12"/>
      <c r="BP48" s="12"/>
      <c r="BR48" s="12"/>
      <c r="BS48" s="12"/>
      <c r="BT48" s="12"/>
      <c r="BU48" s="12"/>
      <c r="BV48" s="12"/>
      <c r="BW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E48" s="12"/>
      <c r="DF48" s="12"/>
      <c r="DG48" s="12"/>
      <c r="DH48" s="12"/>
      <c r="DI48" s="12"/>
      <c r="DJ48" s="12"/>
      <c r="DL48" s="12"/>
      <c r="DM48" s="12"/>
      <c r="DN48" s="12"/>
      <c r="DO48" s="12"/>
      <c r="DP48" s="12"/>
      <c r="DQ48" s="12"/>
      <c r="DR48" s="12"/>
      <c r="DS48" s="12"/>
      <c r="DU48" s="12"/>
      <c r="DV48" s="12"/>
      <c r="DW48" s="12"/>
      <c r="DX48" s="12"/>
      <c r="DY48" s="12"/>
      <c r="DZ48" s="12"/>
      <c r="EA48" s="12"/>
      <c r="EB48" s="12"/>
    </row>
    <row r="49" spans="1:132" x14ac:dyDescent="0.25">
      <c r="A49" s="7"/>
      <c r="B49" s="7"/>
      <c r="C49" s="7"/>
      <c r="D49" s="7"/>
      <c r="F49" s="12"/>
      <c r="G49" s="12"/>
      <c r="H49" s="12"/>
      <c r="I49" s="12"/>
      <c r="J49" s="12"/>
      <c r="K49" s="12"/>
      <c r="L49" s="12"/>
      <c r="M49" s="12"/>
      <c r="O49" s="12"/>
      <c r="P49" s="12"/>
      <c r="Q49" s="12"/>
      <c r="R49" s="12"/>
      <c r="S49" s="12"/>
      <c r="T49" s="12"/>
      <c r="U49" s="12"/>
      <c r="V49" s="12"/>
      <c r="X49" s="12"/>
      <c r="Y49" s="12"/>
      <c r="Z49" s="12"/>
      <c r="AA49" s="12"/>
      <c r="AB49" s="12"/>
      <c r="AC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S49" s="12"/>
      <c r="AT49" s="12"/>
      <c r="AU49" s="12"/>
      <c r="AV49" s="12"/>
      <c r="AW49" s="12"/>
      <c r="AX49" s="12"/>
      <c r="AY49" s="12"/>
      <c r="AZ49" s="12"/>
      <c r="BB49" s="12"/>
      <c r="BC49" s="12"/>
      <c r="BD49" s="12"/>
      <c r="BE49" s="12"/>
      <c r="BF49" s="12"/>
      <c r="BG49" s="12"/>
      <c r="BH49" s="12"/>
      <c r="BI49" s="12"/>
      <c r="BK49" s="12"/>
      <c r="BL49" s="12"/>
      <c r="BM49" s="12"/>
      <c r="BN49" s="12"/>
      <c r="BO49" s="12"/>
      <c r="BP49" s="12"/>
      <c r="BR49" s="12"/>
      <c r="BS49" s="12"/>
      <c r="BT49" s="12"/>
      <c r="BU49" s="12"/>
      <c r="BV49" s="12"/>
      <c r="BW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E49" s="12"/>
      <c r="DF49" s="12"/>
      <c r="DG49" s="12"/>
      <c r="DH49" s="12"/>
      <c r="DI49" s="12"/>
      <c r="DJ49" s="12"/>
      <c r="DL49" s="12"/>
      <c r="DM49" s="12"/>
      <c r="DN49" s="12"/>
      <c r="DO49" s="12"/>
      <c r="DP49" s="12"/>
      <c r="DQ49" s="12"/>
      <c r="DR49" s="12"/>
      <c r="DS49" s="12"/>
      <c r="DU49" s="12"/>
      <c r="DV49" s="12"/>
      <c r="DW49" s="12"/>
      <c r="DX49" s="12"/>
      <c r="DY49" s="12"/>
      <c r="DZ49" s="12"/>
      <c r="EA49" s="12"/>
      <c r="EB49" s="12"/>
    </row>
    <row r="50" spans="1:132" x14ac:dyDescent="0.25">
      <c r="A50" s="7"/>
      <c r="B50" s="7"/>
      <c r="C50" s="7"/>
      <c r="D50" s="7"/>
      <c r="F50" s="12"/>
      <c r="G50" s="12"/>
      <c r="H50" s="12"/>
      <c r="I50" s="12"/>
      <c r="J50" s="12"/>
      <c r="K50" s="12"/>
      <c r="L50" s="12"/>
      <c r="M50" s="12"/>
      <c r="O50" s="12"/>
      <c r="P50" s="12"/>
      <c r="Q50" s="12"/>
      <c r="R50" s="12"/>
      <c r="S50" s="12"/>
      <c r="T50" s="12"/>
      <c r="U50" s="12"/>
      <c r="V50" s="12"/>
      <c r="X50" s="12"/>
      <c r="Y50" s="12"/>
      <c r="Z50" s="12"/>
      <c r="AA50" s="12"/>
      <c r="AB50" s="12"/>
      <c r="AC50" s="12"/>
      <c r="AE50" s="12"/>
      <c r="AF50" s="12"/>
      <c r="AG50" s="12"/>
      <c r="AH50" s="12"/>
      <c r="AI50" s="12"/>
      <c r="AJ50" s="12"/>
      <c r="AL50" s="12"/>
      <c r="AM50" s="12"/>
      <c r="AN50" s="12"/>
      <c r="AO50" s="12"/>
      <c r="AP50" s="12"/>
      <c r="AQ50" s="12"/>
      <c r="AS50" s="12"/>
      <c r="AT50" s="12"/>
      <c r="AU50" s="12"/>
      <c r="AV50" s="12"/>
      <c r="AW50" s="12"/>
      <c r="AX50" s="12"/>
      <c r="AY50" s="12"/>
      <c r="AZ50" s="12"/>
      <c r="BB50" s="12"/>
      <c r="BC50" s="12"/>
      <c r="BD50" s="12"/>
      <c r="BE50" s="12"/>
      <c r="BF50" s="12"/>
      <c r="BG50" s="12"/>
      <c r="BH50" s="12"/>
      <c r="BI50" s="12"/>
      <c r="BK50" s="12"/>
      <c r="BL50" s="12"/>
      <c r="BM50" s="12"/>
      <c r="BN50" s="12"/>
      <c r="BO50" s="12"/>
      <c r="BP50" s="12"/>
      <c r="BR50" s="12"/>
      <c r="BS50" s="12"/>
      <c r="BT50" s="12"/>
      <c r="BU50" s="12"/>
      <c r="BV50" s="12"/>
      <c r="BW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E50" s="12"/>
      <c r="DF50" s="12"/>
      <c r="DG50" s="12"/>
      <c r="DH50" s="12"/>
      <c r="DI50" s="12"/>
      <c r="DJ50" s="12"/>
      <c r="DL50" s="12"/>
      <c r="DM50" s="12"/>
      <c r="DN50" s="12"/>
      <c r="DO50" s="12"/>
      <c r="DP50" s="12"/>
      <c r="DQ50" s="12"/>
      <c r="DR50" s="12"/>
      <c r="DS50" s="12"/>
      <c r="DU50" s="12"/>
      <c r="DV50" s="12"/>
      <c r="DW50" s="12"/>
      <c r="DX50" s="12"/>
      <c r="DY50" s="12"/>
      <c r="DZ50" s="12"/>
      <c r="EA50" s="12"/>
      <c r="EB50" s="12"/>
    </row>
    <row r="51" spans="1:132" x14ac:dyDescent="0.25">
      <c r="F51" s="12"/>
      <c r="G51" s="12"/>
      <c r="H51" s="12"/>
      <c r="I51" s="12"/>
      <c r="J51" s="12"/>
      <c r="K51" s="12"/>
      <c r="L51" s="12"/>
      <c r="M51" s="12"/>
      <c r="O51" s="12"/>
      <c r="P51" s="12"/>
      <c r="Q51" s="12"/>
      <c r="R51" s="12"/>
      <c r="S51" s="12"/>
      <c r="T51" s="12"/>
      <c r="U51" s="12"/>
      <c r="V51" s="12"/>
      <c r="X51" s="12"/>
      <c r="Y51" s="12"/>
      <c r="Z51" s="12"/>
      <c r="AA51" s="12"/>
      <c r="AB51" s="12"/>
      <c r="AC51" s="12"/>
      <c r="AE51" s="12"/>
      <c r="AF51" s="12"/>
      <c r="AG51" s="12"/>
      <c r="AH51" s="12"/>
      <c r="AI51" s="12"/>
      <c r="AJ51" s="12"/>
      <c r="AL51" s="12"/>
      <c r="AM51" s="12"/>
      <c r="AN51" s="12"/>
      <c r="AO51" s="12"/>
      <c r="AP51" s="12"/>
      <c r="AQ51" s="12"/>
      <c r="AS51" s="12"/>
      <c r="AT51" s="12"/>
      <c r="AU51" s="12"/>
      <c r="AV51" s="12"/>
      <c r="AW51" s="12"/>
      <c r="AX51" s="12"/>
      <c r="AY51" s="12"/>
      <c r="AZ51" s="12"/>
      <c r="BB51" s="12"/>
      <c r="BC51" s="12"/>
      <c r="BD51" s="12"/>
      <c r="BE51" s="12"/>
      <c r="BF51" s="12"/>
      <c r="BG51" s="12"/>
      <c r="BH51" s="12"/>
      <c r="BI51" s="12"/>
      <c r="BK51" s="12"/>
      <c r="BL51" s="12"/>
      <c r="BM51" s="12"/>
      <c r="BN51" s="12"/>
      <c r="BO51" s="12"/>
      <c r="BP51" s="12"/>
      <c r="BR51" s="12"/>
      <c r="BS51" s="12"/>
      <c r="BT51" s="12"/>
      <c r="BU51" s="12"/>
      <c r="BV51" s="12"/>
      <c r="BW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E51" s="12"/>
      <c r="DF51" s="12"/>
      <c r="DG51" s="12"/>
      <c r="DH51" s="12"/>
      <c r="DI51" s="12"/>
      <c r="DJ51" s="12"/>
      <c r="DL51" s="12"/>
      <c r="DM51" s="12"/>
      <c r="DN51" s="12"/>
      <c r="DO51" s="12"/>
      <c r="DP51" s="12"/>
      <c r="DQ51" s="12"/>
      <c r="DR51" s="12"/>
      <c r="DS51" s="12"/>
      <c r="DU51" s="12"/>
      <c r="DV51" s="12"/>
      <c r="DW51" s="12"/>
      <c r="DX51" s="12"/>
      <c r="DY51" s="12"/>
      <c r="DZ51" s="12"/>
      <c r="EA51" s="12"/>
      <c r="EB51" s="12"/>
    </row>
  </sheetData>
  <mergeCells count="401">
    <mergeCell ref="CQ6:CR6"/>
    <mergeCell ref="CS6:CT6"/>
    <mergeCell ref="CM36:CN36"/>
    <mergeCell ref="CO36:CP36"/>
    <mergeCell ref="CQ36:CR36"/>
    <mergeCell ref="CS36:CT36"/>
    <mergeCell ref="CM1:CT1"/>
    <mergeCell ref="CM2:CN2"/>
    <mergeCell ref="CO2:CP2"/>
    <mergeCell ref="CQ2:CR2"/>
    <mergeCell ref="CS2:CT2"/>
    <mergeCell ref="CM4:CN4"/>
    <mergeCell ref="CO4:CP4"/>
    <mergeCell ref="CQ4:CR4"/>
    <mergeCell ref="CS4:CT4"/>
    <mergeCell ref="CM6:CN6"/>
    <mergeCell ref="CO6:CP6"/>
    <mergeCell ref="DL37:DM37"/>
    <mergeCell ref="DN37:DO37"/>
    <mergeCell ref="DP37:DQ37"/>
    <mergeCell ref="DY36:DZ36"/>
    <mergeCell ref="DR37:DS37"/>
    <mergeCell ref="CZ2:DA2"/>
    <mergeCell ref="CZ4:DA4"/>
    <mergeCell ref="CZ6:DA6"/>
    <mergeCell ref="CZ36:DA36"/>
    <mergeCell ref="DY2:DZ2"/>
    <mergeCell ref="DY4:DZ4"/>
    <mergeCell ref="DY6:DZ6"/>
    <mergeCell ref="DL6:DM6"/>
    <mergeCell ref="DN6:DO6"/>
    <mergeCell ref="DP6:DQ6"/>
    <mergeCell ref="DU36:DV36"/>
    <mergeCell ref="DW36:DX36"/>
    <mergeCell ref="DR6:DS6"/>
    <mergeCell ref="DL36:DM36"/>
    <mergeCell ref="DN36:DO36"/>
    <mergeCell ref="DP36:DQ36"/>
    <mergeCell ref="DR36:DS36"/>
    <mergeCell ref="DE37:DF37"/>
    <mergeCell ref="DL1:DS1"/>
    <mergeCell ref="DL2:DM2"/>
    <mergeCell ref="DN2:DO2"/>
    <mergeCell ref="DP2:DQ2"/>
    <mergeCell ref="DR2:DS2"/>
    <mergeCell ref="DL4:DM4"/>
    <mergeCell ref="DN4:DO4"/>
    <mergeCell ref="DP4:DQ4"/>
    <mergeCell ref="DR4:DS4"/>
    <mergeCell ref="BB1:BI1"/>
    <mergeCell ref="DG37:DH37"/>
    <mergeCell ref="DI37:DJ37"/>
    <mergeCell ref="J2:K2"/>
    <mergeCell ref="J4:K4"/>
    <mergeCell ref="J6:K6"/>
    <mergeCell ref="J36:K36"/>
    <mergeCell ref="J37:K37"/>
    <mergeCell ref="AS1:AZ1"/>
    <mergeCell ref="AS2:AT2"/>
    <mergeCell ref="AU2:AV2"/>
    <mergeCell ref="AW2:AX2"/>
    <mergeCell ref="AY2:AZ2"/>
    <mergeCell ref="AS4:AT4"/>
    <mergeCell ref="AU4:AV4"/>
    <mergeCell ref="AW4:AX4"/>
    <mergeCell ref="AY4:AZ4"/>
    <mergeCell ref="AS6:AT6"/>
    <mergeCell ref="AU6:AV6"/>
    <mergeCell ref="AW6:AX6"/>
    <mergeCell ref="AY6:AZ6"/>
    <mergeCell ref="AS36:AT36"/>
    <mergeCell ref="CO37:CP37"/>
    <mergeCell ref="CS37:CT37"/>
    <mergeCell ref="CA37:CB37"/>
    <mergeCell ref="CC37:CD37"/>
    <mergeCell ref="BB36:BC36"/>
    <mergeCell ref="BD36:BE36"/>
    <mergeCell ref="BF36:BG36"/>
    <mergeCell ref="BH2:BI2"/>
    <mergeCell ref="BH4:BI4"/>
    <mergeCell ref="BH6:BI6"/>
    <mergeCell ref="BH36:BI36"/>
    <mergeCell ref="BB2:BC2"/>
    <mergeCell ref="BD2:BE2"/>
    <mergeCell ref="BF2:BG2"/>
    <mergeCell ref="BB4:BC4"/>
    <mergeCell ref="BD4:BE4"/>
    <mergeCell ref="BF4:BG4"/>
    <mergeCell ref="BB6:BC6"/>
    <mergeCell ref="BD6:BE6"/>
    <mergeCell ref="BF6:BG6"/>
    <mergeCell ref="CQ37:CR37"/>
    <mergeCell ref="Z37:AA37"/>
    <mergeCell ref="AB37:AC37"/>
    <mergeCell ref="AE37:AF37"/>
    <mergeCell ref="AG37:AH37"/>
    <mergeCell ref="AI37:AJ37"/>
    <mergeCell ref="AL37:AM37"/>
    <mergeCell ref="AN37:AO37"/>
    <mergeCell ref="AP37:AQ37"/>
    <mergeCell ref="BK37:BL37"/>
    <mergeCell ref="AS37:AT37"/>
    <mergeCell ref="AU37:AV37"/>
    <mergeCell ref="AW37:AX37"/>
    <mergeCell ref="AY37:AZ37"/>
    <mergeCell ref="CF37:CG37"/>
    <mergeCell ref="CH37:CI37"/>
    <mergeCell ref="CJ37:CK37"/>
    <mergeCell ref="CM37:CN37"/>
    <mergeCell ref="BM37:BN37"/>
    <mergeCell ref="BO37:BP37"/>
    <mergeCell ref="BR37:BS37"/>
    <mergeCell ref="BT37:BU37"/>
    <mergeCell ref="BV37:BW37"/>
    <mergeCell ref="BY37:BZ37"/>
    <mergeCell ref="F37:G37"/>
    <mergeCell ref="H37:I37"/>
    <mergeCell ref="L37:M37"/>
    <mergeCell ref="U2:V2"/>
    <mergeCell ref="U4:V4"/>
    <mergeCell ref="U6:V6"/>
    <mergeCell ref="U36:V36"/>
    <mergeCell ref="O1:V1"/>
    <mergeCell ref="X37:Y37"/>
    <mergeCell ref="F36:G36"/>
    <mergeCell ref="H36:I36"/>
    <mergeCell ref="L36:M36"/>
    <mergeCell ref="O36:P36"/>
    <mergeCell ref="Q36:R36"/>
    <mergeCell ref="S36:T36"/>
    <mergeCell ref="X36:Y36"/>
    <mergeCell ref="O2:P2"/>
    <mergeCell ref="Q2:R2"/>
    <mergeCell ref="S2:T2"/>
    <mergeCell ref="O4:P4"/>
    <mergeCell ref="Q4:R4"/>
    <mergeCell ref="S4:T4"/>
    <mergeCell ref="O6:P6"/>
    <mergeCell ref="Q6:R6"/>
    <mergeCell ref="EA36:EB36"/>
    <mergeCell ref="CF36:CG36"/>
    <mergeCell ref="CH36:CI36"/>
    <mergeCell ref="CJ36:CK36"/>
    <mergeCell ref="CV36:CW36"/>
    <mergeCell ref="CX36:CY36"/>
    <mergeCell ref="DB36:DC36"/>
    <mergeCell ref="BR36:BS36"/>
    <mergeCell ref="BT36:BU36"/>
    <mergeCell ref="BV36:BW36"/>
    <mergeCell ref="BY36:BZ36"/>
    <mergeCell ref="CA36:CB36"/>
    <mergeCell ref="CC36:CD36"/>
    <mergeCell ref="DE36:DF36"/>
    <mergeCell ref="DG36:DH36"/>
    <mergeCell ref="DI36:DJ36"/>
    <mergeCell ref="AE36:AF36"/>
    <mergeCell ref="AG36:AH36"/>
    <mergeCell ref="AI36:AJ36"/>
    <mergeCell ref="AL36:AM36"/>
    <mergeCell ref="AN36:AO36"/>
    <mergeCell ref="AP36:AQ36"/>
    <mergeCell ref="BK36:BL36"/>
    <mergeCell ref="BM36:BN36"/>
    <mergeCell ref="BO36:BP36"/>
    <mergeCell ref="AU36:AV36"/>
    <mergeCell ref="AW36:AX36"/>
    <mergeCell ref="AY36:AZ36"/>
    <mergeCell ref="Z36:AA36"/>
    <mergeCell ref="AB36:AC36"/>
    <mergeCell ref="DI6:DJ6"/>
    <mergeCell ref="DE1:DJ1"/>
    <mergeCell ref="DE2:DF2"/>
    <mergeCell ref="DG2:DH2"/>
    <mergeCell ref="DI2:DJ2"/>
    <mergeCell ref="DE4:DF4"/>
    <mergeCell ref="DG4:DH4"/>
    <mergeCell ref="DI4:DJ4"/>
    <mergeCell ref="DG6:DH6"/>
    <mergeCell ref="AL1:AQ1"/>
    <mergeCell ref="AP4:AQ4"/>
    <mergeCell ref="AN6:AO6"/>
    <mergeCell ref="AP6:AQ6"/>
    <mergeCell ref="BK2:BL2"/>
    <mergeCell ref="BK4:BL4"/>
    <mergeCell ref="BK6:BL6"/>
    <mergeCell ref="AG34:AH34"/>
    <mergeCell ref="AI34:AJ34"/>
    <mergeCell ref="AG35:AH35"/>
    <mergeCell ref="AI35:AJ35"/>
    <mergeCell ref="AE1:AJ1"/>
    <mergeCell ref="AG2:AH2"/>
    <mergeCell ref="S6:T6"/>
    <mergeCell ref="BY6:BZ6"/>
    <mergeCell ref="CA2:CB2"/>
    <mergeCell ref="CC2:CD2"/>
    <mergeCell ref="CA4:CB4"/>
    <mergeCell ref="CC4:CD4"/>
    <mergeCell ref="CA6:CB6"/>
    <mergeCell ref="CC6:CD6"/>
    <mergeCell ref="DE6:DF6"/>
    <mergeCell ref="BM6:BN6"/>
    <mergeCell ref="BO6:BP6"/>
    <mergeCell ref="BR2:BS2"/>
    <mergeCell ref="BT2:BU2"/>
    <mergeCell ref="BV2:BW2"/>
    <mergeCell ref="BR4:BS4"/>
    <mergeCell ref="BR6:BS6"/>
    <mergeCell ref="BT4:BU4"/>
    <mergeCell ref="BV4:BW4"/>
    <mergeCell ref="BT6:BU6"/>
    <mergeCell ref="BV6:BW6"/>
    <mergeCell ref="AL6:AM6"/>
    <mergeCell ref="AN2:AO2"/>
    <mergeCell ref="AP2:AQ2"/>
    <mergeCell ref="AN4:AO4"/>
    <mergeCell ref="AI2:AJ2"/>
    <mergeCell ref="AG31:AH31"/>
    <mergeCell ref="AI31:AJ31"/>
    <mergeCell ref="AG32:AH32"/>
    <mergeCell ref="AI32:AJ32"/>
    <mergeCell ref="AG33:AH33"/>
    <mergeCell ref="AI33:AJ33"/>
    <mergeCell ref="AG28:AH28"/>
    <mergeCell ref="AI28:AJ28"/>
    <mergeCell ref="AG29:AH29"/>
    <mergeCell ref="AI29:AJ29"/>
    <mergeCell ref="AG30:AH30"/>
    <mergeCell ref="AI30:AJ30"/>
    <mergeCell ref="AG25:AH25"/>
    <mergeCell ref="AI25:AJ25"/>
    <mergeCell ref="AG26:AH26"/>
    <mergeCell ref="AI26:AJ26"/>
    <mergeCell ref="AG27:AH27"/>
    <mergeCell ref="AI18:AJ18"/>
    <mergeCell ref="AG13:AH13"/>
    <mergeCell ref="AI13:AJ13"/>
    <mergeCell ref="AG14:AH14"/>
    <mergeCell ref="AI14:AJ14"/>
    <mergeCell ref="AG15:AH15"/>
    <mergeCell ref="AI15:AJ15"/>
    <mergeCell ref="AI27:AJ27"/>
    <mergeCell ref="AG22:AH22"/>
    <mergeCell ref="AI22:AJ22"/>
    <mergeCell ref="AG23:AH23"/>
    <mergeCell ref="AI23:AJ23"/>
    <mergeCell ref="AG24:AH24"/>
    <mergeCell ref="AI24:AJ24"/>
    <mergeCell ref="AG19:AH19"/>
    <mergeCell ref="AI19:AJ19"/>
    <mergeCell ref="AG20:AH20"/>
    <mergeCell ref="AI20:AJ20"/>
    <mergeCell ref="AG21:AH21"/>
    <mergeCell ref="AI21:AJ21"/>
    <mergeCell ref="AG5:AH5"/>
    <mergeCell ref="AI5:AJ5"/>
    <mergeCell ref="AG6:AH6"/>
    <mergeCell ref="AI6:AJ6"/>
    <mergeCell ref="AB33:AC33"/>
    <mergeCell ref="AB34:AC34"/>
    <mergeCell ref="AB35:AC35"/>
    <mergeCell ref="AG10:AH10"/>
    <mergeCell ref="AI10:AJ10"/>
    <mergeCell ref="AG11:AH11"/>
    <mergeCell ref="AI11:AJ11"/>
    <mergeCell ref="AG12:AH12"/>
    <mergeCell ref="AI12:AJ12"/>
    <mergeCell ref="AG7:AH7"/>
    <mergeCell ref="AI7:AJ7"/>
    <mergeCell ref="AG8:AH8"/>
    <mergeCell ref="AI8:AJ8"/>
    <mergeCell ref="AG9:AH9"/>
    <mergeCell ref="AI9:AJ9"/>
    <mergeCell ref="AG16:AH16"/>
    <mergeCell ref="AI16:AJ16"/>
    <mergeCell ref="AG17:AH17"/>
    <mergeCell ref="AI17:AJ17"/>
    <mergeCell ref="AG18:AH18"/>
    <mergeCell ref="Z35:AA35"/>
    <mergeCell ref="Z33:AA33"/>
    <mergeCell ref="Z34:AA34"/>
    <mergeCell ref="AB18:AC18"/>
    <mergeCell ref="AB19:AC19"/>
    <mergeCell ref="AB20:AC20"/>
    <mergeCell ref="AB21:AC21"/>
    <mergeCell ref="AB22:AC22"/>
    <mergeCell ref="Z28:AA28"/>
    <mergeCell ref="Z29:AA29"/>
    <mergeCell ref="Z20:AA20"/>
    <mergeCell ref="Z21:AA21"/>
    <mergeCell ref="Z22:AA22"/>
    <mergeCell ref="Z23:AA23"/>
    <mergeCell ref="Z24:AA24"/>
    <mergeCell ref="AB28:AC28"/>
    <mergeCell ref="AB29:AC29"/>
    <mergeCell ref="AB15:AC15"/>
    <mergeCell ref="AB16:AC16"/>
    <mergeCell ref="AB17:AC17"/>
    <mergeCell ref="Z30:AA30"/>
    <mergeCell ref="Z31:AA31"/>
    <mergeCell ref="Z32:AA32"/>
    <mergeCell ref="Z25:AA25"/>
    <mergeCell ref="Z26:AA26"/>
    <mergeCell ref="Z27:AA27"/>
    <mergeCell ref="Z15:AA15"/>
    <mergeCell ref="Z16:AA16"/>
    <mergeCell ref="Z17:AA17"/>
    <mergeCell ref="Z18:AA18"/>
    <mergeCell ref="Z19:AA19"/>
    <mergeCell ref="AB30:AC30"/>
    <mergeCell ref="AB31:AC31"/>
    <mergeCell ref="AB32:AC32"/>
    <mergeCell ref="AB23:AC23"/>
    <mergeCell ref="AB24:AC24"/>
    <mergeCell ref="AB25:AC25"/>
    <mergeCell ref="AB26:AC26"/>
    <mergeCell ref="AB27:AC27"/>
    <mergeCell ref="Z13:AA13"/>
    <mergeCell ref="Z14:AA14"/>
    <mergeCell ref="Z5:AA5"/>
    <mergeCell ref="Z6:AA6"/>
    <mergeCell ref="Z7:AA7"/>
    <mergeCell ref="Z8:AA8"/>
    <mergeCell ref="Z9:AA9"/>
    <mergeCell ref="AB12:AC12"/>
    <mergeCell ref="AB13:AC13"/>
    <mergeCell ref="AB14:AC14"/>
    <mergeCell ref="AB5:AC5"/>
    <mergeCell ref="AB6:AC6"/>
    <mergeCell ref="AB7:AC7"/>
    <mergeCell ref="AB8:AC8"/>
    <mergeCell ref="AB9:AC9"/>
    <mergeCell ref="AB10:AC10"/>
    <mergeCell ref="AB11:AC11"/>
    <mergeCell ref="X2:Y2"/>
    <mergeCell ref="X4:Y4"/>
    <mergeCell ref="X6:Y6"/>
    <mergeCell ref="Z2:AA2"/>
    <mergeCell ref="Z4:AA4"/>
    <mergeCell ref="AE6:AF6"/>
    <mergeCell ref="Z10:AA10"/>
    <mergeCell ref="Z11:AA11"/>
    <mergeCell ref="Z12:AA12"/>
    <mergeCell ref="AB2:AC2"/>
    <mergeCell ref="AB4:AC4"/>
    <mergeCell ref="F2:G2"/>
    <mergeCell ref="F4:G4"/>
    <mergeCell ref="F6:G6"/>
    <mergeCell ref="H2:I2"/>
    <mergeCell ref="H4:I4"/>
    <mergeCell ref="H6:I6"/>
    <mergeCell ref="L2:M2"/>
    <mergeCell ref="L4:M4"/>
    <mergeCell ref="L6:M6"/>
    <mergeCell ref="F1:M1"/>
    <mergeCell ref="BK1:BP1"/>
    <mergeCell ref="BR1:BW1"/>
    <mergeCell ref="BY1:CD1"/>
    <mergeCell ref="DU1:EB1"/>
    <mergeCell ref="DU2:DV2"/>
    <mergeCell ref="DW2:DX2"/>
    <mergeCell ref="EA2:EB2"/>
    <mergeCell ref="DU4:DV4"/>
    <mergeCell ref="DW4:DX4"/>
    <mergeCell ref="EA4:EB4"/>
    <mergeCell ref="X1:AC1"/>
    <mergeCell ref="AG4:AH4"/>
    <mergeCell ref="AI4:AJ4"/>
    <mergeCell ref="AL2:AM2"/>
    <mergeCell ref="AL4:AM4"/>
    <mergeCell ref="BM2:BN2"/>
    <mergeCell ref="BO2:BP2"/>
    <mergeCell ref="BM4:BN4"/>
    <mergeCell ref="BO4:BP4"/>
    <mergeCell ref="BY2:BZ2"/>
    <mergeCell ref="BY4:BZ4"/>
    <mergeCell ref="AE2:AF2"/>
    <mergeCell ref="AE4:AF4"/>
    <mergeCell ref="B1:D1"/>
    <mergeCell ref="DU6:DV6"/>
    <mergeCell ref="DW6:DX6"/>
    <mergeCell ref="EA6:EB6"/>
    <mergeCell ref="CF1:CK1"/>
    <mergeCell ref="CV1:DC1"/>
    <mergeCell ref="CF2:CG2"/>
    <mergeCell ref="CH2:CI2"/>
    <mergeCell ref="CJ2:CK2"/>
    <mergeCell ref="CV2:CW2"/>
    <mergeCell ref="CX2:CY2"/>
    <mergeCell ref="DB2:DC2"/>
    <mergeCell ref="CF4:CG4"/>
    <mergeCell ref="CH4:CI4"/>
    <mergeCell ref="CJ4:CK4"/>
    <mergeCell ref="CV4:CW4"/>
    <mergeCell ref="CX4:CY4"/>
    <mergeCell ref="DB4:DC4"/>
    <mergeCell ref="CF6:CG6"/>
    <mergeCell ref="CH6:CI6"/>
    <mergeCell ref="CJ6:CK6"/>
    <mergeCell ref="CV6:CW6"/>
    <mergeCell ref="CX6:CY6"/>
    <mergeCell ref="DB6:DC6"/>
  </mergeCells>
  <pageMargins left="0.70866141732283472" right="0.70866141732283472" top="0.78740157480314965" bottom="0.78740157480314965" header="0.31496062992125984" footer="0.31496062992125984"/>
  <pageSetup paperSize="9" scale="31" fitToWidth="2" orientation="landscape" r:id="rId1"/>
  <headerFooter>
    <oddHeader>&amp;C&amp;A</oddHeader>
    <oddFooter>&amp;R&amp;Z&amp;F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workbookViewId="0">
      <selection activeCell="A8" sqref="A7:B8"/>
    </sheetView>
  </sheetViews>
  <sheetFormatPr baseColWidth="10" defaultRowHeight="15" x14ac:dyDescent="0.25"/>
  <cols>
    <col min="1" max="1" width="24.5703125" bestFit="1" customWidth="1"/>
    <col min="2" max="2" width="15" customWidth="1"/>
    <col min="3" max="3" width="13.42578125" customWidth="1"/>
  </cols>
  <sheetData>
    <row r="2" spans="1:3" ht="30" x14ac:dyDescent="0.25">
      <c r="B2" s="217" t="s">
        <v>118</v>
      </c>
      <c r="C2" s="217" t="s">
        <v>119</v>
      </c>
    </row>
    <row r="3" spans="1:3" x14ac:dyDescent="0.25">
      <c r="A3" t="s">
        <v>115</v>
      </c>
      <c r="B3" s="216">
        <f>1- (AP5_Targets!N5/AP5_Targets!$D$5)</f>
        <v>0.83</v>
      </c>
      <c r="C3" s="216">
        <f>1- (AP5_Targets!N7/AP5_Targets!$D$7)</f>
        <v>0.74999998238653742</v>
      </c>
    </row>
    <row r="4" spans="1:3" x14ac:dyDescent="0.25">
      <c r="A4" t="s">
        <v>116</v>
      </c>
      <c r="B4" s="216">
        <f>1-(AP5_Targets!AF5/AP5_Targets!$D$5)</f>
        <v>0.97499999999999998</v>
      </c>
      <c r="C4" s="216">
        <f>1-(AP5_Targets!AF7/AP5_Targets!$D$7)</f>
        <v>0.92982792637176637</v>
      </c>
    </row>
    <row r="5" spans="1:3" x14ac:dyDescent="0.25">
      <c r="A5" t="s">
        <v>117</v>
      </c>
      <c r="B5" s="216">
        <f>1-(AP5_Targets!AX5/AP5_Targets!$D$5)</f>
        <v>0.97499999999999998</v>
      </c>
      <c r="C5" s="216">
        <f>1-(AP5_Targets!AX7/AP5_Targets!$D$7)</f>
        <v>0.92982792637176637</v>
      </c>
    </row>
    <row r="7" spans="1:3" ht="30" x14ac:dyDescent="0.25">
      <c r="B7" s="217" t="s">
        <v>121</v>
      </c>
    </row>
    <row r="8" spans="1:3" x14ac:dyDescent="0.25">
      <c r="A8" t="s">
        <v>120</v>
      </c>
      <c r="B8" s="216">
        <f>1-(AP5_Targets!W37/AP5_Targets!$D$37)</f>
        <v>0.93769126082484955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4" workbookViewId="0">
      <selection activeCell="C33" sqref="C33"/>
    </sheetView>
  </sheetViews>
  <sheetFormatPr baseColWidth="10" defaultColWidth="8.7109375" defaultRowHeight="15" x14ac:dyDescent="0.25"/>
  <cols>
    <col min="3" max="3" width="12.5703125" bestFit="1" customWidth="1"/>
  </cols>
  <sheetData>
    <row r="1" spans="1:3" x14ac:dyDescent="0.25">
      <c r="A1" t="s">
        <v>92</v>
      </c>
      <c r="B1" t="s">
        <v>93</v>
      </c>
      <c r="C1" t="s">
        <v>94</v>
      </c>
    </row>
    <row r="2" spans="1:3" x14ac:dyDescent="0.25">
      <c r="A2" s="69" t="s">
        <v>7</v>
      </c>
      <c r="B2" t="s">
        <v>83</v>
      </c>
      <c r="C2" s="158">
        <f>VLOOKUP($A2,AP2_Targets!$A$8:$E$35,5,0)</f>
        <v>350.97888858284506</v>
      </c>
    </row>
    <row r="3" spans="1:3" x14ac:dyDescent="0.25">
      <c r="A3" s="69" t="s">
        <v>8</v>
      </c>
      <c r="B3" t="s">
        <v>84</v>
      </c>
      <c r="C3" s="158">
        <f>VLOOKUP($A3,AP2_Targets!$A$8:$E$35,5,0)</f>
        <v>35.957529814029442</v>
      </c>
    </row>
    <row r="4" spans="1:3" x14ac:dyDescent="0.25">
      <c r="A4" s="72" t="s">
        <v>9</v>
      </c>
      <c r="B4" t="s">
        <v>84</v>
      </c>
      <c r="C4" s="158">
        <f>VLOOKUP($A4,AP2_Targets!$A$8:$E$35,5,0)</f>
        <v>202.21095516099473</v>
      </c>
    </row>
    <row r="5" spans="1:3" x14ac:dyDescent="0.25">
      <c r="A5" s="72" t="s">
        <v>10</v>
      </c>
      <c r="B5" t="s">
        <v>85</v>
      </c>
      <c r="C5" s="158">
        <f>VLOOKUP($A5,AP2_Targets!$A$8:$E$35,5,0)</f>
        <v>284.2309775038301</v>
      </c>
    </row>
    <row r="6" spans="1:3" x14ac:dyDescent="0.25">
      <c r="A6" s="69" t="s">
        <v>11</v>
      </c>
      <c r="B6" t="s">
        <v>86</v>
      </c>
      <c r="C6" s="158">
        <f>VLOOKUP($A6,AP2_Targets!$A$8:$E$35,5,0)</f>
        <v>318.03906884435668</v>
      </c>
    </row>
    <row r="7" spans="1:3" x14ac:dyDescent="0.25">
      <c r="A7" s="73" t="s">
        <v>12</v>
      </c>
      <c r="B7" t="s">
        <v>87</v>
      </c>
      <c r="C7" s="158">
        <f>VLOOKUP($A7,AP2_Targets!$A$8:$E$35,5,0)</f>
        <v>431.12531818257122</v>
      </c>
    </row>
    <row r="8" spans="1:3" x14ac:dyDescent="0.25">
      <c r="A8" s="72" t="s">
        <v>13</v>
      </c>
      <c r="B8" t="s">
        <v>88</v>
      </c>
      <c r="C8" s="158">
        <f>VLOOKUP($A8,AP2_Targets!$A$8:$E$35,5,0)</f>
        <v>113.25331740070762</v>
      </c>
    </row>
    <row r="9" spans="1:3" x14ac:dyDescent="0.25">
      <c r="A9" s="69" t="s">
        <v>14</v>
      </c>
      <c r="B9" t="s">
        <v>88</v>
      </c>
      <c r="C9" s="158">
        <f>VLOOKUP($A9,AP2_Targets!$A$8:$E$35,5,0)</f>
        <v>71.89596836154935</v>
      </c>
    </row>
    <row r="10" spans="1:3" x14ac:dyDescent="0.25">
      <c r="A10" s="72" t="s">
        <v>15</v>
      </c>
      <c r="B10" t="s">
        <v>88</v>
      </c>
      <c r="C10" s="158">
        <f>VLOOKUP($A10,AP2_Targets!$A$8:$E$35,5,0)</f>
        <v>9.6177830150124066</v>
      </c>
    </row>
    <row r="11" spans="1:3" x14ac:dyDescent="0.25">
      <c r="A11" s="74" t="s">
        <v>16</v>
      </c>
      <c r="B11" t="s">
        <v>89</v>
      </c>
      <c r="C11" s="158">
        <f>VLOOKUP($A11,AP2_Targets!$A$8:$E$35,5,0)</f>
        <v>47.777780236196705</v>
      </c>
    </row>
    <row r="12" spans="1:3" x14ac:dyDescent="0.25">
      <c r="A12" s="69" t="s">
        <v>17</v>
      </c>
      <c r="B12" t="s">
        <v>90</v>
      </c>
      <c r="C12" s="158">
        <f>VLOOKUP($A12,AP2_Targets!$A$8:$E$35,5,0)</f>
        <v>36.801632903157156</v>
      </c>
    </row>
    <row r="13" spans="1:3" x14ac:dyDescent="0.25">
      <c r="A13" s="72" t="s">
        <v>18</v>
      </c>
      <c r="B13" t="s">
        <v>90</v>
      </c>
      <c r="C13" s="158">
        <f>VLOOKUP($A13,AP2_Targets!$A$8:$E$35,5,0)</f>
        <v>36.733008911579802</v>
      </c>
    </row>
    <row r="14" spans="1:3" x14ac:dyDescent="0.25">
      <c r="A14" s="72" t="s">
        <v>19</v>
      </c>
      <c r="B14" t="s">
        <v>90</v>
      </c>
      <c r="C14" s="158">
        <f>VLOOKUP($A14,AP2_Targets!$A$8:$E$35,5,0)</f>
        <v>29.701056281896527</v>
      </c>
    </row>
    <row r="15" spans="1:3" x14ac:dyDescent="0.25">
      <c r="A15" s="69" t="s">
        <v>20</v>
      </c>
      <c r="B15" t="s">
        <v>90</v>
      </c>
      <c r="C15" s="158">
        <f>VLOOKUP($A15,AP2_Targets!$A$8:$E$35,5,0)</f>
        <v>40.447127860377904</v>
      </c>
    </row>
    <row r="16" spans="1:3" x14ac:dyDescent="0.25">
      <c r="A16" s="73" t="s">
        <v>21</v>
      </c>
      <c r="B16" t="s">
        <v>91</v>
      </c>
      <c r="C16" s="158">
        <f>VLOOKUP($A16,AP2_Targets!$A$8:$E$35,5,0)</f>
        <v>184.75146052804283</v>
      </c>
    </row>
    <row r="17" spans="1:3" x14ac:dyDescent="0.25">
      <c r="A17" s="74" t="s">
        <v>22</v>
      </c>
      <c r="B17" t="s">
        <v>89</v>
      </c>
      <c r="C17" s="158">
        <f>VLOOKUP($A17,AP2_Targets!$A$8:$E$35,5,0)</f>
        <v>56.367440459263037</v>
      </c>
    </row>
    <row r="18" spans="1:3" x14ac:dyDescent="0.25">
      <c r="A18" s="69" t="s">
        <v>23</v>
      </c>
      <c r="B18" t="s">
        <v>89</v>
      </c>
      <c r="C18" s="158">
        <f>VLOOKUP($A18,AP2_Targets!$A$8:$E$35,5,0)</f>
        <v>19.953049173648814</v>
      </c>
    </row>
    <row r="19" spans="1:3" x14ac:dyDescent="0.25">
      <c r="A19" s="72" t="s">
        <v>24</v>
      </c>
      <c r="B19" t="s">
        <v>89</v>
      </c>
      <c r="C19" s="158">
        <f>VLOOKUP($A19,AP2_Targets!$A$8:$E$35,5,0)</f>
        <v>65.68525005557116</v>
      </c>
    </row>
    <row r="20" spans="1:3" x14ac:dyDescent="0.25">
      <c r="A20" s="72" t="s">
        <v>25</v>
      </c>
      <c r="B20" t="s">
        <v>90</v>
      </c>
      <c r="C20" s="158">
        <f>VLOOKUP($A20,AP2_Targets!$A$8:$E$35,5,0)</f>
        <v>5.7922263292033165</v>
      </c>
    </row>
    <row r="21" spans="1:3" x14ac:dyDescent="0.25">
      <c r="A21" s="69" t="s">
        <v>26</v>
      </c>
      <c r="B21" t="s">
        <v>90</v>
      </c>
      <c r="C21" s="158">
        <f>VLOOKUP($A21,AP2_Targets!$A$8:$E$35,5,0)</f>
        <v>7.9086956528118382</v>
      </c>
    </row>
    <row r="22" spans="1:3" x14ac:dyDescent="0.25">
      <c r="A22" s="72" t="s">
        <v>27</v>
      </c>
      <c r="B22" t="s">
        <v>90</v>
      </c>
      <c r="C22" s="158">
        <f>VLOOKUP($A22,AP2_Targets!$A$8:$E$35,5,0)</f>
        <v>11.44006889823387</v>
      </c>
    </row>
    <row r="23" spans="1:3" x14ac:dyDescent="0.25">
      <c r="A23" s="72" t="s">
        <v>28</v>
      </c>
      <c r="B23" t="s">
        <v>89</v>
      </c>
      <c r="C23" s="158">
        <f>VLOOKUP($A23,AP2_Targets!$A$8:$E$35,5,0)</f>
        <v>15.346253614104931</v>
      </c>
    </row>
    <row r="24" spans="1:3" x14ac:dyDescent="0.25">
      <c r="A24" s="69" t="s">
        <v>29</v>
      </c>
      <c r="B24" t="s">
        <v>89</v>
      </c>
      <c r="C24" s="158">
        <f>VLOOKUP($A24,AP2_Targets!$A$8:$E$35,5,0)</f>
        <v>36.736692918657198</v>
      </c>
    </row>
    <row r="25" spans="1:3" x14ac:dyDescent="0.25">
      <c r="A25" s="72" t="s">
        <v>30</v>
      </c>
      <c r="B25" t="s">
        <v>89</v>
      </c>
      <c r="C25" s="158">
        <f>VLOOKUP($A25,AP2_Targets!$A$8:$E$35,5,0)</f>
        <v>50.030956488916274</v>
      </c>
    </row>
    <row r="26" spans="1:3" x14ac:dyDescent="0.25">
      <c r="A26" s="72" t="s">
        <v>31</v>
      </c>
      <c r="B26" t="s">
        <v>89</v>
      </c>
      <c r="C26" s="158">
        <f>VLOOKUP($A26,AP2_Targets!$A$8:$E$35,5,0)</f>
        <v>20.77694649044259</v>
      </c>
    </row>
    <row r="27" spans="1:3" x14ac:dyDescent="0.25">
      <c r="A27" s="69" t="s">
        <v>32</v>
      </c>
      <c r="B27" t="s">
        <v>89</v>
      </c>
      <c r="C27" s="158">
        <f>VLOOKUP($A27,AP2_Targets!$A$8:$E$35,5,0)</f>
        <v>11.085624785753687</v>
      </c>
    </row>
    <row r="28" spans="1:3" x14ac:dyDescent="0.25">
      <c r="A28" s="72" t="s">
        <v>33</v>
      </c>
      <c r="B28" t="s">
        <v>89</v>
      </c>
      <c r="C28" s="158">
        <f>VLOOKUP($A28,AP2_Targets!$A$8:$E$35,5,0)</f>
        <v>4.0485859102332569</v>
      </c>
    </row>
    <row r="29" spans="1:3" x14ac:dyDescent="0.25">
      <c r="A29" s="74" t="s">
        <v>34</v>
      </c>
      <c r="B29" t="s">
        <v>89</v>
      </c>
      <c r="C29" s="158">
        <f>VLOOKUP($A29,AP2_Targets!$A$8:$E$35,5,0)</f>
        <v>0.92670502777647945</v>
      </c>
    </row>
    <row r="30" spans="1:3" x14ac:dyDescent="0.25">
      <c r="A30" s="159" t="s">
        <v>95</v>
      </c>
      <c r="C30" s="158">
        <f>SUM(C2:C29)</f>
        <v>2499.6203693917637</v>
      </c>
    </row>
    <row r="32" spans="1:3" x14ac:dyDescent="0.25">
      <c r="A32" s="160" t="s">
        <v>95</v>
      </c>
      <c r="B32" t="s">
        <v>96</v>
      </c>
      <c r="C32" s="161">
        <f>AP2_Targets!$E$5</f>
        <v>1984.4704999999999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8"/>
  <sheetViews>
    <sheetView tabSelected="1" workbookViewId="0">
      <selection activeCell="P31" sqref="P31"/>
    </sheetView>
  </sheetViews>
  <sheetFormatPr baseColWidth="10" defaultColWidth="8.7109375" defaultRowHeight="15" x14ac:dyDescent="0.25"/>
  <sheetData>
    <row r="1" spans="1:22" x14ac:dyDescent="0.25">
      <c r="A1" s="264" t="s">
        <v>97</v>
      </c>
      <c r="B1" s="265"/>
      <c r="C1" s="265"/>
      <c r="D1" s="265"/>
      <c r="E1" s="265"/>
      <c r="F1" s="265"/>
      <c r="G1" s="265"/>
      <c r="H1" s="266"/>
    </row>
    <row r="2" spans="1:22" ht="15.75" thickBot="1" x14ac:dyDescent="0.3">
      <c r="A2" s="267"/>
      <c r="B2" s="268"/>
      <c r="C2" s="268"/>
      <c r="D2" s="268"/>
      <c r="E2" s="268"/>
      <c r="F2" s="268"/>
      <c r="G2" s="268"/>
      <c r="H2" s="269"/>
    </row>
    <row r="3" spans="1:22" ht="15.75" thickBot="1" x14ac:dyDescent="0.3">
      <c r="L3" t="s">
        <v>103</v>
      </c>
    </row>
    <row r="4" spans="1:22" x14ac:dyDescent="0.25">
      <c r="A4" s="276" t="s">
        <v>101</v>
      </c>
      <c r="B4" s="277"/>
      <c r="C4" s="277"/>
      <c r="D4" s="277"/>
      <c r="E4" s="277"/>
      <c r="F4" s="277"/>
      <c r="G4" s="277"/>
      <c r="H4" s="277"/>
      <c r="I4" s="277"/>
      <c r="J4" s="278"/>
      <c r="K4" s="194"/>
      <c r="L4" s="280" t="s">
        <v>105</v>
      </c>
      <c r="M4" s="281"/>
      <c r="N4" s="281"/>
      <c r="O4" s="281"/>
      <c r="P4" s="281"/>
      <c r="Q4" s="281"/>
      <c r="R4" s="281"/>
      <c r="S4" s="281"/>
      <c r="T4" s="281"/>
      <c r="U4" s="281"/>
      <c r="V4" s="282"/>
    </row>
    <row r="5" spans="1:22" x14ac:dyDescent="0.25">
      <c r="A5" s="162"/>
      <c r="B5" s="163"/>
      <c r="C5" s="163"/>
      <c r="D5" s="163"/>
      <c r="E5" s="279" t="s">
        <v>104</v>
      </c>
      <c r="F5" s="279"/>
      <c r="G5" s="163"/>
      <c r="H5" s="163"/>
      <c r="I5" s="163"/>
      <c r="J5" s="164"/>
      <c r="K5" s="163"/>
      <c r="L5" s="162"/>
      <c r="M5" s="163"/>
      <c r="N5" s="163"/>
      <c r="O5" s="163"/>
      <c r="P5" s="163"/>
      <c r="Q5" s="163"/>
      <c r="R5" s="163"/>
      <c r="S5" s="163"/>
      <c r="T5" s="163"/>
      <c r="U5" s="163"/>
      <c r="V5" s="164"/>
    </row>
    <row r="6" spans="1:22" x14ac:dyDescent="0.25">
      <c r="A6" s="270" t="s">
        <v>99</v>
      </c>
      <c r="B6" s="271"/>
      <c r="C6" s="271"/>
      <c r="D6" s="271"/>
      <c r="E6" s="271"/>
      <c r="F6" s="271"/>
      <c r="G6" s="271"/>
      <c r="H6" s="271"/>
      <c r="I6" s="271"/>
      <c r="J6" s="272"/>
      <c r="K6" s="189"/>
      <c r="L6" s="283" t="s">
        <v>99</v>
      </c>
      <c r="M6" s="284"/>
      <c r="N6" s="284"/>
      <c r="O6" s="284"/>
      <c r="P6" s="284"/>
      <c r="Q6" s="284"/>
      <c r="R6" s="284"/>
      <c r="S6" s="284"/>
      <c r="T6" s="284"/>
      <c r="U6" s="284"/>
      <c r="V6" s="285"/>
    </row>
    <row r="7" spans="1:22" x14ac:dyDescent="0.25">
      <c r="A7" s="169"/>
      <c r="B7" s="167">
        <v>2011</v>
      </c>
      <c r="C7" s="170">
        <v>2015</v>
      </c>
      <c r="D7" s="170">
        <v>2020</v>
      </c>
      <c r="E7" s="170">
        <v>2025</v>
      </c>
      <c r="F7" s="170">
        <v>2030</v>
      </c>
      <c r="G7" s="170">
        <v>2035</v>
      </c>
      <c r="H7" s="170">
        <v>2040</v>
      </c>
      <c r="I7" s="170">
        <v>2045</v>
      </c>
      <c r="J7" s="166">
        <v>2050</v>
      </c>
      <c r="K7" s="192"/>
      <c r="L7" s="201"/>
      <c r="M7" s="211"/>
      <c r="N7" s="200">
        <v>2011</v>
      </c>
      <c r="O7" s="198">
        <v>2015</v>
      </c>
      <c r="P7" s="198">
        <v>2020</v>
      </c>
      <c r="Q7" s="198">
        <v>2025</v>
      </c>
      <c r="R7" s="198">
        <v>2030</v>
      </c>
      <c r="S7" s="198">
        <v>2035</v>
      </c>
      <c r="T7" s="198">
        <v>2040</v>
      </c>
      <c r="U7" s="198">
        <v>2045</v>
      </c>
      <c r="V7" s="199">
        <v>2050</v>
      </c>
    </row>
    <row r="8" spans="1:22" x14ac:dyDescent="0.25">
      <c r="A8" s="172" t="s">
        <v>87</v>
      </c>
      <c r="B8" s="175">
        <f>SUMIF(NEWAGE_reg!$B$2:$B$29,sce_3!$A8,NEWAGE_reg!$C$2:$C$29)</f>
        <v>431.12531818257122</v>
      </c>
      <c r="C8" s="176"/>
      <c r="D8" s="176">
        <f>SUMIF(AP5_Targets!$B$8:$B$35,sce_3!$A8,AP5_Targets!H$8:H$35)</f>
        <v>393.01826778999032</v>
      </c>
      <c r="E8" s="176">
        <f>(D8+F8)/2</f>
        <v>338.17850949371257</v>
      </c>
      <c r="F8" s="176">
        <f>SUMIF(AP5_Targets!$B$8:$B$35,sce_3!$A8,AP5_Targets!J$8:J$35)</f>
        <v>283.33875119743487</v>
      </c>
      <c r="G8" s="176">
        <f>(F8+H8)/2</f>
        <v>235.35396268819187</v>
      </c>
      <c r="H8" s="176">
        <f>SUMIF(AP5_Targets!$B$8:$B$35,sce_3!$A8,AP5_Targets!L$8:L$35)</f>
        <v>187.36917417894884</v>
      </c>
      <c r="I8" s="176">
        <f>(H8+J8)/2</f>
        <v>139.38438566970584</v>
      </c>
      <c r="J8" s="206">
        <f>SUMIF(AP5_Targets!$B$8:$B$35,sce_3!$A8,AP5_Targets!N$8:N$35)</f>
        <v>91.399597160462847</v>
      </c>
      <c r="K8" s="193"/>
      <c r="L8" s="202" t="s">
        <v>87</v>
      </c>
      <c r="M8" s="212" t="s">
        <v>112</v>
      </c>
      <c r="N8" s="175">
        <f>B8/$B8</f>
        <v>1</v>
      </c>
      <c r="O8" s="175"/>
      <c r="P8" s="175">
        <f t="shared" ref="P8:P16" si="0">D8/$B8</f>
        <v>0.91161027018032037</v>
      </c>
      <c r="Q8" s="176">
        <f>(P8+R8)/2</f>
        <v>0.78440883713190357</v>
      </c>
      <c r="R8" s="175">
        <f t="shared" ref="R8:R16" si="1">F8/$B8</f>
        <v>0.65720740408348677</v>
      </c>
      <c r="S8" s="176">
        <f>(R8+T8)/2</f>
        <v>0.54590615016612198</v>
      </c>
      <c r="T8" s="175">
        <f t="shared" ref="T8:T16" si="2">H8/$B8</f>
        <v>0.43460489624875731</v>
      </c>
      <c r="U8" s="176">
        <f>(T8+V8)/2</f>
        <v>0.32330364233139264</v>
      </c>
      <c r="V8" s="177">
        <f t="shared" ref="V8:V16" si="3">J8/$B8</f>
        <v>0.21200238841402794</v>
      </c>
    </row>
    <row r="9" spans="1:22" x14ac:dyDescent="0.25">
      <c r="A9" s="173" t="s">
        <v>83</v>
      </c>
      <c r="B9" s="178">
        <f>SUMIF(NEWAGE_reg!$B$2:$B$29,sce_3!$A9,NEWAGE_reg!$C$2:$C$29)</f>
        <v>350.97888858284506</v>
      </c>
      <c r="C9" s="179"/>
      <c r="D9" s="179">
        <f>SUMIF(AP5_Targets!$B$8:$B$35,sce_3!$A9,AP5_Targets!H$8:H$35)</f>
        <v>329.56947669999886</v>
      </c>
      <c r="E9" s="179">
        <f t="shared" ref="E9:G16" si="4">(D9+F9)/2</f>
        <v>285.49913969941764</v>
      </c>
      <c r="F9" s="179">
        <f>SUMIF(AP5_Targets!$B$8:$B$35,sce_3!$A9,AP5_Targets!J$8:J$35)</f>
        <v>241.42880269883639</v>
      </c>
      <c r="G9" s="179">
        <f t="shared" si="4"/>
        <v>200.23261811133654</v>
      </c>
      <c r="H9" s="179">
        <f>SUMIF(AP5_Targets!$B$8:$B$35,sce_3!$A9,AP5_Targets!L$8:L$35)</f>
        <v>159.03643352383668</v>
      </c>
      <c r="I9" s="179">
        <f t="shared" ref="I9" si="5">(H9+J9)/2</f>
        <v>117.84024893633681</v>
      </c>
      <c r="J9" s="207">
        <f>SUMIF(AP5_Targets!$B$8:$B$35,sce_3!$A9,AP5_Targets!N$8:N$35)</f>
        <v>76.644064348836935</v>
      </c>
      <c r="K9" s="193"/>
      <c r="L9" s="203" t="s">
        <v>83</v>
      </c>
      <c r="M9" s="213" t="s">
        <v>112</v>
      </c>
      <c r="N9" s="178">
        <f t="shared" ref="N9:N16" si="6">B9/$B9</f>
        <v>1</v>
      </c>
      <c r="O9" s="178"/>
      <c r="P9" s="178">
        <f t="shared" si="0"/>
        <v>0.93900085566601621</v>
      </c>
      <c r="Q9" s="179">
        <f t="shared" ref="Q9" si="7">(P9+R9)/2</f>
        <v>0.81343678775718842</v>
      </c>
      <c r="R9" s="178">
        <f t="shared" si="1"/>
        <v>0.68787271984836074</v>
      </c>
      <c r="S9" s="179">
        <f t="shared" ref="S9" si="8">(R9+T9)/2</f>
        <v>0.5704976128901087</v>
      </c>
      <c r="T9" s="178">
        <f t="shared" si="2"/>
        <v>0.45312250593185671</v>
      </c>
      <c r="U9" s="179">
        <f t="shared" ref="U9" si="9">(T9+V9)/2</f>
        <v>0.33574739897360462</v>
      </c>
      <c r="V9" s="180">
        <f t="shared" si="3"/>
        <v>0.21837229201535258</v>
      </c>
    </row>
    <row r="10" spans="1:22" x14ac:dyDescent="0.25">
      <c r="A10" s="172" t="s">
        <v>85</v>
      </c>
      <c r="B10" s="175">
        <f>SUMIF(NEWAGE_reg!$B$2:$B$29,sce_3!$A10,NEWAGE_reg!$C$2:$C$29)</f>
        <v>284.2309775038301</v>
      </c>
      <c r="C10" s="176"/>
      <c r="D10" s="176">
        <f>SUMIF(AP5_Targets!$B$8:$B$35,sce_3!$A10,AP5_Targets!H$8:H$35)</f>
        <v>275.89078596824714</v>
      </c>
      <c r="E10" s="176">
        <f t="shared" si="4"/>
        <v>244.17920137419574</v>
      </c>
      <c r="F10" s="176">
        <f>SUMIF(AP5_Targets!$B$8:$B$35,sce_3!$A10,AP5_Targets!J$8:J$35)</f>
        <v>212.46761678014434</v>
      </c>
      <c r="G10" s="176">
        <f t="shared" si="4"/>
        <v>175.20650488213394</v>
      </c>
      <c r="H10" s="176">
        <f>SUMIF(AP5_Targets!$B$8:$B$35,sce_3!$A10,AP5_Targets!L$8:L$35)</f>
        <v>137.94539298412354</v>
      </c>
      <c r="I10" s="176">
        <f t="shared" ref="I10" si="10">(H10+J10)/2</f>
        <v>100.68428108611316</v>
      </c>
      <c r="J10" s="206">
        <f>SUMIF(AP5_Targets!$B$8:$B$35,sce_3!$A10,AP5_Targets!N$8:N$35)</f>
        <v>63.423169188102776</v>
      </c>
      <c r="K10" s="193"/>
      <c r="L10" s="202" t="s">
        <v>85</v>
      </c>
      <c r="M10" s="212" t="s">
        <v>112</v>
      </c>
      <c r="N10" s="175">
        <f t="shared" si="6"/>
        <v>1</v>
      </c>
      <c r="O10" s="175"/>
      <c r="P10" s="175">
        <f t="shared" si="0"/>
        <v>0.97065699309474252</v>
      </c>
      <c r="Q10" s="176">
        <f t="shared" ref="Q10" si="11">(P10+R10)/2</f>
        <v>0.85908722377350766</v>
      </c>
      <c r="R10" s="175">
        <f t="shared" si="1"/>
        <v>0.74751745445227291</v>
      </c>
      <c r="S10" s="176">
        <f t="shared" ref="S10" si="12">(R10+T10)/2</f>
        <v>0.61642297549982206</v>
      </c>
      <c r="T10" s="175">
        <f t="shared" si="2"/>
        <v>0.4853284965473712</v>
      </c>
      <c r="U10" s="176">
        <f t="shared" ref="U10" si="13">(T10+V10)/2</f>
        <v>0.35423401759492035</v>
      </c>
      <c r="V10" s="177">
        <f t="shared" si="3"/>
        <v>0.22313953864246949</v>
      </c>
    </row>
    <row r="11" spans="1:22" x14ac:dyDescent="0.25">
      <c r="A11" s="173" t="s">
        <v>91</v>
      </c>
      <c r="B11" s="178">
        <f>SUMIF(NEWAGE_reg!$B$2:$B$29,sce_3!$A11,NEWAGE_reg!$C$2:$C$29)</f>
        <v>184.75146052804283</v>
      </c>
      <c r="C11" s="179"/>
      <c r="D11" s="179">
        <f>SUMIF(AP5_Targets!$B$8:$B$35,sce_3!$A11,AP5_Targets!H$8:H$35)</f>
        <v>189.32682156080617</v>
      </c>
      <c r="E11" s="179">
        <f t="shared" si="4"/>
        <v>171.88882483810033</v>
      </c>
      <c r="F11" s="179">
        <f>SUMIF(AP5_Targets!$B$8:$B$35,sce_3!$A11,AP5_Targets!J$8:J$35)</f>
        <v>154.45082811539447</v>
      </c>
      <c r="G11" s="179">
        <f t="shared" si="4"/>
        <v>136.597640994529</v>
      </c>
      <c r="H11" s="179">
        <f>SUMIF(AP5_Targets!$B$8:$B$35,sce_3!$A11,AP5_Targets!L$8:L$35)</f>
        <v>118.7444538736635</v>
      </c>
      <c r="I11" s="179">
        <f t="shared" ref="I11" si="14">(H11+J11)/2</f>
        <v>100.891266752798</v>
      </c>
      <c r="J11" s="207">
        <f>SUMIF(AP5_Targets!$B$8:$B$35,sce_3!$A11,AP5_Targets!N$8:N$35)</f>
        <v>83.038079631932519</v>
      </c>
      <c r="K11" s="193"/>
      <c r="L11" s="203" t="s">
        <v>91</v>
      </c>
      <c r="M11" s="213" t="s">
        <v>112</v>
      </c>
      <c r="N11" s="178">
        <f t="shared" si="6"/>
        <v>1</v>
      </c>
      <c r="O11" s="178"/>
      <c r="P11" s="178">
        <f t="shared" si="0"/>
        <v>1.0247649518963822</v>
      </c>
      <c r="Q11" s="179">
        <f t="shared" ref="Q11" si="15">(P11+R11)/2</f>
        <v>0.9303787063269785</v>
      </c>
      <c r="R11" s="178">
        <f t="shared" si="1"/>
        <v>0.83599246075757483</v>
      </c>
      <c r="S11" s="179">
        <f t="shared" ref="S11" si="16">(R11+T11)/2</f>
        <v>0.73935892362699496</v>
      </c>
      <c r="T11" s="178">
        <f t="shared" si="2"/>
        <v>0.64272538649641509</v>
      </c>
      <c r="U11" s="179">
        <f t="shared" ref="U11" si="17">(T11+V11)/2</f>
        <v>0.54609184936583521</v>
      </c>
      <c r="V11" s="180">
        <f t="shared" si="3"/>
        <v>0.44945831223525529</v>
      </c>
    </row>
    <row r="12" spans="1:22" x14ac:dyDescent="0.25">
      <c r="A12" s="172" t="s">
        <v>86</v>
      </c>
      <c r="B12" s="175">
        <f>SUMIF(NEWAGE_reg!$B$2:$B$29,sce_3!$A12,NEWAGE_reg!$C$2:$C$29)</f>
        <v>318.03906884435668</v>
      </c>
      <c r="C12" s="176"/>
      <c r="D12" s="176">
        <f>SUMIF(AP5_Targets!$B$8:$B$35,sce_3!$A12,AP5_Targets!H$8:H$35)</f>
        <v>311.85526550692305</v>
      </c>
      <c r="E12" s="176">
        <f t="shared" si="4"/>
        <v>272.87335731855768</v>
      </c>
      <c r="F12" s="176">
        <f>SUMIF(AP5_Targets!$B$8:$B$35,sce_3!$A12,AP5_Targets!J$8:J$35)</f>
        <v>233.89144913019229</v>
      </c>
      <c r="G12" s="176">
        <f t="shared" si="4"/>
        <v>193.98140027067535</v>
      </c>
      <c r="H12" s="176">
        <f>SUMIF(AP5_Targets!$B$8:$B$35,sce_3!$A12,AP5_Targets!L$8:L$35)</f>
        <v>154.07135141115842</v>
      </c>
      <c r="I12" s="176">
        <f t="shared" ref="I12" si="18">(H12+J12)/2</f>
        <v>114.16130255164147</v>
      </c>
      <c r="J12" s="206">
        <f>SUMIF(AP5_Targets!$B$8:$B$35,sce_3!$A12,AP5_Targets!N$8:N$35)</f>
        <v>74.251253692124521</v>
      </c>
      <c r="K12" s="193"/>
      <c r="L12" s="202" t="s">
        <v>86</v>
      </c>
      <c r="M12" s="212" t="s">
        <v>112</v>
      </c>
      <c r="N12" s="175">
        <f t="shared" si="6"/>
        <v>1</v>
      </c>
      <c r="O12" s="175"/>
      <c r="P12" s="175">
        <f t="shared" si="0"/>
        <v>0.98055646634891924</v>
      </c>
      <c r="Q12" s="176">
        <f t="shared" ref="Q12" si="19">(P12+R12)/2</f>
        <v>0.85798690805530442</v>
      </c>
      <c r="R12" s="175">
        <f t="shared" si="1"/>
        <v>0.73541734976168949</v>
      </c>
      <c r="S12" s="176">
        <f t="shared" ref="S12" si="20">(R12+T12)/2</f>
        <v>0.60992946865155995</v>
      </c>
      <c r="T12" s="175">
        <f t="shared" si="2"/>
        <v>0.48444158754143035</v>
      </c>
      <c r="U12" s="176">
        <f t="shared" ref="U12" si="21">(T12+V12)/2</f>
        <v>0.35895370643130076</v>
      </c>
      <c r="V12" s="177">
        <f t="shared" si="3"/>
        <v>0.23346582532117122</v>
      </c>
    </row>
    <row r="13" spans="1:22" x14ac:dyDescent="0.25">
      <c r="A13" s="173" t="s">
        <v>84</v>
      </c>
      <c r="B13" s="178">
        <f>SUMIF(NEWAGE_reg!$B$2:$B$29,sce_3!$A13,NEWAGE_reg!$C$2:$C$29)</f>
        <v>238.16848497502417</v>
      </c>
      <c r="C13" s="179"/>
      <c r="D13" s="179">
        <f>SUMIF(AP5_Targets!$B$8:$B$35,sce_3!$A13,AP5_Targets!H$8:H$35)</f>
        <v>247.99324003019603</v>
      </c>
      <c r="E13" s="179">
        <f t="shared" si="4"/>
        <v>225.94036106880532</v>
      </c>
      <c r="F13" s="179">
        <f>SUMIF(AP5_Targets!$B$8:$B$35,sce_3!$A13,AP5_Targets!J$8:J$35)</f>
        <v>203.88748210741457</v>
      </c>
      <c r="G13" s="179">
        <f t="shared" si="4"/>
        <v>166.44454021780581</v>
      </c>
      <c r="H13" s="179">
        <f>SUMIF(AP5_Targets!$B$8:$B$35,sce_3!$A13,AP5_Targets!L$8:L$35)</f>
        <v>129.00159832819708</v>
      </c>
      <c r="I13" s="179">
        <f t="shared" ref="I13" si="22">(H13+J13)/2</f>
        <v>91.558656438588358</v>
      </c>
      <c r="J13" s="207">
        <f>SUMIF(AP5_Targets!$B$8:$B$35,sce_3!$A13,AP5_Targets!N$8:N$35)</f>
        <v>54.115714548979632</v>
      </c>
      <c r="K13" s="193"/>
      <c r="L13" s="203" t="s">
        <v>84</v>
      </c>
      <c r="M13" s="213" t="s">
        <v>112</v>
      </c>
      <c r="N13" s="178">
        <f t="shared" si="6"/>
        <v>1</v>
      </c>
      <c r="O13" s="178"/>
      <c r="P13" s="178">
        <f t="shared" si="0"/>
        <v>1.0412512808157728</v>
      </c>
      <c r="Q13" s="179">
        <f t="shared" ref="Q13" si="23">(P13+R13)/2</f>
        <v>0.94865767438751947</v>
      </c>
      <c r="R13" s="178">
        <f t="shared" si="1"/>
        <v>0.85606406795926626</v>
      </c>
      <c r="S13" s="179">
        <f t="shared" ref="S13" si="24">(R13+T13)/2</f>
        <v>0.69885207623191725</v>
      </c>
      <c r="T13" s="178">
        <f t="shared" si="2"/>
        <v>0.54164008450456824</v>
      </c>
      <c r="U13" s="179">
        <f t="shared" ref="U13" si="25">(T13+V13)/2</f>
        <v>0.38442809277721934</v>
      </c>
      <c r="V13" s="180">
        <f t="shared" si="3"/>
        <v>0.22721610104987039</v>
      </c>
    </row>
    <row r="14" spans="1:22" x14ac:dyDescent="0.25">
      <c r="A14" s="172" t="s">
        <v>88</v>
      </c>
      <c r="B14" s="175">
        <f>SUMIF(NEWAGE_reg!$B$2:$B$29,sce_3!$A14,NEWAGE_reg!$C$2:$C$29)</f>
        <v>194.76706877726937</v>
      </c>
      <c r="C14" s="176"/>
      <c r="D14" s="176">
        <f>SUMIF(AP5_Targets!$B$8:$B$35,sce_3!$A14,AP5_Targets!H$8:H$35)</f>
        <v>170.79846919044058</v>
      </c>
      <c r="E14" s="176">
        <f t="shared" si="4"/>
        <v>150.50896744923537</v>
      </c>
      <c r="F14" s="176">
        <f>SUMIF(AP5_Targets!$B$8:$B$35,sce_3!$A14,AP5_Targets!J$8:J$35)</f>
        <v>130.21946570803016</v>
      </c>
      <c r="G14" s="176">
        <f t="shared" si="4"/>
        <v>107.80935015162522</v>
      </c>
      <c r="H14" s="176">
        <f>SUMIF(AP5_Targets!$B$8:$B$35,sce_3!$A14,AP5_Targets!L$8:L$35)</f>
        <v>85.399234595220292</v>
      </c>
      <c r="I14" s="176">
        <f t="shared" ref="I14" si="26">(H14+J14)/2</f>
        <v>62.989119038815353</v>
      </c>
      <c r="J14" s="206">
        <f>SUMIF(AP5_Targets!$B$8:$B$35,sce_3!$A14,AP5_Targets!N$8:N$35)</f>
        <v>40.579003482410414</v>
      </c>
      <c r="K14" s="193"/>
      <c r="L14" s="202" t="s">
        <v>88</v>
      </c>
      <c r="M14" s="212" t="s">
        <v>112</v>
      </c>
      <c r="N14" s="175">
        <f t="shared" si="6"/>
        <v>1</v>
      </c>
      <c r="O14" s="175"/>
      <c r="P14" s="175">
        <f t="shared" si="0"/>
        <v>0.87693710370391897</v>
      </c>
      <c r="Q14" s="176">
        <f t="shared" ref="Q14" si="27">(P14+R14)/2</f>
        <v>0.77276393999312876</v>
      </c>
      <c r="R14" s="175">
        <f t="shared" si="1"/>
        <v>0.66859077628233854</v>
      </c>
      <c r="S14" s="176">
        <f t="shared" ref="S14" si="28">(R14+T14)/2</f>
        <v>0.55352966406714899</v>
      </c>
      <c r="T14" s="175">
        <f t="shared" si="2"/>
        <v>0.43846855185195949</v>
      </c>
      <c r="U14" s="176">
        <f t="shared" ref="U14" si="29">(T14+V14)/2</f>
        <v>0.32340743963676988</v>
      </c>
      <c r="V14" s="177">
        <f t="shared" si="3"/>
        <v>0.2083463274215803</v>
      </c>
    </row>
    <row r="15" spans="1:22" x14ac:dyDescent="0.25">
      <c r="A15" s="173" t="s">
        <v>90</v>
      </c>
      <c r="B15" s="178">
        <f>SUMIF(NEWAGE_reg!$B$2:$B$29,sce_3!$A15,NEWAGE_reg!$C$2:$C$29)</f>
        <v>168.82381683726044</v>
      </c>
      <c r="C15" s="179"/>
      <c r="D15" s="179">
        <f>SUMIF(AP5_Targets!$B$8:$B$35,sce_3!$A15,AP5_Targets!H$8:H$35)</f>
        <v>155.04963103987569</v>
      </c>
      <c r="E15" s="179">
        <f t="shared" si="4"/>
        <v>137.96434474088545</v>
      </c>
      <c r="F15" s="179">
        <f>SUMIF(AP5_Targets!$B$8:$B$35,sce_3!$A15,AP5_Targets!J$8:J$35)</f>
        <v>120.87905844189524</v>
      </c>
      <c r="G15" s="179">
        <f t="shared" si="4"/>
        <v>100.85542178710989</v>
      </c>
      <c r="H15" s="179">
        <f>SUMIF(AP5_Targets!$B$8:$B$35,sce_3!$A15,AP5_Targets!L$8:L$35)</f>
        <v>80.831785132324555</v>
      </c>
      <c r="I15" s="179">
        <f t="shared" ref="I15" si="30">(H15+J15)/2</f>
        <v>60.808148477539198</v>
      </c>
      <c r="J15" s="207">
        <f>SUMIF(AP5_Targets!$B$8:$B$35,sce_3!$A15,AP5_Targets!N$8:N$35)</f>
        <v>40.784511822753842</v>
      </c>
      <c r="K15" s="193"/>
      <c r="L15" s="203" t="s">
        <v>90</v>
      </c>
      <c r="M15" s="213" t="s">
        <v>112</v>
      </c>
      <c r="N15" s="178">
        <f t="shared" si="6"/>
        <v>1</v>
      </c>
      <c r="O15" s="178"/>
      <c r="P15" s="178">
        <f t="shared" si="0"/>
        <v>0.91841088505502444</v>
      </c>
      <c r="Q15" s="179">
        <f t="shared" ref="Q15" si="31">(P15+R15)/2</f>
        <v>0.81720901307353877</v>
      </c>
      <c r="R15" s="178">
        <f t="shared" si="1"/>
        <v>0.71600714109205299</v>
      </c>
      <c r="S15" s="179">
        <f t="shared" ref="S15" si="32">(R15+T15)/2</f>
        <v>0.59740043600797499</v>
      </c>
      <c r="T15" s="178">
        <f t="shared" si="2"/>
        <v>0.47879373092389704</v>
      </c>
      <c r="U15" s="179">
        <f t="shared" ref="U15" si="33">(T15+V15)/2</f>
        <v>0.36018702583981899</v>
      </c>
      <c r="V15" s="180">
        <f t="shared" si="3"/>
        <v>0.24158032075574098</v>
      </c>
    </row>
    <row r="16" spans="1:22" ht="15.75" thickBot="1" x14ac:dyDescent="0.3">
      <c r="A16" s="185" t="s">
        <v>89</v>
      </c>
      <c r="B16" s="183">
        <f>SUMIF(NEWAGE_reg!$B$2:$B$29,sce_3!$A16,NEWAGE_reg!$C$2:$C$29)</f>
        <v>328.73528516056416</v>
      </c>
      <c r="C16" s="184"/>
      <c r="D16" s="184">
        <f>SUMIF(AP5_Targets!$B$8:$B$35,sce_3!$A16,AP5_Targets!H$8:H$35)</f>
        <v>379.17762751196415</v>
      </c>
      <c r="E16" s="184">
        <f t="shared" si="4"/>
        <v>344.80969391306292</v>
      </c>
      <c r="F16" s="184">
        <f>SUMIF(AP5_Targets!$B$8:$B$35,sce_3!$A16,AP5_Targets!J$8:J$35)</f>
        <v>310.44176031416168</v>
      </c>
      <c r="G16" s="184">
        <f t="shared" si="4"/>
        <v>267.36699261211714</v>
      </c>
      <c r="H16" s="184">
        <f>SUMIF(AP5_Targets!$B$8:$B$35,sce_3!$A16,AP5_Targets!L$8:L$35)</f>
        <v>224.29222491007263</v>
      </c>
      <c r="I16" s="184">
        <f t="shared" ref="I16" si="34">(H16+J16)/2</f>
        <v>181.21745720802812</v>
      </c>
      <c r="J16" s="210">
        <f>SUMIF(AP5_Targets!$B$8:$B$35,sce_3!$A16,AP5_Targets!N$8:N$35)</f>
        <v>138.14268950598358</v>
      </c>
      <c r="K16" s="193"/>
      <c r="L16" s="204" t="s">
        <v>89</v>
      </c>
      <c r="M16" s="214" t="s">
        <v>112</v>
      </c>
      <c r="N16" s="195">
        <f t="shared" si="6"/>
        <v>1</v>
      </c>
      <c r="O16" s="195"/>
      <c r="P16" s="195">
        <f t="shared" si="0"/>
        <v>1.1534436509508326</v>
      </c>
      <c r="Q16" s="205">
        <f t="shared" ref="Q16" si="35">(P16+R16)/2</f>
        <v>1.0488977285923156</v>
      </c>
      <c r="R16" s="195">
        <f t="shared" si="1"/>
        <v>0.94435180623379877</v>
      </c>
      <c r="S16" s="205">
        <f t="shared" ref="S16" si="36">(R16+T16)/2</f>
        <v>0.81332003189595881</v>
      </c>
      <c r="T16" s="195">
        <f t="shared" si="2"/>
        <v>0.68228825755811884</v>
      </c>
      <c r="U16" s="205">
        <f t="shared" ref="U16" si="37">(T16+V16)/2</f>
        <v>0.55125648322027887</v>
      </c>
      <c r="V16" s="196">
        <f t="shared" si="3"/>
        <v>0.42022470888243879</v>
      </c>
    </row>
    <row r="17" spans="1:22" ht="15.75" thickBot="1" x14ac:dyDescent="0.3">
      <c r="A17" s="162"/>
      <c r="B17" s="163"/>
      <c r="C17" s="163"/>
      <c r="D17" s="163"/>
      <c r="E17" s="163"/>
      <c r="F17" s="163"/>
      <c r="G17" s="163"/>
      <c r="H17" s="163"/>
      <c r="I17" s="163"/>
      <c r="J17" s="164"/>
      <c r="K17" s="163"/>
    </row>
    <row r="18" spans="1:22" x14ac:dyDescent="0.25">
      <c r="A18" s="270" t="s">
        <v>100</v>
      </c>
      <c r="B18" s="271"/>
      <c r="C18" s="271"/>
      <c r="D18" s="271"/>
      <c r="E18" s="271"/>
      <c r="F18" s="271"/>
      <c r="G18" s="271"/>
      <c r="H18" s="271"/>
      <c r="I18" s="271"/>
      <c r="J18" s="272"/>
      <c r="K18" s="189"/>
      <c r="L18" s="273" t="s">
        <v>98</v>
      </c>
      <c r="M18" s="274"/>
      <c r="N18" s="274"/>
      <c r="O18" s="274"/>
      <c r="P18" s="274"/>
      <c r="Q18" s="274"/>
      <c r="R18" s="274"/>
      <c r="S18" s="274"/>
      <c r="T18" s="274"/>
      <c r="U18" s="274"/>
      <c r="V18" s="275"/>
    </row>
    <row r="19" spans="1:22" x14ac:dyDescent="0.25">
      <c r="A19" s="162"/>
      <c r="B19" s="165">
        <v>2011</v>
      </c>
      <c r="C19" s="165">
        <v>2015</v>
      </c>
      <c r="D19" s="165">
        <v>2020</v>
      </c>
      <c r="E19" s="165">
        <v>2025</v>
      </c>
      <c r="F19" s="165">
        <v>2030</v>
      </c>
      <c r="G19" s="165">
        <v>2035</v>
      </c>
      <c r="H19" s="165">
        <v>2040</v>
      </c>
      <c r="I19" s="165">
        <v>2045</v>
      </c>
      <c r="J19" s="166">
        <v>2050</v>
      </c>
      <c r="K19" s="165"/>
      <c r="L19" s="162"/>
      <c r="M19" s="163"/>
      <c r="N19" s="165">
        <v>2011</v>
      </c>
      <c r="O19" s="165">
        <v>2015</v>
      </c>
      <c r="P19" s="165">
        <v>2020</v>
      </c>
      <c r="Q19" s="167">
        <v>2025</v>
      </c>
      <c r="R19" s="165">
        <v>2030</v>
      </c>
      <c r="S19" s="165">
        <v>2035</v>
      </c>
      <c r="T19" s="165">
        <v>2040</v>
      </c>
      <c r="U19" s="165">
        <v>2045</v>
      </c>
      <c r="V19" s="166">
        <v>2050</v>
      </c>
    </row>
    <row r="20" spans="1:22" ht="15.75" thickBot="1" x14ac:dyDescent="0.3">
      <c r="A20" s="185" t="s">
        <v>87</v>
      </c>
      <c r="B20" s="182" t="s">
        <v>102</v>
      </c>
      <c r="C20" s="181" t="s">
        <v>102</v>
      </c>
      <c r="D20" s="181" t="s">
        <v>102</v>
      </c>
      <c r="E20" s="181" t="s">
        <v>102</v>
      </c>
      <c r="F20" s="181" t="s">
        <v>102</v>
      </c>
      <c r="G20" s="181" t="s">
        <v>102</v>
      </c>
      <c r="H20" s="181" t="s">
        <v>102</v>
      </c>
      <c r="I20" s="181" t="s">
        <v>102</v>
      </c>
      <c r="J20" s="187" t="s">
        <v>102</v>
      </c>
      <c r="L20" s="174" t="s">
        <v>87</v>
      </c>
      <c r="M20" s="215" t="s">
        <v>113</v>
      </c>
      <c r="N20" s="188">
        <f>IF(B20="-",0,B20/$B20)</f>
        <v>0</v>
      </c>
      <c r="O20" s="171"/>
      <c r="P20" s="195">
        <f t="shared" ref="P20:V20" si="38">IF(D20="-",0,D20/$B20)</f>
        <v>0</v>
      </c>
      <c r="Q20" s="195">
        <f t="shared" si="38"/>
        <v>0</v>
      </c>
      <c r="R20" s="195">
        <f t="shared" si="38"/>
        <v>0</v>
      </c>
      <c r="S20" s="195">
        <f t="shared" si="38"/>
        <v>0</v>
      </c>
      <c r="T20" s="195">
        <f t="shared" si="38"/>
        <v>0</v>
      </c>
      <c r="U20" s="195">
        <f t="shared" si="38"/>
        <v>0</v>
      </c>
      <c r="V20" s="196">
        <f t="shared" si="38"/>
        <v>0</v>
      </c>
    </row>
    <row r="21" spans="1:22" ht="15.75" thickBot="1" x14ac:dyDescent="0.3">
      <c r="A21" s="162"/>
      <c r="B21" s="163"/>
      <c r="C21" s="163"/>
      <c r="D21" s="163"/>
      <c r="E21" s="163"/>
      <c r="F21" s="163"/>
      <c r="G21" s="163"/>
      <c r="H21" s="163"/>
      <c r="I21" s="163"/>
      <c r="J21" s="164"/>
    </row>
    <row r="22" spans="1:22" x14ac:dyDescent="0.25">
      <c r="A22" s="270" t="s">
        <v>98</v>
      </c>
      <c r="B22" s="271"/>
      <c r="C22" s="271"/>
      <c r="D22" s="271"/>
      <c r="E22" s="271"/>
      <c r="F22" s="271"/>
      <c r="G22" s="271"/>
      <c r="H22" s="271"/>
      <c r="I22" s="271"/>
      <c r="J22" s="272"/>
      <c r="L22" s="273" t="s">
        <v>98</v>
      </c>
      <c r="M22" s="274"/>
      <c r="N22" s="274"/>
      <c r="O22" s="274"/>
      <c r="P22" s="274"/>
      <c r="Q22" s="274"/>
      <c r="R22" s="274"/>
      <c r="S22" s="274"/>
      <c r="T22" s="274"/>
      <c r="U22" s="274"/>
      <c r="V22" s="275"/>
    </row>
    <row r="23" spans="1:22" x14ac:dyDescent="0.25">
      <c r="A23" s="162"/>
      <c r="B23" s="165">
        <v>2011</v>
      </c>
      <c r="C23" s="165">
        <v>2015</v>
      </c>
      <c r="D23" s="165">
        <v>2020</v>
      </c>
      <c r="E23" s="167">
        <v>2025</v>
      </c>
      <c r="F23" s="165">
        <v>2030</v>
      </c>
      <c r="G23" s="165">
        <v>2035</v>
      </c>
      <c r="H23" s="165">
        <v>2040</v>
      </c>
      <c r="I23" s="165">
        <v>2045</v>
      </c>
      <c r="J23" s="166">
        <v>2050</v>
      </c>
      <c r="L23" s="162"/>
      <c r="M23" s="163"/>
      <c r="N23" s="165">
        <v>2011</v>
      </c>
      <c r="O23" s="165">
        <v>2015</v>
      </c>
      <c r="P23" s="165">
        <v>2020</v>
      </c>
      <c r="Q23" s="167">
        <v>2025</v>
      </c>
      <c r="R23" s="165">
        <v>2030</v>
      </c>
      <c r="S23" s="165">
        <v>2035</v>
      </c>
      <c r="T23" s="165">
        <v>2040</v>
      </c>
      <c r="U23" s="165">
        <v>2045</v>
      </c>
      <c r="V23" s="166">
        <v>2050</v>
      </c>
    </row>
    <row r="24" spans="1:22" ht="15.75" thickBot="1" x14ac:dyDescent="0.3">
      <c r="A24" s="174" t="s">
        <v>95</v>
      </c>
      <c r="B24" s="188">
        <f>NEWAGE_reg!$C$32</f>
        <v>1984.4704999999999</v>
      </c>
      <c r="C24" s="171"/>
      <c r="D24" s="188">
        <f>AP5_Targets!H5</f>
        <v>1848.82041</v>
      </c>
      <c r="E24" s="168">
        <f>(D24+F24)/2</f>
        <v>1591.3897200000001</v>
      </c>
      <c r="F24" s="188">
        <f>AP5_Targets!J5</f>
        <v>1333.95903</v>
      </c>
      <c r="G24" s="168">
        <f>(F24+H24)/2</f>
        <v>1099.9311299999999</v>
      </c>
      <c r="H24" s="188">
        <f>AP5_Targets!L5</f>
        <v>865.90323000000001</v>
      </c>
      <c r="I24" s="168">
        <f>(H24+J24)/2</f>
        <v>631.87533000000008</v>
      </c>
      <c r="J24" s="197">
        <f>AP5_Targets!N5</f>
        <v>397.84743000000003</v>
      </c>
      <c r="L24" s="174" t="s">
        <v>114</v>
      </c>
      <c r="M24" s="215" t="s">
        <v>96</v>
      </c>
      <c r="N24" s="188">
        <f>B24/$B24</f>
        <v>1</v>
      </c>
      <c r="O24" s="171"/>
      <c r="P24" s="188">
        <f>D24/$B24</f>
        <v>0.93164418921823233</v>
      </c>
      <c r="Q24" s="188">
        <f t="shared" ref="Q24:V24" si="39">E24/$B24</f>
        <v>0.80192158059290886</v>
      </c>
      <c r="R24" s="188">
        <f t="shared" si="39"/>
        <v>0.67219897196758538</v>
      </c>
      <c r="S24" s="188">
        <f t="shared" si="39"/>
        <v>0.55426932776274573</v>
      </c>
      <c r="T24" s="188">
        <f t="shared" si="39"/>
        <v>0.43633968355790625</v>
      </c>
      <c r="U24" s="188">
        <f t="shared" si="39"/>
        <v>0.31841003935306678</v>
      </c>
      <c r="V24" s="197">
        <f t="shared" si="39"/>
        <v>0.20048039514822721</v>
      </c>
    </row>
    <row r="25" spans="1:22" ht="15.75" thickBot="1" x14ac:dyDescent="0.3"/>
    <row r="26" spans="1:22" x14ac:dyDescent="0.25">
      <c r="A26" s="270" t="s">
        <v>122</v>
      </c>
      <c r="B26" s="271"/>
      <c r="C26" s="271"/>
      <c r="D26" s="271"/>
      <c r="E26" s="271"/>
      <c r="F26" s="271"/>
      <c r="G26" s="271"/>
      <c r="H26" s="271"/>
      <c r="I26" s="271"/>
      <c r="J26" s="272"/>
      <c r="L26" s="273" t="s">
        <v>122</v>
      </c>
      <c r="M26" s="274"/>
      <c r="N26" s="274"/>
      <c r="O26" s="274"/>
      <c r="P26" s="274"/>
      <c r="Q26" s="274"/>
      <c r="R26" s="274"/>
      <c r="S26" s="274"/>
      <c r="T26" s="274"/>
      <c r="U26" s="274"/>
      <c r="V26" s="275"/>
    </row>
    <row r="27" spans="1:22" x14ac:dyDescent="0.25">
      <c r="A27" s="162"/>
      <c r="B27" s="165">
        <v>2011</v>
      </c>
      <c r="C27" s="165">
        <v>2015</v>
      </c>
      <c r="D27" s="165">
        <v>2020</v>
      </c>
      <c r="E27" s="167">
        <v>2025</v>
      </c>
      <c r="F27" s="165">
        <v>2030</v>
      </c>
      <c r="G27" s="165">
        <v>2035</v>
      </c>
      <c r="H27" s="165">
        <v>2040</v>
      </c>
      <c r="I27" s="165">
        <v>2045</v>
      </c>
      <c r="J27" s="166">
        <v>2050</v>
      </c>
      <c r="L27" s="162"/>
      <c r="M27" s="163"/>
      <c r="N27" s="165">
        <v>2011</v>
      </c>
      <c r="O27" s="165">
        <v>2015</v>
      </c>
      <c r="P27" s="165">
        <v>2020</v>
      </c>
      <c r="Q27" s="167">
        <v>2025</v>
      </c>
      <c r="R27" s="165">
        <v>2030</v>
      </c>
      <c r="S27" s="165">
        <v>2035</v>
      </c>
      <c r="T27" s="165">
        <v>2040</v>
      </c>
      <c r="U27" s="165">
        <v>2045</v>
      </c>
      <c r="V27" s="166">
        <v>2050</v>
      </c>
    </row>
    <row r="28" spans="1:22" ht="15.75" thickBot="1" x14ac:dyDescent="0.3">
      <c r="A28" s="174" t="s">
        <v>95</v>
      </c>
      <c r="B28" s="188">
        <f>sce_7!B24+SUM(sce_7!B8:B16)</f>
        <v>4484.0908693917645</v>
      </c>
      <c r="C28" s="171"/>
      <c r="D28" s="188">
        <f>sce_7!D24+SUM(sce_7!D8:D16)</f>
        <v>4301.4999952984417</v>
      </c>
      <c r="E28" s="168">
        <f>(D28+F28)/2</f>
        <v>3357.690394895973</v>
      </c>
      <c r="F28" s="188">
        <f>sce_7!F24+SUM(sce_7!F8:F16)</f>
        <v>2413.8807944935043</v>
      </c>
      <c r="G28" s="168">
        <f>(F28+H28)/2</f>
        <v>1872.4487073140517</v>
      </c>
      <c r="H28" s="188">
        <f>sce_7!H24+SUM(sce_7!H8:H16)</f>
        <v>1331.0166201345994</v>
      </c>
      <c r="I28" s="168">
        <f>(H28+J28)/2</f>
        <v>789.5845329551471</v>
      </c>
      <c r="J28" s="188">
        <f>sce_7!J24+SUM(sce_7!J8:J16)</f>
        <v>248.15244577569473</v>
      </c>
      <c r="L28" s="174" t="s">
        <v>114</v>
      </c>
      <c r="M28" s="215" t="s">
        <v>123</v>
      </c>
      <c r="N28" s="188">
        <f>B28/$B28</f>
        <v>1</v>
      </c>
      <c r="O28" s="171"/>
      <c r="P28" s="188">
        <f>D28/$B28</f>
        <v>0.95928029127605752</v>
      </c>
      <c r="Q28" s="188">
        <f t="shared" ref="Q28:V28" si="40">E28/$B28</f>
        <v>0.74880070290623257</v>
      </c>
      <c r="R28" s="188">
        <f t="shared" si="40"/>
        <v>0.53832111453640774</v>
      </c>
      <c r="S28" s="188">
        <f t="shared" si="40"/>
        <v>0.41757599519120275</v>
      </c>
      <c r="T28" s="188">
        <f t="shared" si="40"/>
        <v>0.29683087584599788</v>
      </c>
      <c r="U28" s="188">
        <f t="shared" si="40"/>
        <v>0.17608575650079292</v>
      </c>
      <c r="V28" s="197">
        <f t="shared" si="40"/>
        <v>5.5340637155587992E-2</v>
      </c>
    </row>
  </sheetData>
  <mergeCells count="12">
    <mergeCell ref="A26:J26"/>
    <mergeCell ref="L26:V26"/>
    <mergeCell ref="A1:H2"/>
    <mergeCell ref="A6:J6"/>
    <mergeCell ref="A18:J18"/>
    <mergeCell ref="L22:V22"/>
    <mergeCell ref="L18:V18"/>
    <mergeCell ref="A22:J22"/>
    <mergeCell ref="A4:J4"/>
    <mergeCell ref="E5:F5"/>
    <mergeCell ref="L4:V4"/>
    <mergeCell ref="L6:V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8"/>
  <sheetViews>
    <sheetView topLeftCell="A4" workbookViewId="0">
      <selection activeCell="A26" sqref="A26:V28"/>
    </sheetView>
  </sheetViews>
  <sheetFormatPr baseColWidth="10" defaultColWidth="8.7109375" defaultRowHeight="15" x14ac:dyDescent="0.25"/>
  <sheetData>
    <row r="1" spans="1:22" x14ac:dyDescent="0.25">
      <c r="A1" s="264" t="s">
        <v>106</v>
      </c>
      <c r="B1" s="265"/>
      <c r="C1" s="265"/>
      <c r="D1" s="265"/>
      <c r="E1" s="265"/>
      <c r="F1" s="265"/>
      <c r="G1" s="265"/>
      <c r="H1" s="266"/>
    </row>
    <row r="2" spans="1:22" ht="15.75" thickBot="1" x14ac:dyDescent="0.3">
      <c r="A2" s="267"/>
      <c r="B2" s="268"/>
      <c r="C2" s="268"/>
      <c r="D2" s="268"/>
      <c r="E2" s="268"/>
      <c r="F2" s="268"/>
      <c r="G2" s="268"/>
      <c r="H2" s="269"/>
    </row>
    <row r="3" spans="1:22" ht="15.75" thickBot="1" x14ac:dyDescent="0.3">
      <c r="L3" t="s">
        <v>103</v>
      </c>
    </row>
    <row r="4" spans="1:22" x14ac:dyDescent="0.25">
      <c r="A4" s="276" t="s">
        <v>101</v>
      </c>
      <c r="B4" s="277"/>
      <c r="C4" s="277"/>
      <c r="D4" s="277"/>
      <c r="E4" s="277"/>
      <c r="F4" s="277"/>
      <c r="G4" s="277"/>
      <c r="H4" s="277"/>
      <c r="I4" s="277"/>
      <c r="J4" s="278"/>
      <c r="K4" s="194"/>
      <c r="L4" s="280" t="s">
        <v>105</v>
      </c>
      <c r="M4" s="281"/>
      <c r="N4" s="281"/>
      <c r="O4" s="281"/>
      <c r="P4" s="281"/>
      <c r="Q4" s="281"/>
      <c r="R4" s="281"/>
      <c r="S4" s="281"/>
      <c r="T4" s="281"/>
      <c r="U4" s="281"/>
      <c r="V4" s="282"/>
    </row>
    <row r="5" spans="1:22" x14ac:dyDescent="0.25">
      <c r="A5" s="162"/>
      <c r="B5" s="163"/>
      <c r="C5" s="163"/>
      <c r="D5" s="163"/>
      <c r="E5" s="279" t="s">
        <v>104</v>
      </c>
      <c r="F5" s="279"/>
      <c r="G5" s="163"/>
      <c r="H5" s="163"/>
      <c r="I5" s="163"/>
      <c r="J5" s="164"/>
      <c r="K5" s="163"/>
      <c r="L5" s="162"/>
      <c r="M5" s="163"/>
      <c r="N5" s="163"/>
      <c r="O5" s="163"/>
      <c r="P5" s="163"/>
      <c r="Q5" s="163"/>
      <c r="R5" s="163"/>
      <c r="S5" s="163"/>
      <c r="T5" s="163"/>
      <c r="U5" s="163"/>
      <c r="V5" s="164"/>
    </row>
    <row r="6" spans="1:22" x14ac:dyDescent="0.25">
      <c r="A6" s="270" t="s">
        <v>99</v>
      </c>
      <c r="B6" s="271"/>
      <c r="C6" s="271"/>
      <c r="D6" s="271"/>
      <c r="E6" s="271"/>
      <c r="F6" s="271"/>
      <c r="G6" s="271"/>
      <c r="H6" s="271"/>
      <c r="I6" s="271"/>
      <c r="J6" s="272"/>
      <c r="K6" s="189"/>
      <c r="L6" s="283" t="s">
        <v>99</v>
      </c>
      <c r="M6" s="284"/>
      <c r="N6" s="284"/>
      <c r="O6" s="284"/>
      <c r="P6" s="284"/>
      <c r="Q6" s="284"/>
      <c r="R6" s="284"/>
      <c r="S6" s="284"/>
      <c r="T6" s="284"/>
      <c r="U6" s="284"/>
      <c r="V6" s="285"/>
    </row>
    <row r="7" spans="1:22" x14ac:dyDescent="0.25">
      <c r="A7" s="169"/>
      <c r="B7" s="167">
        <v>2011</v>
      </c>
      <c r="C7" s="170">
        <v>2015</v>
      </c>
      <c r="D7" s="170">
        <v>2020</v>
      </c>
      <c r="E7" s="170">
        <v>2025</v>
      </c>
      <c r="F7" s="170">
        <v>2030</v>
      </c>
      <c r="G7" s="170">
        <v>2035</v>
      </c>
      <c r="H7" s="170">
        <v>2040</v>
      </c>
      <c r="I7" s="170">
        <v>2045</v>
      </c>
      <c r="J7" s="166">
        <v>2050</v>
      </c>
      <c r="K7" s="192"/>
      <c r="L7" s="201"/>
      <c r="M7" s="211"/>
      <c r="N7" s="200">
        <v>2011</v>
      </c>
      <c r="O7" s="198">
        <v>2015</v>
      </c>
      <c r="P7" s="198">
        <v>2020</v>
      </c>
      <c r="Q7" s="198">
        <v>2025</v>
      </c>
      <c r="R7" s="198">
        <v>2030</v>
      </c>
      <c r="S7" s="198">
        <v>2035</v>
      </c>
      <c r="T7" s="198">
        <v>2040</v>
      </c>
      <c r="U7" s="198">
        <v>2045</v>
      </c>
      <c r="V7" s="199">
        <v>2050</v>
      </c>
    </row>
    <row r="8" spans="1:22" x14ac:dyDescent="0.25">
      <c r="A8" s="172" t="s">
        <v>87</v>
      </c>
      <c r="B8" s="175">
        <f>SUMIF(NEWAGE_reg!$B$2:$B$29,sce_4!$A8,NEWAGE_reg!$C$2:$C$29)</f>
        <v>431.12531818257122</v>
      </c>
      <c r="C8" s="176"/>
      <c r="D8" s="176">
        <f>SUMIF(AP5_Targets!$B$8:$B$35,sce_4!$A8,AP5_Targets!Q$8:Q$35)</f>
        <v>393.01826778999032</v>
      </c>
      <c r="E8" s="176">
        <f>(D8+F8)/2</f>
        <v>338.17850949371257</v>
      </c>
      <c r="F8" s="176">
        <f>SUMIF(AP5_Targets!$B$8:$B$35,sce_4!$A8,AP5_Targets!S$8:S$35)</f>
        <v>283.33875119743487</v>
      </c>
      <c r="G8" s="176">
        <f>(F8+H8)/2</f>
        <v>235.35396268819187</v>
      </c>
      <c r="H8" s="176">
        <f>SUMIF(AP5_Targets!$B$8:$B$35,sce_4!$A8,AP5_Targets!U$8:U$35)</f>
        <v>187.36917417894884</v>
      </c>
      <c r="I8" s="176">
        <f>(H8+J8)/2</f>
        <v>139.38438566970584</v>
      </c>
      <c r="J8" s="176">
        <f>SUMIF(AP5_Targets!$B$8:$B$35,sce_4!$A8,AP5_Targets!W$8:W$35)</f>
        <v>91.399597160462847</v>
      </c>
      <c r="K8" s="193"/>
      <c r="L8" s="202" t="s">
        <v>87</v>
      </c>
      <c r="M8" s="212" t="s">
        <v>112</v>
      </c>
      <c r="N8" s="175">
        <f>B8/$B8</f>
        <v>1</v>
      </c>
      <c r="O8" s="175"/>
      <c r="P8" s="175">
        <f t="shared" ref="P8:P16" si="0">D8/$B8</f>
        <v>0.91161027018032037</v>
      </c>
      <c r="Q8" s="175">
        <f t="shared" ref="Q8:Q16" si="1">E8/$B8</f>
        <v>0.78440883713190346</v>
      </c>
      <c r="R8" s="175">
        <f t="shared" ref="R8:R16" si="2">F8/$B8</f>
        <v>0.65720740408348677</v>
      </c>
      <c r="S8" s="175">
        <f t="shared" ref="S8:S16" si="3">G8/$B8</f>
        <v>0.54590615016612209</v>
      </c>
      <c r="T8" s="175">
        <f t="shared" ref="T8:T16" si="4">H8/$B8</f>
        <v>0.43460489624875731</v>
      </c>
      <c r="U8" s="175">
        <f t="shared" ref="U8:U16" si="5">I8/$B8</f>
        <v>0.32330364233139258</v>
      </c>
      <c r="V8" s="177">
        <f t="shared" ref="V8:V16" si="6">J8/$B8</f>
        <v>0.21200238841402794</v>
      </c>
    </row>
    <row r="9" spans="1:22" x14ac:dyDescent="0.25">
      <c r="A9" s="173" t="s">
        <v>83</v>
      </c>
      <c r="B9" s="178">
        <f>SUMIF(NEWAGE_reg!$B$2:$B$29,sce_4!$A9,NEWAGE_reg!$C$2:$C$29)</f>
        <v>350.97888858284506</v>
      </c>
      <c r="C9" s="179"/>
      <c r="D9" s="179">
        <f>SUMIF(AP5_Targets!$B$8:$B$35,sce_4!$A9,AP5_Targets!Q$8:Q$35)</f>
        <v>329.56947669999886</v>
      </c>
      <c r="E9" s="179">
        <f t="shared" ref="E9:E16" si="7">(D9+F9)/2</f>
        <v>285.49913969941764</v>
      </c>
      <c r="F9" s="179">
        <f>SUMIF(AP5_Targets!$B$8:$B$35,sce_4!$A9,AP5_Targets!S$8:S$35)</f>
        <v>241.42880269883639</v>
      </c>
      <c r="G9" s="179">
        <f t="shared" ref="G9" si="8">(F9+H9)/2</f>
        <v>200.23261811133654</v>
      </c>
      <c r="H9" s="179">
        <f>SUMIF(AP5_Targets!$B$8:$B$35,sce_4!$A9,AP5_Targets!U$8:U$35)</f>
        <v>159.03643352383668</v>
      </c>
      <c r="I9" s="179">
        <f t="shared" ref="I9" si="9">(H9+J9)/2</f>
        <v>117.84024893633681</v>
      </c>
      <c r="J9" s="179">
        <f>SUMIF(AP5_Targets!$B$8:$B$35,sce_4!$A9,AP5_Targets!W$8:W$35)</f>
        <v>76.644064348836935</v>
      </c>
      <c r="K9" s="193"/>
      <c r="L9" s="203" t="s">
        <v>83</v>
      </c>
      <c r="M9" s="213" t="s">
        <v>112</v>
      </c>
      <c r="N9" s="178">
        <f t="shared" ref="N9:N16" si="10">B9/$B9</f>
        <v>1</v>
      </c>
      <c r="O9" s="178"/>
      <c r="P9" s="178">
        <f t="shared" si="0"/>
        <v>0.93900085566601621</v>
      </c>
      <c r="Q9" s="178">
        <f t="shared" si="1"/>
        <v>0.81343678775718853</v>
      </c>
      <c r="R9" s="178">
        <f t="shared" si="2"/>
        <v>0.68787271984836074</v>
      </c>
      <c r="S9" s="178">
        <f t="shared" si="3"/>
        <v>0.5704976128901087</v>
      </c>
      <c r="T9" s="178">
        <f t="shared" si="4"/>
        <v>0.45312250593185671</v>
      </c>
      <c r="U9" s="178">
        <f t="shared" si="5"/>
        <v>0.33574739897360462</v>
      </c>
      <c r="V9" s="180">
        <f t="shared" si="6"/>
        <v>0.21837229201535258</v>
      </c>
    </row>
    <row r="10" spans="1:22" x14ac:dyDescent="0.25">
      <c r="A10" s="172" t="s">
        <v>85</v>
      </c>
      <c r="B10" s="175">
        <f>SUMIF(NEWAGE_reg!$B$2:$B$29,sce_4!$A10,NEWAGE_reg!$C$2:$C$29)</f>
        <v>284.2309775038301</v>
      </c>
      <c r="C10" s="176"/>
      <c r="D10" s="176">
        <f>SUMIF(AP5_Targets!$B$8:$B$35,sce_4!$A10,AP5_Targets!Q$8:Q$35)</f>
        <v>275.89078596824714</v>
      </c>
      <c r="E10" s="176">
        <f t="shared" si="7"/>
        <v>244.17920137419574</v>
      </c>
      <c r="F10" s="176">
        <f>SUMIF(AP5_Targets!$B$8:$B$35,sce_4!$A10,AP5_Targets!S$8:S$35)</f>
        <v>212.46761678014434</v>
      </c>
      <c r="G10" s="176">
        <f t="shared" ref="G10" si="11">(F10+H10)/2</f>
        <v>175.20650488213394</v>
      </c>
      <c r="H10" s="176">
        <f>SUMIF(AP5_Targets!$B$8:$B$35,sce_4!$A10,AP5_Targets!U$8:U$35)</f>
        <v>137.94539298412354</v>
      </c>
      <c r="I10" s="176">
        <f t="shared" ref="I10" si="12">(H10+J10)/2</f>
        <v>100.68428108611316</v>
      </c>
      <c r="J10" s="176">
        <f>SUMIF(AP5_Targets!$B$8:$B$35,sce_4!$A10,AP5_Targets!W$8:W$35)</f>
        <v>63.423169188102776</v>
      </c>
      <c r="K10" s="193"/>
      <c r="L10" s="202" t="s">
        <v>85</v>
      </c>
      <c r="M10" s="212" t="s">
        <v>112</v>
      </c>
      <c r="N10" s="175">
        <f t="shared" si="10"/>
        <v>1</v>
      </c>
      <c r="O10" s="175"/>
      <c r="P10" s="175">
        <f t="shared" si="0"/>
        <v>0.97065699309474252</v>
      </c>
      <c r="Q10" s="175">
        <f t="shared" si="1"/>
        <v>0.85908722377350777</v>
      </c>
      <c r="R10" s="175">
        <f t="shared" si="2"/>
        <v>0.74751745445227291</v>
      </c>
      <c r="S10" s="175">
        <f t="shared" si="3"/>
        <v>0.61642297549982206</v>
      </c>
      <c r="T10" s="175">
        <f t="shared" si="4"/>
        <v>0.4853284965473712</v>
      </c>
      <c r="U10" s="175">
        <f t="shared" si="5"/>
        <v>0.35423401759492035</v>
      </c>
      <c r="V10" s="177">
        <f t="shared" si="6"/>
        <v>0.22313953864246949</v>
      </c>
    </row>
    <row r="11" spans="1:22" x14ac:dyDescent="0.25">
      <c r="A11" s="173" t="s">
        <v>91</v>
      </c>
      <c r="B11" s="178">
        <f>SUMIF(NEWAGE_reg!$B$2:$B$29,sce_4!$A11,NEWAGE_reg!$C$2:$C$29)</f>
        <v>184.75146052804283</v>
      </c>
      <c r="C11" s="179"/>
      <c r="D11" s="179">
        <f>SUMIF(AP5_Targets!$B$8:$B$35,sce_4!$A11,AP5_Targets!Q$8:Q$35)</f>
        <v>189.32682156080617</v>
      </c>
      <c r="E11" s="179">
        <f t="shared" si="7"/>
        <v>171.88882483810033</v>
      </c>
      <c r="F11" s="179">
        <f>SUMIF(AP5_Targets!$B$8:$B$35,sce_4!$A11,AP5_Targets!S$8:S$35)</f>
        <v>154.45082811539447</v>
      </c>
      <c r="G11" s="179">
        <f t="shared" ref="G11" si="13">(F11+H11)/2</f>
        <v>136.597640994529</v>
      </c>
      <c r="H11" s="179">
        <f>SUMIF(AP5_Targets!$B$8:$B$35,sce_4!$A11,AP5_Targets!U$8:U$35)</f>
        <v>118.7444538736635</v>
      </c>
      <c r="I11" s="179">
        <f t="shared" ref="I11" si="14">(H11+J11)/2</f>
        <v>100.891266752798</v>
      </c>
      <c r="J11" s="179">
        <f>SUMIF(AP5_Targets!$B$8:$B$35,sce_4!$A11,AP5_Targets!W$8:W$35)</f>
        <v>83.038079631932519</v>
      </c>
      <c r="K11" s="193"/>
      <c r="L11" s="203" t="s">
        <v>91</v>
      </c>
      <c r="M11" s="213" t="s">
        <v>112</v>
      </c>
      <c r="N11" s="178">
        <f t="shared" si="10"/>
        <v>1</v>
      </c>
      <c r="O11" s="178"/>
      <c r="P11" s="178">
        <f t="shared" si="0"/>
        <v>1.0247649518963822</v>
      </c>
      <c r="Q11" s="178">
        <f t="shared" si="1"/>
        <v>0.93037870632697861</v>
      </c>
      <c r="R11" s="178">
        <f t="shared" si="2"/>
        <v>0.83599246075757483</v>
      </c>
      <c r="S11" s="178">
        <f t="shared" si="3"/>
        <v>0.73935892362699507</v>
      </c>
      <c r="T11" s="178">
        <f t="shared" si="4"/>
        <v>0.64272538649641509</v>
      </c>
      <c r="U11" s="178">
        <f t="shared" si="5"/>
        <v>0.5460918493658351</v>
      </c>
      <c r="V11" s="180">
        <f t="shared" si="6"/>
        <v>0.44945831223525529</v>
      </c>
    </row>
    <row r="12" spans="1:22" x14ac:dyDescent="0.25">
      <c r="A12" s="172" t="s">
        <v>86</v>
      </c>
      <c r="B12" s="175">
        <f>SUMIF(NEWAGE_reg!$B$2:$B$29,sce_4!$A12,NEWAGE_reg!$C$2:$C$29)</f>
        <v>318.03906884435668</v>
      </c>
      <c r="C12" s="176"/>
      <c r="D12" s="176">
        <f>SUMIF(AP5_Targets!$B$8:$B$35,sce_4!$A12,AP5_Targets!Q$8:Q$35)</f>
        <v>311.85526550692305</v>
      </c>
      <c r="E12" s="176">
        <f t="shared" si="7"/>
        <v>272.87335731855768</v>
      </c>
      <c r="F12" s="176">
        <f>SUMIF(AP5_Targets!$B$8:$B$35,sce_4!$A12,AP5_Targets!S$8:S$35)</f>
        <v>233.89144913019229</v>
      </c>
      <c r="G12" s="176">
        <f t="shared" ref="G12" si="15">(F12+H12)/2</f>
        <v>193.98140027067535</v>
      </c>
      <c r="H12" s="176">
        <f>SUMIF(AP5_Targets!$B$8:$B$35,sce_4!$A12,AP5_Targets!U$8:U$35)</f>
        <v>154.07135141115842</v>
      </c>
      <c r="I12" s="176">
        <f t="shared" ref="I12" si="16">(H12+J12)/2</f>
        <v>114.16130255164147</v>
      </c>
      <c r="J12" s="176">
        <f>SUMIF(AP5_Targets!$B$8:$B$35,sce_4!$A12,AP5_Targets!W$8:W$35)</f>
        <v>74.251253692124521</v>
      </c>
      <c r="K12" s="193"/>
      <c r="L12" s="202" t="s">
        <v>86</v>
      </c>
      <c r="M12" s="212" t="s">
        <v>112</v>
      </c>
      <c r="N12" s="175">
        <f t="shared" si="10"/>
        <v>1</v>
      </c>
      <c r="O12" s="175"/>
      <c r="P12" s="175">
        <f t="shared" si="0"/>
        <v>0.98055646634891924</v>
      </c>
      <c r="Q12" s="175">
        <f t="shared" si="1"/>
        <v>0.85798690805530442</v>
      </c>
      <c r="R12" s="175">
        <f t="shared" si="2"/>
        <v>0.73541734976168949</v>
      </c>
      <c r="S12" s="175">
        <f t="shared" si="3"/>
        <v>0.60992946865155995</v>
      </c>
      <c r="T12" s="175">
        <f t="shared" si="4"/>
        <v>0.48444158754143035</v>
      </c>
      <c r="U12" s="175">
        <f t="shared" si="5"/>
        <v>0.35895370643130081</v>
      </c>
      <c r="V12" s="177">
        <f t="shared" si="6"/>
        <v>0.23346582532117122</v>
      </c>
    </row>
    <row r="13" spans="1:22" x14ac:dyDescent="0.25">
      <c r="A13" s="173" t="s">
        <v>84</v>
      </c>
      <c r="B13" s="178">
        <f>SUMIF(NEWAGE_reg!$B$2:$B$29,sce_4!$A13,NEWAGE_reg!$C$2:$C$29)</f>
        <v>238.16848497502417</v>
      </c>
      <c r="C13" s="179"/>
      <c r="D13" s="179">
        <f>SUMIF(AP5_Targets!$B$8:$B$35,sce_4!$A13,AP5_Targets!Q$8:Q$35)</f>
        <v>247.99324003019603</v>
      </c>
      <c r="E13" s="179">
        <f t="shared" si="7"/>
        <v>225.94036106880532</v>
      </c>
      <c r="F13" s="179">
        <f>SUMIF(AP5_Targets!$B$8:$B$35,sce_4!$A13,AP5_Targets!S$8:S$35)</f>
        <v>203.88748210741457</v>
      </c>
      <c r="G13" s="179">
        <f t="shared" ref="G13" si="17">(F13+H13)/2</f>
        <v>166.44454021780581</v>
      </c>
      <c r="H13" s="179">
        <f>SUMIF(AP5_Targets!$B$8:$B$35,sce_4!$A13,AP5_Targets!U$8:U$35)</f>
        <v>129.00159832819708</v>
      </c>
      <c r="I13" s="179">
        <f t="shared" ref="I13" si="18">(H13+J13)/2</f>
        <v>91.558656438588358</v>
      </c>
      <c r="J13" s="179">
        <f>SUMIF(AP5_Targets!$B$8:$B$35,sce_4!$A13,AP5_Targets!W$8:W$35)</f>
        <v>54.115714548979632</v>
      </c>
      <c r="K13" s="193"/>
      <c r="L13" s="203" t="s">
        <v>84</v>
      </c>
      <c r="M13" s="213" t="s">
        <v>112</v>
      </c>
      <c r="N13" s="178">
        <f t="shared" si="10"/>
        <v>1</v>
      </c>
      <c r="O13" s="178"/>
      <c r="P13" s="178">
        <f t="shared" si="0"/>
        <v>1.0412512808157728</v>
      </c>
      <c r="Q13" s="178">
        <f t="shared" si="1"/>
        <v>0.94865767438751958</v>
      </c>
      <c r="R13" s="178">
        <f t="shared" si="2"/>
        <v>0.85606406795926626</v>
      </c>
      <c r="S13" s="178">
        <f t="shared" si="3"/>
        <v>0.69885207623191714</v>
      </c>
      <c r="T13" s="178">
        <f t="shared" si="4"/>
        <v>0.54164008450456824</v>
      </c>
      <c r="U13" s="178">
        <f t="shared" si="5"/>
        <v>0.38442809277721934</v>
      </c>
      <c r="V13" s="180">
        <f t="shared" si="6"/>
        <v>0.22721610104987039</v>
      </c>
    </row>
    <row r="14" spans="1:22" x14ac:dyDescent="0.25">
      <c r="A14" s="172" t="s">
        <v>88</v>
      </c>
      <c r="B14" s="175">
        <f>SUMIF(NEWAGE_reg!$B$2:$B$29,sce_4!$A14,NEWAGE_reg!$C$2:$C$29)</f>
        <v>194.76706877726937</v>
      </c>
      <c r="C14" s="176"/>
      <c r="D14" s="176">
        <f>SUMIF(AP5_Targets!$B$8:$B$35,sce_4!$A14,AP5_Targets!Q$8:Q$35)</f>
        <v>170.79846919044058</v>
      </c>
      <c r="E14" s="176">
        <f t="shared" si="7"/>
        <v>150.50896744923537</v>
      </c>
      <c r="F14" s="176">
        <f>SUMIF(AP5_Targets!$B$8:$B$35,sce_4!$A14,AP5_Targets!S$8:S$35)</f>
        <v>130.21946570803016</v>
      </c>
      <c r="G14" s="176">
        <f t="shared" ref="G14" si="19">(F14+H14)/2</f>
        <v>107.80935015162522</v>
      </c>
      <c r="H14" s="176">
        <f>SUMIF(AP5_Targets!$B$8:$B$35,sce_4!$A14,AP5_Targets!U$8:U$35)</f>
        <v>85.399234595220292</v>
      </c>
      <c r="I14" s="176">
        <f t="shared" ref="I14" si="20">(H14+J14)/2</f>
        <v>62.989119038815353</v>
      </c>
      <c r="J14" s="176">
        <f>SUMIF(AP5_Targets!$B$8:$B$35,sce_4!$A14,AP5_Targets!W$8:W$35)</f>
        <v>40.579003482410414</v>
      </c>
      <c r="K14" s="193"/>
      <c r="L14" s="202" t="s">
        <v>88</v>
      </c>
      <c r="M14" s="212" t="s">
        <v>112</v>
      </c>
      <c r="N14" s="175">
        <f t="shared" si="10"/>
        <v>1</v>
      </c>
      <c r="O14" s="175"/>
      <c r="P14" s="175">
        <f t="shared" si="0"/>
        <v>0.87693710370391897</v>
      </c>
      <c r="Q14" s="175">
        <f t="shared" si="1"/>
        <v>0.77276393999312876</v>
      </c>
      <c r="R14" s="175">
        <f t="shared" si="2"/>
        <v>0.66859077628233854</v>
      </c>
      <c r="S14" s="175">
        <f t="shared" si="3"/>
        <v>0.55352966406714899</v>
      </c>
      <c r="T14" s="175">
        <f t="shared" si="4"/>
        <v>0.43846855185195949</v>
      </c>
      <c r="U14" s="175">
        <f t="shared" si="5"/>
        <v>0.32340743963676988</v>
      </c>
      <c r="V14" s="177">
        <f t="shared" si="6"/>
        <v>0.2083463274215803</v>
      </c>
    </row>
    <row r="15" spans="1:22" x14ac:dyDescent="0.25">
      <c r="A15" s="173" t="s">
        <v>90</v>
      </c>
      <c r="B15" s="178">
        <f>SUMIF(NEWAGE_reg!$B$2:$B$29,sce_4!$A15,NEWAGE_reg!$C$2:$C$29)</f>
        <v>168.82381683726044</v>
      </c>
      <c r="C15" s="179"/>
      <c r="D15" s="179">
        <f>SUMIF(AP5_Targets!$B$8:$B$35,sce_4!$A15,AP5_Targets!Q$8:Q$35)</f>
        <v>155.04963103987569</v>
      </c>
      <c r="E15" s="179">
        <f>(D15+F15)/2</f>
        <v>137.96434474088545</v>
      </c>
      <c r="F15" s="179">
        <f>SUMIF(AP5_Targets!$B$8:$B$35,sce_4!$A15,AP5_Targets!S$8:S$35)</f>
        <v>120.87905844189524</v>
      </c>
      <c r="G15" s="179">
        <f t="shared" ref="G15" si="21">(F15+H15)/2</f>
        <v>100.85542178710989</v>
      </c>
      <c r="H15" s="179">
        <f>SUMIF(AP5_Targets!$B$8:$B$35,sce_4!$A15,AP5_Targets!U$8:U$35)</f>
        <v>80.831785132324555</v>
      </c>
      <c r="I15" s="179">
        <f t="shared" ref="I15" si="22">(H15+J15)/2</f>
        <v>60.808148477539198</v>
      </c>
      <c r="J15" s="179">
        <f>SUMIF(AP5_Targets!$B$8:$B$35,sce_4!$A15,AP5_Targets!W$8:W$35)</f>
        <v>40.784511822753842</v>
      </c>
      <c r="K15" s="193"/>
      <c r="L15" s="203" t="s">
        <v>90</v>
      </c>
      <c r="M15" s="213" t="s">
        <v>112</v>
      </c>
      <c r="N15" s="178">
        <f t="shared" si="10"/>
        <v>1</v>
      </c>
      <c r="O15" s="178"/>
      <c r="P15" s="178">
        <f t="shared" si="0"/>
        <v>0.91841088505502444</v>
      </c>
      <c r="Q15" s="178">
        <f t="shared" si="1"/>
        <v>0.81720901307353855</v>
      </c>
      <c r="R15" s="178">
        <f t="shared" si="2"/>
        <v>0.71600714109205299</v>
      </c>
      <c r="S15" s="178">
        <f t="shared" si="3"/>
        <v>0.59740043600797499</v>
      </c>
      <c r="T15" s="178">
        <f t="shared" si="4"/>
        <v>0.47879373092389704</v>
      </c>
      <c r="U15" s="178">
        <f t="shared" si="5"/>
        <v>0.36018702583981904</v>
      </c>
      <c r="V15" s="180">
        <f t="shared" si="6"/>
        <v>0.24158032075574098</v>
      </c>
    </row>
    <row r="16" spans="1:22" ht="15.75" thickBot="1" x14ac:dyDescent="0.3">
      <c r="A16" s="174" t="s">
        <v>89</v>
      </c>
      <c r="B16" s="195">
        <f>SUMIF(NEWAGE_reg!$B$2:$B$29,sce_4!$A16,NEWAGE_reg!$C$2:$C$29)</f>
        <v>328.73528516056416</v>
      </c>
      <c r="C16" s="205"/>
      <c r="D16" s="205">
        <f>SUMIF(AP5_Targets!$B$8:$B$35,sce_4!$A16,AP5_Targets!Q$8:Q$35)</f>
        <v>379.17762751196415</v>
      </c>
      <c r="E16" s="205">
        <f t="shared" si="7"/>
        <v>344.80969391306292</v>
      </c>
      <c r="F16" s="205">
        <f>SUMIF(AP5_Targets!$B$8:$B$35,sce_4!$A16,AP5_Targets!S$8:S$35)</f>
        <v>310.44176031416168</v>
      </c>
      <c r="G16" s="205">
        <f t="shared" ref="G16" si="23">(F16+H16)/2</f>
        <v>267.36699261211714</v>
      </c>
      <c r="H16" s="205">
        <f>SUMIF(AP5_Targets!$B$8:$B$35,sce_4!$A16,AP5_Targets!U$8:U$35)</f>
        <v>224.29222491007263</v>
      </c>
      <c r="I16" s="205">
        <f t="shared" ref="I16" si="24">(H16+J16)/2</f>
        <v>181.21745720802812</v>
      </c>
      <c r="J16" s="205">
        <f>SUMIF(AP5_Targets!$B$8:$B$35,sce_4!$A16,AP5_Targets!W$8:W$35)</f>
        <v>138.14268950598358</v>
      </c>
      <c r="K16" s="193"/>
      <c r="L16" s="204" t="s">
        <v>89</v>
      </c>
      <c r="M16" s="214" t="s">
        <v>112</v>
      </c>
      <c r="N16" s="195">
        <f t="shared" si="10"/>
        <v>1</v>
      </c>
      <c r="O16" s="195"/>
      <c r="P16" s="195">
        <f t="shared" si="0"/>
        <v>1.1534436509508326</v>
      </c>
      <c r="Q16" s="195">
        <f t="shared" si="1"/>
        <v>1.0488977285923156</v>
      </c>
      <c r="R16" s="195">
        <f t="shared" si="2"/>
        <v>0.94435180623379877</v>
      </c>
      <c r="S16" s="195">
        <f t="shared" si="3"/>
        <v>0.81332003189595881</v>
      </c>
      <c r="T16" s="195">
        <f t="shared" si="4"/>
        <v>0.68228825755811884</v>
      </c>
      <c r="U16" s="195">
        <f t="shared" si="5"/>
        <v>0.55125648322027887</v>
      </c>
      <c r="V16" s="196">
        <f t="shared" si="6"/>
        <v>0.42022470888243879</v>
      </c>
    </row>
    <row r="17" spans="1:22" ht="15.75" thickBot="1" x14ac:dyDescent="0.3">
      <c r="A17" s="162"/>
      <c r="B17" s="163"/>
      <c r="C17" s="163"/>
      <c r="D17" s="163"/>
      <c r="E17" s="163"/>
      <c r="F17" s="163"/>
      <c r="G17" s="163"/>
      <c r="H17" s="163"/>
      <c r="I17" s="163"/>
      <c r="J17" s="164"/>
      <c r="K17" s="163"/>
    </row>
    <row r="18" spans="1:22" x14ac:dyDescent="0.25">
      <c r="A18" s="270" t="s">
        <v>100</v>
      </c>
      <c r="B18" s="271"/>
      <c r="C18" s="271"/>
      <c r="D18" s="271"/>
      <c r="E18" s="271"/>
      <c r="F18" s="271"/>
      <c r="G18" s="271"/>
      <c r="H18" s="271"/>
      <c r="I18" s="271"/>
      <c r="J18" s="272"/>
      <c r="K18" s="189"/>
      <c r="L18" s="273" t="s">
        <v>98</v>
      </c>
      <c r="M18" s="274"/>
      <c r="N18" s="274"/>
      <c r="O18" s="274"/>
      <c r="P18" s="274"/>
      <c r="Q18" s="274"/>
      <c r="R18" s="274"/>
      <c r="S18" s="274"/>
      <c r="T18" s="274"/>
      <c r="U18" s="274"/>
      <c r="V18" s="275"/>
    </row>
    <row r="19" spans="1:22" x14ac:dyDescent="0.25">
      <c r="A19" s="162"/>
      <c r="B19" s="165">
        <v>2011</v>
      </c>
      <c r="C19" s="165">
        <v>2015</v>
      </c>
      <c r="D19" s="165">
        <v>2020</v>
      </c>
      <c r="E19" s="165">
        <v>2025</v>
      </c>
      <c r="F19" s="165">
        <v>2030</v>
      </c>
      <c r="G19" s="165">
        <v>2035</v>
      </c>
      <c r="H19" s="165">
        <v>2040</v>
      </c>
      <c r="I19" s="165">
        <v>2045</v>
      </c>
      <c r="J19" s="166">
        <v>2050</v>
      </c>
      <c r="K19" s="165"/>
      <c r="L19" s="162"/>
      <c r="M19" s="163"/>
      <c r="N19" s="165">
        <v>2011</v>
      </c>
      <c r="O19" s="165">
        <v>2015</v>
      </c>
      <c r="P19" s="165">
        <v>2020</v>
      </c>
      <c r="Q19" s="167">
        <v>2025</v>
      </c>
      <c r="R19" s="165">
        <v>2030</v>
      </c>
      <c r="S19" s="165">
        <v>2035</v>
      </c>
      <c r="T19" s="165">
        <v>2040</v>
      </c>
      <c r="U19" s="165">
        <v>2045</v>
      </c>
      <c r="V19" s="166">
        <v>2050</v>
      </c>
    </row>
    <row r="20" spans="1:22" ht="15.75" thickBot="1" x14ac:dyDescent="0.3">
      <c r="A20" s="185" t="s">
        <v>87</v>
      </c>
      <c r="B20" s="183">
        <f>AP5_Targets!E37</f>
        <v>905.61661818257119</v>
      </c>
      <c r="C20" s="181" t="s">
        <v>102</v>
      </c>
      <c r="D20" s="208">
        <f>AP2_Targets!Q37</f>
        <v>726.69397878383052</v>
      </c>
      <c r="E20" s="184">
        <f t="shared" ref="E20" si="25">(D20+F20)/2</f>
        <v>575.29939987053251</v>
      </c>
      <c r="F20" s="208">
        <f>AP2_Targets!S37</f>
        <v>423.90482095723445</v>
      </c>
      <c r="G20" s="184">
        <f t="shared" ref="G20" si="26">(F20+H20)/2</f>
        <v>333.06807360925563</v>
      </c>
      <c r="H20" s="208">
        <f>AP2_Targets!U37</f>
        <v>242.23132626127688</v>
      </c>
      <c r="I20" s="184">
        <f t="shared" ref="I20" si="27">(H20+J20)/2</f>
        <v>151.39457891329806</v>
      </c>
      <c r="J20" s="209">
        <f>AP2_Targets!W37</f>
        <v>60.557831565319219</v>
      </c>
      <c r="L20" s="174" t="s">
        <v>87</v>
      </c>
      <c r="M20" s="215" t="s">
        <v>113</v>
      </c>
      <c r="N20" s="188">
        <f>IF(B20="-",0,B20/$B20)</f>
        <v>1</v>
      </c>
      <c r="O20" s="171"/>
      <c r="P20" s="195">
        <f t="shared" ref="P20:V20" si="28">IF(D20="-",0,D20/$B20)</f>
        <v>0.80243003959246018</v>
      </c>
      <c r="Q20" s="195">
        <f t="shared" si="28"/>
        <v>0.63525711467736434</v>
      </c>
      <c r="R20" s="195">
        <f t="shared" si="28"/>
        <v>0.46808418976226845</v>
      </c>
      <c r="S20" s="195">
        <f t="shared" si="28"/>
        <v>0.36778043481321093</v>
      </c>
      <c r="T20" s="195">
        <f t="shared" si="28"/>
        <v>0.26747667986415347</v>
      </c>
      <c r="U20" s="195">
        <f t="shared" si="28"/>
        <v>0.16717292491509592</v>
      </c>
      <c r="V20" s="196">
        <f t="shared" si="28"/>
        <v>6.6869169966038366E-2</v>
      </c>
    </row>
    <row r="21" spans="1:22" ht="15.75" thickBot="1" x14ac:dyDescent="0.3">
      <c r="A21" s="162"/>
      <c r="B21" s="163"/>
      <c r="C21" s="163"/>
      <c r="D21" s="163"/>
      <c r="E21" s="163"/>
      <c r="F21" s="163"/>
      <c r="G21" s="163"/>
      <c r="H21" s="163"/>
      <c r="I21" s="163"/>
      <c r="J21" s="164"/>
    </row>
    <row r="22" spans="1:22" x14ac:dyDescent="0.25">
      <c r="A22" s="270" t="s">
        <v>98</v>
      </c>
      <c r="B22" s="271"/>
      <c r="C22" s="271"/>
      <c r="D22" s="271"/>
      <c r="E22" s="271"/>
      <c r="F22" s="271"/>
      <c r="G22" s="271"/>
      <c r="H22" s="271"/>
      <c r="I22" s="271"/>
      <c r="J22" s="272"/>
      <c r="L22" s="273" t="s">
        <v>98</v>
      </c>
      <c r="M22" s="274"/>
      <c r="N22" s="274"/>
      <c r="O22" s="274"/>
      <c r="P22" s="274"/>
      <c r="Q22" s="274"/>
      <c r="R22" s="274"/>
      <c r="S22" s="274"/>
      <c r="T22" s="274"/>
      <c r="U22" s="274"/>
      <c r="V22" s="275"/>
    </row>
    <row r="23" spans="1:22" x14ac:dyDescent="0.25">
      <c r="A23" s="162"/>
      <c r="B23" s="165">
        <v>2011</v>
      </c>
      <c r="C23" s="165">
        <v>2015</v>
      </c>
      <c r="D23" s="165">
        <v>2020</v>
      </c>
      <c r="E23" s="167">
        <v>2025</v>
      </c>
      <c r="F23" s="165">
        <v>2030</v>
      </c>
      <c r="G23" s="165">
        <v>2035</v>
      </c>
      <c r="H23" s="165">
        <v>2040</v>
      </c>
      <c r="I23" s="165">
        <v>2045</v>
      </c>
      <c r="J23" s="166">
        <v>2050</v>
      </c>
      <c r="L23" s="162"/>
      <c r="M23" s="163"/>
      <c r="N23" s="165">
        <v>2011</v>
      </c>
      <c r="O23" s="165">
        <v>2015</v>
      </c>
      <c r="P23" s="165">
        <v>2020</v>
      </c>
      <c r="Q23" s="167">
        <v>2025</v>
      </c>
      <c r="R23" s="165">
        <v>2030</v>
      </c>
      <c r="S23" s="165">
        <v>2035</v>
      </c>
      <c r="T23" s="165">
        <v>2040</v>
      </c>
      <c r="U23" s="165">
        <v>2045</v>
      </c>
      <c r="V23" s="166">
        <v>2050</v>
      </c>
    </row>
    <row r="24" spans="1:22" ht="15.75" thickBot="1" x14ac:dyDescent="0.3">
      <c r="A24" s="174" t="s">
        <v>95</v>
      </c>
      <c r="B24" s="188">
        <f>NEWAGE_reg!$C$32</f>
        <v>1984.4704999999999</v>
      </c>
      <c r="C24" s="171"/>
      <c r="D24" s="188">
        <f>AP5_Targets!Q5</f>
        <v>1848.82041</v>
      </c>
      <c r="E24" s="205">
        <f t="shared" ref="E24" si="29">(D24+F24)/2</f>
        <v>1591.3897200000001</v>
      </c>
      <c r="F24" s="188">
        <f>AP5_Targets!S5</f>
        <v>1333.95903</v>
      </c>
      <c r="G24" s="205">
        <f t="shared" ref="G24" si="30">(F24+H24)/2</f>
        <v>1099.9311299999999</v>
      </c>
      <c r="H24" s="188">
        <f>AP5_Targets!U5</f>
        <v>865.90323000000001</v>
      </c>
      <c r="I24" s="205">
        <f t="shared" ref="I24" si="31">(H24+J24)/2</f>
        <v>631.87533000000008</v>
      </c>
      <c r="J24" s="188">
        <f>AP5_Targets!W5</f>
        <v>397.84743000000003</v>
      </c>
      <c r="L24" s="174" t="s">
        <v>114</v>
      </c>
      <c r="M24" s="215" t="s">
        <v>96</v>
      </c>
      <c r="N24" s="188">
        <f>B24/$B24</f>
        <v>1</v>
      </c>
      <c r="O24" s="171"/>
      <c r="P24" s="195">
        <f t="shared" ref="P24" si="32">D24/$B24</f>
        <v>0.93164418921823233</v>
      </c>
      <c r="Q24" s="195">
        <f t="shared" ref="Q24" si="33">E24/$B24</f>
        <v>0.80192158059290886</v>
      </c>
      <c r="R24" s="195">
        <f t="shared" ref="R24" si="34">F24/$B24</f>
        <v>0.67219897196758538</v>
      </c>
      <c r="S24" s="195">
        <f t="shared" ref="S24" si="35">G24/$B24</f>
        <v>0.55426932776274573</v>
      </c>
      <c r="T24" s="195">
        <f t="shared" ref="T24" si="36">H24/$B24</f>
        <v>0.43633968355790625</v>
      </c>
      <c r="U24" s="195">
        <f t="shared" ref="U24" si="37">I24/$B24</f>
        <v>0.31841003935306678</v>
      </c>
      <c r="V24" s="196">
        <f t="shared" ref="V24" si="38">J24/$B24</f>
        <v>0.20048039514822721</v>
      </c>
    </row>
    <row r="25" spans="1:22" ht="15.75" thickBot="1" x14ac:dyDescent="0.3"/>
    <row r="26" spans="1:22" x14ac:dyDescent="0.25">
      <c r="A26" s="270" t="s">
        <v>122</v>
      </c>
      <c r="B26" s="271"/>
      <c r="C26" s="271"/>
      <c r="D26" s="271"/>
      <c r="E26" s="271"/>
      <c r="F26" s="271"/>
      <c r="G26" s="271"/>
      <c r="H26" s="271"/>
      <c r="I26" s="271"/>
      <c r="J26" s="272"/>
      <c r="L26" s="273" t="s">
        <v>122</v>
      </c>
      <c r="M26" s="274"/>
      <c r="N26" s="274"/>
      <c r="O26" s="274"/>
      <c r="P26" s="274"/>
      <c r="Q26" s="274"/>
      <c r="R26" s="274"/>
      <c r="S26" s="274"/>
      <c r="T26" s="274"/>
      <c r="U26" s="274"/>
      <c r="V26" s="275"/>
    </row>
    <row r="27" spans="1:22" x14ac:dyDescent="0.25">
      <c r="A27" s="162"/>
      <c r="B27" s="165">
        <v>2011</v>
      </c>
      <c r="C27" s="165">
        <v>2015</v>
      </c>
      <c r="D27" s="165">
        <v>2020</v>
      </c>
      <c r="E27" s="167">
        <v>2025</v>
      </c>
      <c r="F27" s="165">
        <v>2030</v>
      </c>
      <c r="G27" s="165">
        <v>2035</v>
      </c>
      <c r="H27" s="165">
        <v>2040</v>
      </c>
      <c r="I27" s="165">
        <v>2045</v>
      </c>
      <c r="J27" s="166">
        <v>2050</v>
      </c>
      <c r="L27" s="162"/>
      <c r="M27" s="163"/>
      <c r="N27" s="165">
        <v>2011</v>
      </c>
      <c r="O27" s="165">
        <v>2015</v>
      </c>
      <c r="P27" s="165">
        <v>2020</v>
      </c>
      <c r="Q27" s="167">
        <v>2025</v>
      </c>
      <c r="R27" s="165">
        <v>2030</v>
      </c>
      <c r="S27" s="165">
        <v>2035</v>
      </c>
      <c r="T27" s="165">
        <v>2040</v>
      </c>
      <c r="U27" s="165">
        <v>2045</v>
      </c>
      <c r="V27" s="166">
        <v>2050</v>
      </c>
    </row>
    <row r="28" spans="1:22" ht="15.75" thickBot="1" x14ac:dyDescent="0.3">
      <c r="A28" s="174" t="s">
        <v>95</v>
      </c>
      <c r="B28" s="188">
        <f>sce_7!B24+SUM(sce_7!B8:B16)</f>
        <v>4484.0908693917645</v>
      </c>
      <c r="C28" s="171"/>
      <c r="D28" s="188">
        <f>sce_7!D24+SUM(sce_7!D8:D16)</f>
        <v>4301.4999952984417</v>
      </c>
      <c r="E28" s="168">
        <f>(D28+F28)/2</f>
        <v>3357.690394895973</v>
      </c>
      <c r="F28" s="188">
        <f>sce_7!F24+SUM(sce_7!F8:F16)</f>
        <v>2413.8807944935043</v>
      </c>
      <c r="G28" s="168">
        <f>(F28+H28)/2</f>
        <v>1872.4487073140517</v>
      </c>
      <c r="H28" s="188">
        <f>sce_7!H24+SUM(sce_7!H8:H16)</f>
        <v>1331.0166201345994</v>
      </c>
      <c r="I28" s="168">
        <f>(H28+J28)/2</f>
        <v>789.5845329551471</v>
      </c>
      <c r="J28" s="188">
        <f>sce_7!J24+SUM(sce_7!J8:J16)</f>
        <v>248.15244577569473</v>
      </c>
      <c r="L28" s="174" t="s">
        <v>114</v>
      </c>
      <c r="M28" s="215" t="s">
        <v>123</v>
      </c>
      <c r="N28" s="188">
        <f>B28/$B28</f>
        <v>1</v>
      </c>
      <c r="O28" s="171"/>
      <c r="P28" s="188">
        <f>D28/$B28</f>
        <v>0.95928029127605752</v>
      </c>
      <c r="Q28" s="188">
        <f t="shared" ref="Q28" si="39">E28/$B28</f>
        <v>0.74880070290623257</v>
      </c>
      <c r="R28" s="188">
        <f t="shared" ref="R28" si="40">F28/$B28</f>
        <v>0.53832111453640774</v>
      </c>
      <c r="S28" s="188">
        <f t="shared" ref="S28" si="41">G28/$B28</f>
        <v>0.41757599519120275</v>
      </c>
      <c r="T28" s="188">
        <f t="shared" ref="T28" si="42">H28/$B28</f>
        <v>0.29683087584599788</v>
      </c>
      <c r="U28" s="188">
        <f t="shared" ref="U28" si="43">I28/$B28</f>
        <v>0.17608575650079292</v>
      </c>
      <c r="V28" s="197">
        <f t="shared" ref="V28" si="44">J28/$B28</f>
        <v>5.5340637155587992E-2</v>
      </c>
    </row>
  </sheetData>
  <mergeCells count="12">
    <mergeCell ref="A26:J26"/>
    <mergeCell ref="L26:V26"/>
    <mergeCell ref="A18:J18"/>
    <mergeCell ref="A22:J22"/>
    <mergeCell ref="A1:H2"/>
    <mergeCell ref="A4:J4"/>
    <mergeCell ref="L4:V4"/>
    <mergeCell ref="E5:F5"/>
    <mergeCell ref="A6:J6"/>
    <mergeCell ref="L6:V6"/>
    <mergeCell ref="L22:V22"/>
    <mergeCell ref="L18:V18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"/>
  <sheetViews>
    <sheetView workbookViewId="0">
      <selection activeCell="L26" sqref="L26"/>
    </sheetView>
  </sheetViews>
  <sheetFormatPr baseColWidth="10" defaultColWidth="8.7109375" defaultRowHeight="15" x14ac:dyDescent="0.25"/>
  <sheetData>
    <row r="1" spans="1:22" x14ac:dyDescent="0.25">
      <c r="A1" s="264" t="s">
        <v>107</v>
      </c>
      <c r="B1" s="265"/>
      <c r="C1" s="265"/>
      <c r="D1" s="265"/>
      <c r="E1" s="265"/>
      <c r="F1" s="265"/>
      <c r="G1" s="265"/>
      <c r="H1" s="266"/>
    </row>
    <row r="2" spans="1:22" ht="15.75" thickBot="1" x14ac:dyDescent="0.3">
      <c r="A2" s="267"/>
      <c r="B2" s="268"/>
      <c r="C2" s="268"/>
      <c r="D2" s="268"/>
      <c r="E2" s="268"/>
      <c r="F2" s="268"/>
      <c r="G2" s="268"/>
      <c r="H2" s="269"/>
    </row>
    <row r="3" spans="1:22" ht="15.75" thickBot="1" x14ac:dyDescent="0.3">
      <c r="L3" t="s">
        <v>103</v>
      </c>
    </row>
    <row r="4" spans="1:22" x14ac:dyDescent="0.25">
      <c r="A4" s="276" t="s">
        <v>101</v>
      </c>
      <c r="B4" s="277"/>
      <c r="C4" s="277"/>
      <c r="D4" s="277"/>
      <c r="E4" s="277"/>
      <c r="F4" s="277"/>
      <c r="G4" s="277"/>
      <c r="H4" s="277"/>
      <c r="I4" s="277"/>
      <c r="J4" s="278"/>
      <c r="K4" s="194"/>
      <c r="L4" s="280" t="s">
        <v>105</v>
      </c>
      <c r="M4" s="281"/>
      <c r="N4" s="281"/>
      <c r="O4" s="281"/>
      <c r="P4" s="281"/>
      <c r="Q4" s="281"/>
      <c r="R4" s="281"/>
      <c r="S4" s="281"/>
      <c r="T4" s="281"/>
      <c r="U4" s="281"/>
      <c r="V4" s="282"/>
    </row>
    <row r="5" spans="1:22" x14ac:dyDescent="0.25">
      <c r="A5" s="162"/>
      <c r="B5" s="163"/>
      <c r="C5" s="163"/>
      <c r="D5" s="163"/>
      <c r="E5" s="279" t="s">
        <v>104</v>
      </c>
      <c r="F5" s="279"/>
      <c r="G5" s="163"/>
      <c r="H5" s="163"/>
      <c r="I5" s="163"/>
      <c r="J5" s="164"/>
      <c r="K5" s="163"/>
      <c r="L5" s="162"/>
      <c r="M5" s="163"/>
      <c r="N5" s="163"/>
      <c r="O5" s="163"/>
      <c r="P5" s="163"/>
      <c r="Q5" s="163"/>
      <c r="R5" s="163"/>
      <c r="S5" s="163"/>
      <c r="T5" s="163"/>
      <c r="U5" s="163"/>
      <c r="V5" s="164"/>
    </row>
    <row r="6" spans="1:22" x14ac:dyDescent="0.25">
      <c r="A6" s="270" t="s">
        <v>99</v>
      </c>
      <c r="B6" s="271"/>
      <c r="C6" s="271"/>
      <c r="D6" s="271"/>
      <c r="E6" s="271"/>
      <c r="F6" s="271"/>
      <c r="G6" s="271"/>
      <c r="H6" s="271"/>
      <c r="I6" s="271"/>
      <c r="J6" s="272"/>
      <c r="K6" s="189"/>
      <c r="L6" s="283" t="s">
        <v>99</v>
      </c>
      <c r="M6" s="284"/>
      <c r="N6" s="284"/>
      <c r="O6" s="284"/>
      <c r="P6" s="284"/>
      <c r="Q6" s="284"/>
      <c r="R6" s="284"/>
      <c r="S6" s="284"/>
      <c r="T6" s="284"/>
      <c r="U6" s="284"/>
      <c r="V6" s="285"/>
    </row>
    <row r="7" spans="1:22" x14ac:dyDescent="0.25">
      <c r="A7" s="169"/>
      <c r="B7" s="167">
        <v>2011</v>
      </c>
      <c r="C7" s="170">
        <v>2015</v>
      </c>
      <c r="D7" s="170">
        <v>2020</v>
      </c>
      <c r="E7" s="170">
        <v>2025</v>
      </c>
      <c r="F7" s="170">
        <v>2030</v>
      </c>
      <c r="G7" s="170">
        <v>2035</v>
      </c>
      <c r="H7" s="170">
        <v>2040</v>
      </c>
      <c r="I7" s="170">
        <v>2045</v>
      </c>
      <c r="J7" s="166">
        <v>2050</v>
      </c>
      <c r="K7" s="192"/>
      <c r="L7" s="201"/>
      <c r="M7" s="211"/>
      <c r="N7" s="200">
        <v>2011</v>
      </c>
      <c r="O7" s="198">
        <v>2015</v>
      </c>
      <c r="P7" s="198">
        <v>2020</v>
      </c>
      <c r="Q7" s="198">
        <v>2025</v>
      </c>
      <c r="R7" s="198">
        <v>2030</v>
      </c>
      <c r="S7" s="198">
        <v>2035</v>
      </c>
      <c r="T7" s="198">
        <v>2040</v>
      </c>
      <c r="U7" s="198">
        <v>2045</v>
      </c>
      <c r="V7" s="199">
        <v>2050</v>
      </c>
    </row>
    <row r="8" spans="1:22" x14ac:dyDescent="0.25">
      <c r="A8" s="172" t="s">
        <v>87</v>
      </c>
      <c r="B8" s="175">
        <f>SUMIF(NEWAGE_reg!$B$2:$B$29,sce_5!$A8,NEWAGE_reg!$C$2:$C$29)</f>
        <v>431.12531818257122</v>
      </c>
      <c r="C8" s="176"/>
      <c r="D8" s="176">
        <f>SUMIF(AP5_Targets!$B$8:$B$35,sce_5!$A8,AP5_Targets!Z$8:Z$35)</f>
        <v>393.01826778999032</v>
      </c>
      <c r="E8" s="176">
        <f>(D8+F8)/2</f>
        <v>338.17850949371257</v>
      </c>
      <c r="F8" s="176">
        <f>SUMIF(AP5_Targets!$B$8:$B$35,sce_5!$A8,AP5_Targets!AB$8:AB$35)</f>
        <v>283.33875119743487</v>
      </c>
      <c r="G8" s="176">
        <f>(F8+H8)/2</f>
        <v>219.60494422306255</v>
      </c>
      <c r="H8" s="176">
        <f>SUMIF(AP5_Targets!$B$8:$B$35,sce_5!$A8,AP5_Targets!AD$8:AD$35)</f>
        <v>155.87113724869019</v>
      </c>
      <c r="I8" s="176">
        <f>(H8+J8)/2</f>
        <v>92.137330274317861</v>
      </c>
      <c r="J8" s="176">
        <f>SUMIF(AP5_Targets!$B$8:$B$35,sce_5!$A8,AP5_Targets!AF$8:AF$35)</f>
        <v>28.403523299945526</v>
      </c>
      <c r="K8" s="193"/>
      <c r="L8" s="202" t="s">
        <v>87</v>
      </c>
      <c r="M8" s="212" t="s">
        <v>112</v>
      </c>
      <c r="N8" s="175">
        <f>B8/$B8</f>
        <v>1</v>
      </c>
      <c r="O8" s="175"/>
      <c r="P8" s="175">
        <f t="shared" ref="P8:V16" si="0">D8/$B8</f>
        <v>0.91161027018032037</v>
      </c>
      <c r="Q8" s="175">
        <f t="shared" si="0"/>
        <v>0.78440883713190346</v>
      </c>
      <c r="R8" s="175">
        <f t="shared" si="0"/>
        <v>0.65720740408348677</v>
      </c>
      <c r="S8" s="175">
        <f t="shared" si="0"/>
        <v>0.50937612559804513</v>
      </c>
      <c r="T8" s="175">
        <f t="shared" si="0"/>
        <v>0.36154484711260337</v>
      </c>
      <c r="U8" s="175">
        <f t="shared" si="0"/>
        <v>0.2137135686271617</v>
      </c>
      <c r="V8" s="177">
        <f t="shared" si="0"/>
        <v>6.5882290141720035E-2</v>
      </c>
    </row>
    <row r="9" spans="1:22" x14ac:dyDescent="0.25">
      <c r="A9" s="173" t="s">
        <v>83</v>
      </c>
      <c r="B9" s="178">
        <f>SUMIF(NEWAGE_reg!$B$2:$B$29,sce_5!$A9,NEWAGE_reg!$C$2:$C$29)</f>
        <v>350.97888858284506</v>
      </c>
      <c r="C9" s="179"/>
      <c r="D9" s="179">
        <f>SUMIF(AP5_Targets!$B$8:$B$35,sce_5!$A9,AP5_Targets!Z$8:Z$35)</f>
        <v>329.56947669999886</v>
      </c>
      <c r="E9" s="179">
        <f t="shared" ref="E9:G16" si="1">(D9+F9)/2</f>
        <v>285.49913969941764</v>
      </c>
      <c r="F9" s="179">
        <f>SUMIF(AP5_Targets!$B$8:$B$35,sce_5!$A9,AP5_Targets!AB$8:AB$35)</f>
        <v>241.42880269883639</v>
      </c>
      <c r="G9" s="179">
        <f t="shared" si="1"/>
        <v>187.12215864032765</v>
      </c>
      <c r="H9" s="179">
        <f>SUMIF(AP5_Targets!$B$8:$B$35,sce_5!$A9,AP5_Targets!AD$8:AD$35)</f>
        <v>132.81551458181892</v>
      </c>
      <c r="I9" s="179">
        <f t="shared" ref="I9" si="2">(H9+J9)/2</f>
        <v>78.508870523310179</v>
      </c>
      <c r="J9" s="179">
        <f>SUMIF(AP5_Targets!$B$8:$B$35,sce_5!$A9,AP5_Targets!AF$8:AF$35)</f>
        <v>24.202226464801452</v>
      </c>
      <c r="K9" s="193"/>
      <c r="L9" s="203" t="s">
        <v>83</v>
      </c>
      <c r="M9" s="213" t="s">
        <v>112</v>
      </c>
      <c r="N9" s="178">
        <f t="shared" ref="N9:N16" si="3">B9/$B9</f>
        <v>1</v>
      </c>
      <c r="O9" s="178"/>
      <c r="P9" s="178">
        <f t="shared" si="0"/>
        <v>0.93900085566601621</v>
      </c>
      <c r="Q9" s="178">
        <f t="shared" si="0"/>
        <v>0.81343678775718853</v>
      </c>
      <c r="R9" s="178">
        <f t="shared" si="0"/>
        <v>0.68787271984836074</v>
      </c>
      <c r="S9" s="178">
        <f t="shared" si="0"/>
        <v>0.53314362979458618</v>
      </c>
      <c r="T9" s="178">
        <f t="shared" si="0"/>
        <v>0.37841453974081163</v>
      </c>
      <c r="U9" s="178">
        <f t="shared" si="0"/>
        <v>0.22368544968703707</v>
      </c>
      <c r="V9" s="180">
        <f t="shared" si="0"/>
        <v>6.8956359633262548E-2</v>
      </c>
    </row>
    <row r="10" spans="1:22" x14ac:dyDescent="0.25">
      <c r="A10" s="172" t="s">
        <v>85</v>
      </c>
      <c r="B10" s="175">
        <f>SUMIF(NEWAGE_reg!$B$2:$B$29,sce_5!$A10,NEWAGE_reg!$C$2:$C$29)</f>
        <v>284.2309775038301</v>
      </c>
      <c r="C10" s="176"/>
      <c r="D10" s="176">
        <f>SUMIF(AP5_Targets!$B$8:$B$35,sce_5!$A10,AP5_Targets!Z$8:Z$35)</f>
        <v>275.89078596824714</v>
      </c>
      <c r="E10" s="176">
        <f t="shared" si="1"/>
        <v>244.17920137419574</v>
      </c>
      <c r="F10" s="176">
        <f>SUMIF(AP5_Targets!$B$8:$B$35,sce_5!$A10,AP5_Targets!AB$8:AB$35)</f>
        <v>212.46761678014434</v>
      </c>
      <c r="G10" s="176">
        <f t="shared" si="1"/>
        <v>164.67545979864204</v>
      </c>
      <c r="H10" s="176">
        <f>SUMIF(AP5_Targets!$B$8:$B$35,sce_5!$A10,AP5_Targets!AD$8:AD$35)</f>
        <v>116.88330281713972</v>
      </c>
      <c r="I10" s="176">
        <f t="shared" ref="I10" si="4">(H10+J10)/2</f>
        <v>69.09114583563742</v>
      </c>
      <c r="J10" s="176">
        <f>SUMIF(AP5_Targets!$B$8:$B$35,sce_5!$A10,AP5_Targets!AF$8:AF$35)</f>
        <v>21.298988854135111</v>
      </c>
      <c r="K10" s="193"/>
      <c r="L10" s="202" t="s">
        <v>85</v>
      </c>
      <c r="M10" s="212" t="s">
        <v>112</v>
      </c>
      <c r="N10" s="175">
        <f t="shared" si="3"/>
        <v>1</v>
      </c>
      <c r="O10" s="175"/>
      <c r="P10" s="175">
        <f t="shared" si="0"/>
        <v>0.97065699309474252</v>
      </c>
      <c r="Q10" s="175">
        <f t="shared" si="0"/>
        <v>0.85908722377350777</v>
      </c>
      <c r="R10" s="175">
        <f t="shared" si="0"/>
        <v>0.74751745445227291</v>
      </c>
      <c r="S10" s="175">
        <f t="shared" si="0"/>
        <v>0.5793719644665507</v>
      </c>
      <c r="T10" s="175">
        <f t="shared" si="0"/>
        <v>0.4112264744808285</v>
      </c>
      <c r="U10" s="175">
        <f t="shared" si="0"/>
        <v>0.24308098449510626</v>
      </c>
      <c r="V10" s="177">
        <f t="shared" si="0"/>
        <v>7.4935494509384012E-2</v>
      </c>
    </row>
    <row r="11" spans="1:22" x14ac:dyDescent="0.25">
      <c r="A11" s="173" t="s">
        <v>91</v>
      </c>
      <c r="B11" s="178">
        <f>SUMIF(NEWAGE_reg!$B$2:$B$29,sce_5!$A11,NEWAGE_reg!$C$2:$C$29)</f>
        <v>184.75146052804283</v>
      </c>
      <c r="C11" s="179"/>
      <c r="D11" s="179">
        <f>SUMIF(AP5_Targets!$B$8:$B$35,sce_5!$A11,AP5_Targets!Z$8:Z$35)</f>
        <v>189.32682156080617</v>
      </c>
      <c r="E11" s="179">
        <f t="shared" si="1"/>
        <v>171.88882483810033</v>
      </c>
      <c r="F11" s="179">
        <f>SUMIF(AP5_Targets!$B$8:$B$35,sce_5!$A11,AP5_Targets!AB$8:AB$35)</f>
        <v>154.45082811539447</v>
      </c>
      <c r="G11" s="179">
        <f t="shared" si="1"/>
        <v>119.70888327185544</v>
      </c>
      <c r="H11" s="179">
        <f>SUMIF(AP5_Targets!$B$8:$B$35,sce_5!$A11,AP5_Targets!AD$8:AD$35)</f>
        <v>84.966938428316411</v>
      </c>
      <c r="I11" s="179">
        <f t="shared" ref="I11" si="5">(H11+J11)/2</f>
        <v>50.22499358477738</v>
      </c>
      <c r="J11" s="179">
        <f>SUMIF(AP5_Targets!$B$8:$B$35,sce_5!$A11,AP5_Targets!AF$8:AF$35)</f>
        <v>15.483048741238344</v>
      </c>
      <c r="K11" s="193"/>
      <c r="L11" s="203" t="s">
        <v>91</v>
      </c>
      <c r="M11" s="213" t="s">
        <v>112</v>
      </c>
      <c r="N11" s="178">
        <f t="shared" si="3"/>
        <v>1</v>
      </c>
      <c r="O11" s="178"/>
      <c r="P11" s="178">
        <f t="shared" si="0"/>
        <v>1.0247649518963822</v>
      </c>
      <c r="Q11" s="178">
        <f t="shared" si="0"/>
        <v>0.93037870632697861</v>
      </c>
      <c r="R11" s="178">
        <f t="shared" si="0"/>
        <v>0.83599246075757483</v>
      </c>
      <c r="S11" s="178">
        <f t="shared" si="0"/>
        <v>0.64794553141670685</v>
      </c>
      <c r="T11" s="178">
        <f t="shared" si="0"/>
        <v>0.45989860207583882</v>
      </c>
      <c r="U11" s="178">
        <f t="shared" si="0"/>
        <v>0.27185167273497085</v>
      </c>
      <c r="V11" s="180">
        <f t="shared" si="0"/>
        <v>8.3804743394102807E-2</v>
      </c>
    </row>
    <row r="12" spans="1:22" x14ac:dyDescent="0.25">
      <c r="A12" s="172" t="s">
        <v>86</v>
      </c>
      <c r="B12" s="175">
        <f>SUMIF(NEWAGE_reg!$B$2:$B$29,sce_5!$A12,NEWAGE_reg!$C$2:$C$29)</f>
        <v>318.03906884435668</v>
      </c>
      <c r="C12" s="176"/>
      <c r="D12" s="176">
        <f>SUMIF(AP5_Targets!$B$8:$B$35,sce_5!$A12,AP5_Targets!Z$8:Z$35)</f>
        <v>311.85526550692305</v>
      </c>
      <c r="E12" s="176">
        <f t="shared" si="1"/>
        <v>272.87335731855768</v>
      </c>
      <c r="F12" s="176">
        <f>SUMIF(AP5_Targets!$B$8:$B$35,sce_5!$A12,AP5_Targets!AB$8:AB$35)</f>
        <v>233.89144913019229</v>
      </c>
      <c r="G12" s="176">
        <f t="shared" si="1"/>
        <v>181.2802464308742</v>
      </c>
      <c r="H12" s="176">
        <f>SUMIF(AP5_Targets!$B$8:$B$35,sce_5!$A12,AP5_Targets!AD$8:AD$35)</f>
        <v>128.66904373155612</v>
      </c>
      <c r="I12" s="176">
        <f t="shared" ref="I12" si="6">(H12+J12)/2</f>
        <v>76.057841032238031</v>
      </c>
      <c r="J12" s="176">
        <f>SUMIF(AP5_Targets!$B$8:$B$35,sce_5!$A12,AP5_Targets!AF$8:AF$35)</f>
        <v>23.446638332919935</v>
      </c>
      <c r="K12" s="193"/>
      <c r="L12" s="202" t="s">
        <v>86</v>
      </c>
      <c r="M12" s="212" t="s">
        <v>112</v>
      </c>
      <c r="N12" s="175">
        <f t="shared" si="3"/>
        <v>1</v>
      </c>
      <c r="O12" s="175"/>
      <c r="P12" s="175">
        <f t="shared" si="0"/>
        <v>0.98055646634891924</v>
      </c>
      <c r="Q12" s="175">
        <f t="shared" si="0"/>
        <v>0.85798690805530442</v>
      </c>
      <c r="R12" s="175">
        <f t="shared" si="0"/>
        <v>0.73541734976168949</v>
      </c>
      <c r="S12" s="175">
        <f t="shared" si="0"/>
        <v>0.56999363974238615</v>
      </c>
      <c r="T12" s="175">
        <f t="shared" si="0"/>
        <v>0.40456992972308292</v>
      </c>
      <c r="U12" s="175">
        <f t="shared" si="0"/>
        <v>0.23914621970377967</v>
      </c>
      <c r="V12" s="177">
        <f t="shared" si="0"/>
        <v>7.3722509684476384E-2</v>
      </c>
    </row>
    <row r="13" spans="1:22" x14ac:dyDescent="0.25">
      <c r="A13" s="173" t="s">
        <v>84</v>
      </c>
      <c r="B13" s="178">
        <f>SUMIF(NEWAGE_reg!$B$2:$B$29,sce_5!$A13,NEWAGE_reg!$C$2:$C$29)</f>
        <v>238.16848497502417</v>
      </c>
      <c r="C13" s="179"/>
      <c r="D13" s="179">
        <f>SUMIF(AP5_Targets!$B$8:$B$35,sce_5!$A13,AP5_Targets!Z$8:Z$35)</f>
        <v>247.99324003019603</v>
      </c>
      <c r="E13" s="179">
        <f t="shared" si="1"/>
        <v>225.94036106880532</v>
      </c>
      <c r="F13" s="179">
        <f>SUMIF(AP5_Targets!$B$8:$B$35,sce_5!$A13,AP5_Targets!AB$8:AB$35)</f>
        <v>203.88748210741457</v>
      </c>
      <c r="G13" s="179">
        <f t="shared" si="1"/>
        <v>158.02532815138909</v>
      </c>
      <c r="H13" s="179">
        <f>SUMIF(AP5_Targets!$B$8:$B$35,sce_5!$A13,AP5_Targets!AD$8:AD$35)</f>
        <v>112.16317419536362</v>
      </c>
      <c r="I13" s="179">
        <f t="shared" ref="I13" si="7">(H13+J13)/2</f>
        <v>66.301020239338158</v>
      </c>
      <c r="J13" s="179">
        <f>SUMIF(AP5_Targets!$B$8:$B$35,sce_5!$A13,AP5_Targets!AF$8:AF$35)</f>
        <v>20.438866283312692</v>
      </c>
      <c r="K13" s="193"/>
      <c r="L13" s="203" t="s">
        <v>84</v>
      </c>
      <c r="M13" s="213" t="s">
        <v>112</v>
      </c>
      <c r="N13" s="178">
        <f t="shared" si="3"/>
        <v>1</v>
      </c>
      <c r="O13" s="178"/>
      <c r="P13" s="178">
        <f t="shared" si="0"/>
        <v>1.0412512808157728</v>
      </c>
      <c r="Q13" s="178">
        <f t="shared" si="0"/>
        <v>0.94865767438751958</v>
      </c>
      <c r="R13" s="178">
        <f t="shared" si="0"/>
        <v>0.85606406795926626</v>
      </c>
      <c r="S13" s="178">
        <f t="shared" si="0"/>
        <v>0.66350226046053329</v>
      </c>
      <c r="T13" s="178">
        <f t="shared" si="0"/>
        <v>0.47094045296180037</v>
      </c>
      <c r="U13" s="178">
        <f t="shared" si="0"/>
        <v>0.27837864546306745</v>
      </c>
      <c r="V13" s="180">
        <f t="shared" si="0"/>
        <v>8.5816837964334522E-2</v>
      </c>
    </row>
    <row r="14" spans="1:22" x14ac:dyDescent="0.25">
      <c r="A14" s="172" t="s">
        <v>88</v>
      </c>
      <c r="B14" s="175">
        <f>SUMIF(NEWAGE_reg!$B$2:$B$29,sce_5!$A14,NEWAGE_reg!$C$2:$C$29)</f>
        <v>194.76706877726937</v>
      </c>
      <c r="C14" s="176"/>
      <c r="D14" s="176">
        <f>SUMIF(AP5_Targets!$B$8:$B$35,sce_5!$A14,AP5_Targets!Z$8:Z$35)</f>
        <v>170.79846919044058</v>
      </c>
      <c r="E14" s="176">
        <f t="shared" si="1"/>
        <v>150.50896744923537</v>
      </c>
      <c r="F14" s="176">
        <f>SUMIF(AP5_Targets!$B$8:$B$35,sce_5!$A14,AP5_Targets!AB$8:AB$35)</f>
        <v>130.21946570803016</v>
      </c>
      <c r="G14" s="176">
        <f t="shared" si="1"/>
        <v>100.92808831377337</v>
      </c>
      <c r="H14" s="176">
        <f>SUMIF(AP5_Targets!$B$8:$B$35,sce_5!$A14,AP5_Targets!AD$8:AD$35)</f>
        <v>71.636710919516588</v>
      </c>
      <c r="I14" s="176">
        <f t="shared" ref="I14" si="8">(H14+J14)/2</f>
        <v>42.345333525259797</v>
      </c>
      <c r="J14" s="176">
        <f>SUMIF(AP5_Targets!$B$8:$B$35,sce_5!$A14,AP5_Targets!AF$8:AF$35)</f>
        <v>13.053956131003011</v>
      </c>
      <c r="K14" s="193"/>
      <c r="L14" s="202" t="s">
        <v>88</v>
      </c>
      <c r="M14" s="212" t="s">
        <v>112</v>
      </c>
      <c r="N14" s="175">
        <f t="shared" si="3"/>
        <v>1</v>
      </c>
      <c r="O14" s="175"/>
      <c r="P14" s="175">
        <f t="shared" si="0"/>
        <v>0.87693710370391897</v>
      </c>
      <c r="Q14" s="175">
        <f t="shared" si="0"/>
        <v>0.77276393999312876</v>
      </c>
      <c r="R14" s="175">
        <f t="shared" si="0"/>
        <v>0.66859077628233854</v>
      </c>
      <c r="S14" s="175">
        <f t="shared" si="0"/>
        <v>0.518198938595683</v>
      </c>
      <c r="T14" s="175">
        <f t="shared" si="0"/>
        <v>0.36780710090902735</v>
      </c>
      <c r="U14" s="175">
        <f t="shared" si="0"/>
        <v>0.21741526322237173</v>
      </c>
      <c r="V14" s="177">
        <f t="shared" si="0"/>
        <v>6.7023425535716108E-2</v>
      </c>
    </row>
    <row r="15" spans="1:22" x14ac:dyDescent="0.25">
      <c r="A15" s="173" t="s">
        <v>90</v>
      </c>
      <c r="B15" s="178">
        <f>SUMIF(NEWAGE_reg!$B$2:$B$29,sce_5!$A15,NEWAGE_reg!$C$2:$C$29)</f>
        <v>168.82381683726044</v>
      </c>
      <c r="C15" s="179"/>
      <c r="D15" s="179">
        <f>SUMIF(AP5_Targets!$B$8:$B$35,sce_5!$A15,AP5_Targets!Z$8:Z$35)</f>
        <v>155.04963103987569</v>
      </c>
      <c r="E15" s="179">
        <f>(D15+F15)/2</f>
        <v>137.96434474088545</v>
      </c>
      <c r="F15" s="179">
        <f>SUMIF(AP5_Targets!$B$8:$B$35,sce_5!$A15,AP5_Targets!AB$8:AB$35)</f>
        <v>120.87905844189524</v>
      </c>
      <c r="G15" s="179">
        <f>(F15+H15)/2</f>
        <v>93.688698685522553</v>
      </c>
      <c r="H15" s="179">
        <f>SUMIF(AP5_Targets!$B$8:$B$35,sce_5!$A15,AP5_Targets!AD$8:AD$35)</f>
        <v>66.498338929149881</v>
      </c>
      <c r="I15" s="179">
        <f>(H15+J15)/2</f>
        <v>39.307979172777202</v>
      </c>
      <c r="J15" s="179">
        <f>SUMIF(AP5_Targets!$B$8:$B$35,sce_5!$A15,AP5_Targets!AF$8:AF$35)</f>
        <v>12.117619416404528</v>
      </c>
      <c r="K15" s="193"/>
      <c r="L15" s="203" t="s">
        <v>90</v>
      </c>
      <c r="M15" s="213" t="s">
        <v>112</v>
      </c>
      <c r="N15" s="178">
        <f t="shared" si="3"/>
        <v>1</v>
      </c>
      <c r="O15" s="178"/>
      <c r="P15" s="178">
        <f t="shared" si="0"/>
        <v>0.91841088505502444</v>
      </c>
      <c r="Q15" s="178">
        <f t="shared" si="0"/>
        <v>0.81720901307353855</v>
      </c>
      <c r="R15" s="178">
        <f t="shared" si="0"/>
        <v>0.71600714109205299</v>
      </c>
      <c r="S15" s="178">
        <f t="shared" si="0"/>
        <v>0.55494953520589341</v>
      </c>
      <c r="T15" s="178">
        <f t="shared" si="0"/>
        <v>0.39389192931973382</v>
      </c>
      <c r="U15" s="178">
        <f t="shared" si="0"/>
        <v>0.2328343234335743</v>
      </c>
      <c r="V15" s="180">
        <f t="shared" si="0"/>
        <v>7.177671754741477E-2</v>
      </c>
    </row>
    <row r="16" spans="1:22" ht="15.75" thickBot="1" x14ac:dyDescent="0.3">
      <c r="A16" s="185" t="s">
        <v>89</v>
      </c>
      <c r="B16" s="183">
        <f>SUMIF(NEWAGE_reg!$B$2:$B$29,sce_5!$A16,NEWAGE_reg!$C$2:$C$29)</f>
        <v>328.73528516056416</v>
      </c>
      <c r="C16" s="184"/>
      <c r="D16" s="184">
        <f>SUMIF(AP5_Targets!$B$8:$B$35,sce_5!$A16,AP5_Targets!Z$8:Z$35)</f>
        <v>379.17762751196415</v>
      </c>
      <c r="E16" s="184">
        <f t="shared" si="1"/>
        <v>344.80969391306292</v>
      </c>
      <c r="F16" s="184">
        <f>SUMIF(AP5_Targets!$B$8:$B$35,sce_5!$A16,AP5_Targets!AB$8:AB$35)</f>
        <v>310.44176031416168</v>
      </c>
      <c r="G16" s="184">
        <f t="shared" si="1"/>
        <v>240.61144185249736</v>
      </c>
      <c r="H16" s="184">
        <f>SUMIF(AP5_Targets!$B$8:$B$35,sce_5!$A16,AP5_Targets!AD$8:AD$35)</f>
        <v>170.78112339083307</v>
      </c>
      <c r="I16" s="184">
        <f t="shared" ref="I16" si="9">(H16+J16)/2</f>
        <v>100.95080492916878</v>
      </c>
      <c r="J16" s="184">
        <f>SUMIF(AP5_Targets!$B$8:$B$35,sce_5!$A16,AP5_Targets!AF$8:AF$35)</f>
        <v>31.120486467504506</v>
      </c>
      <c r="K16" s="193"/>
      <c r="L16" s="204" t="s">
        <v>89</v>
      </c>
      <c r="M16" s="214" t="s">
        <v>112</v>
      </c>
      <c r="N16" s="195">
        <f t="shared" si="3"/>
        <v>1</v>
      </c>
      <c r="O16" s="195"/>
      <c r="P16" s="195">
        <f t="shared" si="0"/>
        <v>1.1534436509508326</v>
      </c>
      <c r="Q16" s="195">
        <f t="shared" si="0"/>
        <v>1.0488977285923156</v>
      </c>
      <c r="R16" s="195">
        <f t="shared" si="0"/>
        <v>0.94435180623379877</v>
      </c>
      <c r="S16" s="195">
        <f t="shared" si="0"/>
        <v>0.73193068317864185</v>
      </c>
      <c r="T16" s="195">
        <f t="shared" si="0"/>
        <v>0.51950956012348493</v>
      </c>
      <c r="U16" s="195">
        <f t="shared" si="0"/>
        <v>0.30708843706832806</v>
      </c>
      <c r="V16" s="196">
        <f t="shared" si="0"/>
        <v>9.4667314013171203E-2</v>
      </c>
    </row>
    <row r="17" spans="1:22" ht="15.75" thickBot="1" x14ac:dyDescent="0.3">
      <c r="A17" s="162"/>
      <c r="B17" s="163"/>
      <c r="C17" s="163"/>
      <c r="D17" s="163"/>
      <c r="E17" s="163"/>
      <c r="F17" s="163"/>
      <c r="G17" s="163"/>
      <c r="H17" s="163"/>
      <c r="I17" s="163"/>
      <c r="J17" s="164"/>
      <c r="K17" s="163"/>
    </row>
    <row r="18" spans="1:22" x14ac:dyDescent="0.25">
      <c r="A18" s="270" t="s">
        <v>100</v>
      </c>
      <c r="B18" s="271"/>
      <c r="C18" s="271"/>
      <c r="D18" s="271"/>
      <c r="E18" s="271"/>
      <c r="F18" s="271"/>
      <c r="G18" s="271"/>
      <c r="H18" s="271"/>
      <c r="I18" s="271"/>
      <c r="J18" s="272"/>
      <c r="K18" s="189"/>
      <c r="L18" s="273" t="s">
        <v>98</v>
      </c>
      <c r="M18" s="274"/>
      <c r="N18" s="274"/>
      <c r="O18" s="274"/>
      <c r="P18" s="274"/>
      <c r="Q18" s="274"/>
      <c r="R18" s="274"/>
      <c r="S18" s="274"/>
      <c r="T18" s="274"/>
      <c r="U18" s="274"/>
      <c r="V18" s="275"/>
    </row>
    <row r="19" spans="1:22" x14ac:dyDescent="0.25">
      <c r="A19" s="162"/>
      <c r="B19" s="165">
        <v>2011</v>
      </c>
      <c r="C19" s="165">
        <v>2015</v>
      </c>
      <c r="D19" s="165">
        <v>2020</v>
      </c>
      <c r="E19" s="165">
        <v>2025</v>
      </c>
      <c r="F19" s="165">
        <v>2030</v>
      </c>
      <c r="G19" s="165">
        <v>2035</v>
      </c>
      <c r="H19" s="165">
        <v>2040</v>
      </c>
      <c r="I19" s="165">
        <v>2045</v>
      </c>
      <c r="J19" s="166">
        <v>2050</v>
      </c>
      <c r="K19" s="165"/>
      <c r="L19" s="162"/>
      <c r="M19" s="163"/>
      <c r="N19" s="165">
        <v>2011</v>
      </c>
      <c r="O19" s="165">
        <v>2015</v>
      </c>
      <c r="P19" s="165">
        <v>2020</v>
      </c>
      <c r="Q19" s="167">
        <v>2025</v>
      </c>
      <c r="R19" s="165">
        <v>2030</v>
      </c>
      <c r="S19" s="165">
        <v>2035</v>
      </c>
      <c r="T19" s="165">
        <v>2040</v>
      </c>
      <c r="U19" s="165">
        <v>2045</v>
      </c>
      <c r="V19" s="166">
        <v>2050</v>
      </c>
    </row>
    <row r="20" spans="1:22" ht="15.75" thickBot="1" x14ac:dyDescent="0.3">
      <c r="A20" s="185" t="s">
        <v>87</v>
      </c>
      <c r="B20" s="182" t="s">
        <v>102</v>
      </c>
      <c r="C20" s="181" t="s">
        <v>102</v>
      </c>
      <c r="D20" s="181" t="s">
        <v>102</v>
      </c>
      <c r="E20" s="181" t="s">
        <v>102</v>
      </c>
      <c r="F20" s="181" t="s">
        <v>102</v>
      </c>
      <c r="G20" s="181" t="s">
        <v>102</v>
      </c>
      <c r="H20" s="181" t="s">
        <v>102</v>
      </c>
      <c r="I20" s="181" t="s">
        <v>102</v>
      </c>
      <c r="J20" s="187" t="s">
        <v>102</v>
      </c>
      <c r="L20" s="174" t="s">
        <v>87</v>
      </c>
      <c r="M20" s="215" t="s">
        <v>113</v>
      </c>
      <c r="N20" s="188">
        <f>IF(B20="-",0,B20/$B20)</f>
        <v>0</v>
      </c>
      <c r="O20" s="171"/>
      <c r="P20" s="195">
        <f t="shared" ref="P20:V20" si="10">IF(D20="-",0,D20/$B20)</f>
        <v>0</v>
      </c>
      <c r="Q20" s="195">
        <f t="shared" si="10"/>
        <v>0</v>
      </c>
      <c r="R20" s="195">
        <f t="shared" si="10"/>
        <v>0</v>
      </c>
      <c r="S20" s="195">
        <f t="shared" si="10"/>
        <v>0</v>
      </c>
      <c r="T20" s="195">
        <f t="shared" si="10"/>
        <v>0</v>
      </c>
      <c r="U20" s="195">
        <f t="shared" si="10"/>
        <v>0</v>
      </c>
      <c r="V20" s="196">
        <f t="shared" si="10"/>
        <v>0</v>
      </c>
    </row>
    <row r="21" spans="1:22" ht="15.75" thickBot="1" x14ac:dyDescent="0.3">
      <c r="A21" s="162"/>
      <c r="B21" s="163"/>
      <c r="C21" s="163"/>
      <c r="D21" s="163"/>
      <c r="E21" s="163"/>
      <c r="F21" s="163"/>
      <c r="G21" s="163"/>
      <c r="H21" s="163"/>
      <c r="I21" s="163"/>
      <c r="J21" s="164"/>
    </row>
    <row r="22" spans="1:22" x14ac:dyDescent="0.25">
      <c r="A22" s="270" t="s">
        <v>98</v>
      </c>
      <c r="B22" s="271"/>
      <c r="C22" s="271"/>
      <c r="D22" s="271"/>
      <c r="E22" s="271"/>
      <c r="F22" s="271"/>
      <c r="G22" s="271"/>
      <c r="H22" s="271"/>
      <c r="I22" s="271"/>
      <c r="J22" s="272"/>
      <c r="L22" s="273" t="s">
        <v>98</v>
      </c>
      <c r="M22" s="274"/>
      <c r="N22" s="274"/>
      <c r="O22" s="274"/>
      <c r="P22" s="274"/>
      <c r="Q22" s="274"/>
      <c r="R22" s="274"/>
      <c r="S22" s="274"/>
      <c r="T22" s="274"/>
      <c r="U22" s="274"/>
      <c r="V22" s="275"/>
    </row>
    <row r="23" spans="1:22" x14ac:dyDescent="0.25">
      <c r="A23" s="162"/>
      <c r="B23" s="165">
        <v>2011</v>
      </c>
      <c r="C23" s="165">
        <v>2015</v>
      </c>
      <c r="D23" s="165">
        <v>2020</v>
      </c>
      <c r="E23" s="167">
        <v>2025</v>
      </c>
      <c r="F23" s="165">
        <v>2030</v>
      </c>
      <c r="G23" s="165">
        <v>2035</v>
      </c>
      <c r="H23" s="165">
        <v>2040</v>
      </c>
      <c r="I23" s="165">
        <v>2045</v>
      </c>
      <c r="J23" s="166">
        <v>2050</v>
      </c>
      <c r="L23" s="162"/>
      <c r="M23" s="163"/>
      <c r="N23" s="165">
        <v>2011</v>
      </c>
      <c r="O23" s="165">
        <v>2015</v>
      </c>
      <c r="P23" s="165">
        <v>2020</v>
      </c>
      <c r="Q23" s="167">
        <v>2025</v>
      </c>
      <c r="R23" s="165">
        <v>2030</v>
      </c>
      <c r="S23" s="165">
        <v>2035</v>
      </c>
      <c r="T23" s="165">
        <v>2040</v>
      </c>
      <c r="U23" s="165">
        <v>2045</v>
      </c>
      <c r="V23" s="166">
        <v>2050</v>
      </c>
    </row>
    <row r="24" spans="1:22" ht="15.75" thickBot="1" x14ac:dyDescent="0.3">
      <c r="A24" s="174" t="s">
        <v>95</v>
      </c>
      <c r="B24" s="188">
        <f>NEWAGE_reg!$C$32</f>
        <v>1984.4704999999999</v>
      </c>
      <c r="C24" s="171"/>
      <c r="D24" s="188">
        <f>AP5_Targets!Z5</f>
        <v>1848.82041</v>
      </c>
      <c r="E24" s="205">
        <f t="shared" ref="E24:I24" si="11">(D24+F24)/2</f>
        <v>1185.8479950000001</v>
      </c>
      <c r="F24" s="188">
        <f>AP5_Targets!AB5</f>
        <v>522.87558000000035</v>
      </c>
      <c r="G24" s="205">
        <f t="shared" si="11"/>
        <v>406.78342875000027</v>
      </c>
      <c r="H24" s="188">
        <f>AP5_Targets!AD5</f>
        <v>290.69127750000018</v>
      </c>
      <c r="I24" s="205">
        <f t="shared" si="11"/>
        <v>174.5991262500001</v>
      </c>
      <c r="J24" s="197">
        <f>AP5_Targets!AF5</f>
        <v>58.506975000000004</v>
      </c>
      <c r="L24" s="174" t="s">
        <v>114</v>
      </c>
      <c r="M24" s="215" t="s">
        <v>96</v>
      </c>
      <c r="N24" s="188">
        <f>B24/$B24</f>
        <v>1</v>
      </c>
      <c r="O24" s="171"/>
      <c r="P24" s="195">
        <f t="shared" ref="P24:V24" si="12">D24/$B24</f>
        <v>0.93164418921823233</v>
      </c>
      <c r="Q24" s="195">
        <f t="shared" si="12"/>
        <v>0.59756393204131786</v>
      </c>
      <c r="R24" s="195">
        <f t="shared" si="12"/>
        <v>0.26348367486440355</v>
      </c>
      <c r="S24" s="195">
        <f t="shared" si="12"/>
        <v>0.20498335891110514</v>
      </c>
      <c r="T24" s="195">
        <f t="shared" si="12"/>
        <v>0.14648304295780673</v>
      </c>
      <c r="U24" s="195">
        <f t="shared" si="12"/>
        <v>8.7982727004508307E-2</v>
      </c>
      <c r="V24" s="196">
        <f t="shared" si="12"/>
        <v>2.9482411051209887E-2</v>
      </c>
    </row>
  </sheetData>
  <mergeCells count="10">
    <mergeCell ref="A18:J18"/>
    <mergeCell ref="A22:J22"/>
    <mergeCell ref="A1:H2"/>
    <mergeCell ref="A4:J4"/>
    <mergeCell ref="L4:V4"/>
    <mergeCell ref="E5:F5"/>
    <mergeCell ref="A6:J6"/>
    <mergeCell ref="L6:V6"/>
    <mergeCell ref="L22:V22"/>
    <mergeCell ref="L18:V18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14</vt:i4>
      </vt:variant>
      <vt:variant>
        <vt:lpstr>Benannte Bereiche</vt:lpstr>
      </vt:variant>
      <vt:variant>
        <vt:i4>1</vt:i4>
      </vt:variant>
    </vt:vector>
  </HeadingPairs>
  <TitlesOfParts>
    <vt:vector size="15" baseType="lpstr">
      <vt:lpstr>AP2_Targets</vt:lpstr>
      <vt:lpstr>AP5_Targets</vt:lpstr>
      <vt:lpstr>CO2_Preis</vt:lpstr>
      <vt:lpstr>All_Targets</vt:lpstr>
      <vt:lpstr>overall targets</vt:lpstr>
      <vt:lpstr>NEWAGE_reg</vt:lpstr>
      <vt:lpstr>sce_3</vt:lpstr>
      <vt:lpstr>sce_4</vt:lpstr>
      <vt:lpstr>sce_5</vt:lpstr>
      <vt:lpstr>sce_6</vt:lpstr>
      <vt:lpstr>sce_7</vt:lpstr>
      <vt:lpstr>sce_8</vt:lpstr>
      <vt:lpstr>sce_9</vt:lpstr>
      <vt:lpstr>sce_10</vt:lpstr>
      <vt:lpstr>NEWAGE_reg!Zielbereich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Ulrich Fahl</dc:creator>
  <cp:lastModifiedBy>Roland Montenegro</cp:lastModifiedBy>
  <cp:lastPrinted>2020-10-19T11:08:28Z</cp:lastPrinted>
  <dcterms:created xsi:type="dcterms:W3CDTF">2020-05-19T08:34:30Z</dcterms:created>
  <dcterms:modified xsi:type="dcterms:W3CDTF">2020-11-16T17:12:51Z</dcterms:modified>
</cp:coreProperties>
</file>