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land\Documents\NEWAGE_diss\xcel_data\"/>
    </mc:Choice>
  </mc:AlternateContent>
  <bookViews>
    <workbookView xWindow="750" yWindow="315" windowWidth="28515" windowHeight="11895" firstSheet="1" activeTab="6"/>
  </bookViews>
  <sheets>
    <sheet name="Reg_Strom BW" sheetId="1" r:id="rId1"/>
    <sheet name="EE_data" sheetId="2" r:id="rId2"/>
    <sheet name="Lig_DE_path" sheetId="8" r:id="rId3"/>
    <sheet name="Lig_DE_path_CCS" sheetId="9" r:id="rId4"/>
    <sheet name="bBC_data" sheetId="3" r:id="rId5"/>
    <sheet name="emplmtno_2007" sheetId="7" r:id="rId6"/>
    <sheet name="emplmtno_2011" sheetId="1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'Reg_Strom BW'!$A$2:$AA$78</definedName>
  </definedNames>
  <calcPr calcId="152511"/>
</workbook>
</file>

<file path=xl/calcChain.xml><?xml version="1.0" encoding="utf-8"?>
<calcChain xmlns="http://schemas.openxmlformats.org/spreadsheetml/2006/main">
  <c r="H23" i="10" l="1"/>
  <c r="I23" i="10"/>
  <c r="B23" i="10"/>
  <c r="G23" i="10"/>
  <c r="D23" i="10"/>
  <c r="C23" i="10"/>
  <c r="D46" i="8" l="1" a="1"/>
  <c r="D46" i="8" s="1"/>
  <c r="K46" i="8" l="1"/>
  <c r="J46" i="8"/>
  <c r="I46" i="8"/>
  <c r="H46" i="8"/>
  <c r="G46" i="8"/>
  <c r="N46" i="8"/>
  <c r="F46" i="8"/>
  <c r="M46" i="8"/>
  <c r="E46" i="8"/>
  <c r="L46" i="8"/>
  <c r="I6" i="10"/>
  <c r="I7" i="10"/>
  <c r="I8" i="10"/>
  <c r="I9" i="10"/>
  <c r="I10" i="10"/>
  <c r="I11" i="10"/>
  <c r="I12" i="10"/>
  <c r="I13" i="10"/>
  <c r="I14" i="10"/>
  <c r="I15" i="10"/>
  <c r="I18" i="10"/>
  <c r="I22" i="10"/>
  <c r="H7" i="10"/>
  <c r="H8" i="10"/>
  <c r="H9" i="10"/>
  <c r="H10" i="10"/>
  <c r="H11" i="10"/>
  <c r="H12" i="10"/>
  <c r="H13" i="10"/>
  <c r="H14" i="10"/>
  <c r="H15" i="10"/>
  <c r="H18" i="10"/>
  <c r="H22" i="10"/>
  <c r="H6" i="10"/>
  <c r="D6" i="10"/>
  <c r="D7" i="10"/>
  <c r="D8" i="10"/>
  <c r="D9" i="10"/>
  <c r="D10" i="10"/>
  <c r="D11" i="10"/>
  <c r="D12" i="10"/>
  <c r="D13" i="10"/>
  <c r="D14" i="10"/>
  <c r="D15" i="10"/>
  <c r="D16" i="10"/>
  <c r="D18" i="10"/>
  <c r="D20" i="10"/>
  <c r="D22" i="10"/>
  <c r="C7" i="10"/>
  <c r="C8" i="10"/>
  <c r="C9" i="10"/>
  <c r="C10" i="10"/>
  <c r="C11" i="10"/>
  <c r="C12" i="10"/>
  <c r="C13" i="10"/>
  <c r="C14" i="10"/>
  <c r="C15" i="10"/>
  <c r="C16" i="10"/>
  <c r="C18" i="10"/>
  <c r="C20" i="10"/>
  <c r="C22" i="10"/>
  <c r="C6" i="10"/>
  <c r="G22" i="10"/>
  <c r="B22" i="10"/>
  <c r="G21" i="10"/>
  <c r="B21" i="10"/>
  <c r="G20" i="10"/>
  <c r="B20" i="10"/>
  <c r="G19" i="10"/>
  <c r="B19" i="10"/>
  <c r="G18" i="10"/>
  <c r="B18" i="10"/>
  <c r="G17" i="10"/>
  <c r="B17" i="10"/>
  <c r="G16" i="10"/>
  <c r="B16" i="10"/>
  <c r="G15" i="10"/>
  <c r="B15" i="10"/>
  <c r="G14" i="10"/>
  <c r="B14" i="10"/>
  <c r="G13" i="10"/>
  <c r="B13" i="10"/>
  <c r="G12" i="10"/>
  <c r="B12" i="10"/>
  <c r="G11" i="10"/>
  <c r="B11" i="10"/>
  <c r="G10" i="10"/>
  <c r="B10" i="10"/>
  <c r="G9" i="10"/>
  <c r="B9" i="10"/>
  <c r="G8" i="10"/>
  <c r="B8" i="10"/>
  <c r="G7" i="10"/>
  <c r="B7" i="10"/>
  <c r="G6" i="10"/>
  <c r="B6" i="10"/>
  <c r="H27" i="10" l="1"/>
  <c r="C27" i="10"/>
  <c r="I27" i="10" l="1"/>
  <c r="I22" i="7"/>
  <c r="H22" i="7"/>
  <c r="G22" i="7"/>
  <c r="D22" i="7"/>
  <c r="C22" i="7"/>
  <c r="B22" i="7"/>
  <c r="I21" i="7"/>
  <c r="I21" i="10" s="1"/>
  <c r="H21" i="7"/>
  <c r="H21" i="10" s="1"/>
  <c r="G21" i="7"/>
  <c r="D21" i="7"/>
  <c r="D21" i="10" s="1"/>
  <c r="C21" i="7"/>
  <c r="C21" i="10" s="1"/>
  <c r="B21" i="7"/>
  <c r="I20" i="7"/>
  <c r="I20" i="10" s="1"/>
  <c r="H20" i="7"/>
  <c r="H20" i="10" s="1"/>
  <c r="G20" i="7"/>
  <c r="D20" i="7"/>
  <c r="C20" i="7"/>
  <c r="B20" i="7"/>
  <c r="I19" i="7"/>
  <c r="I19" i="10" s="1"/>
  <c r="H19" i="7"/>
  <c r="H19" i="10" s="1"/>
  <c r="G19" i="7"/>
  <c r="D19" i="7"/>
  <c r="D19" i="10" s="1"/>
  <c r="C19" i="7"/>
  <c r="C19" i="10" s="1"/>
  <c r="B19" i="7"/>
  <c r="I18" i="7"/>
  <c r="H18" i="7"/>
  <c r="G18" i="7"/>
  <c r="D18" i="7"/>
  <c r="C18" i="7"/>
  <c r="B18" i="7"/>
  <c r="I17" i="7"/>
  <c r="I17" i="10" s="1"/>
  <c r="H17" i="7"/>
  <c r="H17" i="10" s="1"/>
  <c r="G17" i="7"/>
  <c r="D17" i="7"/>
  <c r="D17" i="10" s="1"/>
  <c r="C17" i="7"/>
  <c r="C17" i="10" s="1"/>
  <c r="B17" i="7"/>
  <c r="I16" i="7"/>
  <c r="I16" i="10" s="1"/>
  <c r="H16" i="7"/>
  <c r="H16" i="10" s="1"/>
  <c r="G16" i="7"/>
  <c r="D16" i="7"/>
  <c r="C16" i="7"/>
  <c r="B16" i="7"/>
  <c r="I15" i="7"/>
  <c r="H15" i="7"/>
  <c r="G15" i="7"/>
  <c r="D15" i="7"/>
  <c r="C15" i="7"/>
  <c r="B15" i="7"/>
  <c r="I14" i="7"/>
  <c r="H14" i="7"/>
  <c r="G14" i="7"/>
  <c r="D14" i="7"/>
  <c r="C14" i="7"/>
  <c r="B14" i="7"/>
  <c r="I13" i="7"/>
  <c r="H13" i="7"/>
  <c r="G13" i="7"/>
  <c r="D13" i="7"/>
  <c r="C13" i="7"/>
  <c r="B13" i="7"/>
  <c r="I12" i="7"/>
  <c r="H12" i="7"/>
  <c r="G12" i="7"/>
  <c r="D12" i="7"/>
  <c r="C12" i="7"/>
  <c r="B12" i="7"/>
  <c r="I11" i="7"/>
  <c r="H11" i="7"/>
  <c r="G11" i="7"/>
  <c r="D11" i="7"/>
  <c r="C11" i="7"/>
  <c r="B11" i="7"/>
  <c r="I10" i="7"/>
  <c r="H10" i="7"/>
  <c r="G10" i="7"/>
  <c r="D10" i="7"/>
  <c r="C10" i="7"/>
  <c r="B10" i="7"/>
  <c r="I9" i="7"/>
  <c r="H9" i="7"/>
  <c r="G9" i="7"/>
  <c r="D9" i="7"/>
  <c r="C9" i="7"/>
  <c r="B9" i="7"/>
  <c r="I8" i="7"/>
  <c r="H8" i="7"/>
  <c r="G8" i="7"/>
  <c r="D8" i="7"/>
  <c r="C8" i="7"/>
  <c r="B8" i="7"/>
  <c r="I7" i="7"/>
  <c r="H7" i="7"/>
  <c r="G7" i="7"/>
  <c r="D7" i="7"/>
  <c r="C7" i="7"/>
  <c r="B7" i="7"/>
  <c r="I6" i="7"/>
  <c r="H6" i="7"/>
  <c r="G6" i="7"/>
  <c r="D6" i="7"/>
  <c r="C6" i="7"/>
  <c r="B6" i="7"/>
  <c r="G24" i="8" l="1"/>
  <c r="C9" i="8"/>
  <c r="G21" i="8" l="1"/>
  <c r="G22" i="8"/>
  <c r="K13" i="9" l="1"/>
  <c r="G18" i="9"/>
  <c r="G31" i="9" s="1"/>
  <c r="G19" i="9"/>
  <c r="G20" i="9"/>
  <c r="G33" i="9" s="1"/>
  <c r="G21" i="9"/>
  <c r="G34" i="9" s="1"/>
  <c r="G22" i="9"/>
  <c r="G35" i="9" s="1"/>
  <c r="G23" i="9"/>
  <c r="G36" i="9" s="1"/>
  <c r="G24" i="9"/>
  <c r="G37" i="9" s="1"/>
  <c r="G17" i="9"/>
  <c r="G30" i="9" s="1"/>
  <c r="C8" i="9"/>
  <c r="C18" i="9" s="1"/>
  <c r="C9" i="9"/>
  <c r="C10" i="9"/>
  <c r="C11" i="9"/>
  <c r="C21" i="9" s="1"/>
  <c r="C34" i="9" s="1"/>
  <c r="C12" i="9"/>
  <c r="C22" i="9" s="1"/>
  <c r="C13" i="9"/>
  <c r="C23" i="9" s="1"/>
  <c r="C14" i="9"/>
  <c r="C7" i="9"/>
  <c r="C17" i="9" s="1"/>
  <c r="G38" i="9"/>
  <c r="D38" i="9"/>
  <c r="G28" i="9"/>
  <c r="C28" i="9" s="1"/>
  <c r="G25" i="9"/>
  <c r="F25" i="9"/>
  <c r="F38" i="9" s="1"/>
  <c r="E25" i="9"/>
  <c r="E38" i="9" s="1"/>
  <c r="D25" i="9"/>
  <c r="C25" i="9"/>
  <c r="C38" i="9" s="1"/>
  <c r="B17" i="9"/>
  <c r="B30" i="9" s="1"/>
  <c r="G14" i="9"/>
  <c r="G13" i="9"/>
  <c r="G12" i="9"/>
  <c r="G11" i="9"/>
  <c r="G10" i="9"/>
  <c r="G9" i="9"/>
  <c r="G8" i="9"/>
  <c r="B8" i="9"/>
  <c r="B9" i="9" s="1"/>
  <c r="R7" i="9"/>
  <c r="G7" i="9"/>
  <c r="R4" i="9"/>
  <c r="Q4" i="9"/>
  <c r="P4" i="9"/>
  <c r="O4" i="9"/>
  <c r="N4" i="9"/>
  <c r="M4" i="9"/>
  <c r="I4" i="9"/>
  <c r="R3" i="9"/>
  <c r="Q3" i="9"/>
  <c r="P3" i="9"/>
  <c r="O3" i="9"/>
  <c r="N3" i="9"/>
  <c r="M3" i="9"/>
  <c r="L3" i="9"/>
  <c r="L6" i="9" s="1"/>
  <c r="K3" i="9"/>
  <c r="K5" i="9" s="1"/>
  <c r="J3" i="9"/>
  <c r="I3" i="9"/>
  <c r="Q2" i="9"/>
  <c r="P2" i="9"/>
  <c r="O2" i="9"/>
  <c r="N2" i="9"/>
  <c r="M2" i="9"/>
  <c r="L2" i="9"/>
  <c r="K2" i="9"/>
  <c r="J2" i="9"/>
  <c r="J24" i="9" l="1"/>
  <c r="K6" i="9"/>
  <c r="P5" i="9"/>
  <c r="J19" i="9"/>
  <c r="G29" i="9"/>
  <c r="J20" i="9"/>
  <c r="N6" i="9"/>
  <c r="O5" i="9"/>
  <c r="G32" i="9"/>
  <c r="D28" i="9"/>
  <c r="E28" i="9" s="1"/>
  <c r="C29" i="9"/>
  <c r="C30" i="9" s="1"/>
  <c r="C31" i="9" s="1"/>
  <c r="C6" i="9"/>
  <c r="E8" i="9" s="1"/>
  <c r="Q5" i="9"/>
  <c r="J23" i="9"/>
  <c r="L5" i="9"/>
  <c r="J22" i="9"/>
  <c r="J21" i="9"/>
  <c r="M6" i="9"/>
  <c r="N5" i="9"/>
  <c r="O6" i="9"/>
  <c r="J18" i="9"/>
  <c r="P6" i="9"/>
  <c r="J17" i="9"/>
  <c r="K17" i="9" s="1"/>
  <c r="K16" i="9" s="1"/>
  <c r="K15" i="9" s="1"/>
  <c r="L17" i="9"/>
  <c r="B10" i="9"/>
  <c r="B19" i="9"/>
  <c r="E12" i="9"/>
  <c r="C35" i="9"/>
  <c r="E13" i="9"/>
  <c r="C20" i="9"/>
  <c r="Q19" i="9"/>
  <c r="J6" i="9"/>
  <c r="J5" i="9"/>
  <c r="Q6" i="9"/>
  <c r="B18" i="9"/>
  <c r="D17" i="9"/>
  <c r="D18" i="9" s="1"/>
  <c r="E18" i="9"/>
  <c r="F31" i="9"/>
  <c r="E11" i="9"/>
  <c r="C24" i="9"/>
  <c r="E10" i="9"/>
  <c r="E14" i="9"/>
  <c r="C19" i="9"/>
  <c r="E19" i="9" s="1"/>
  <c r="C36" i="9"/>
  <c r="D7" i="9"/>
  <c r="D8" i="9"/>
  <c r="D9" i="9" s="1"/>
  <c r="D10" i="9" s="1"/>
  <c r="D11" i="9" s="1"/>
  <c r="D12" i="9" s="1"/>
  <c r="D13" i="9" s="1"/>
  <c r="D14" i="9" s="1"/>
  <c r="M5" i="9"/>
  <c r="N4" i="8"/>
  <c r="O4" i="8"/>
  <c r="P4" i="8"/>
  <c r="Q4" i="8"/>
  <c r="M4" i="8"/>
  <c r="K3" i="8"/>
  <c r="L3" i="8"/>
  <c r="M3" i="8"/>
  <c r="N3" i="8"/>
  <c r="O3" i="8"/>
  <c r="P3" i="8"/>
  <c r="Q3" i="8"/>
  <c r="J3" i="8"/>
  <c r="G28" i="8"/>
  <c r="G18" i="8"/>
  <c r="G19" i="8"/>
  <c r="G20" i="8"/>
  <c r="G23" i="8"/>
  <c r="G38" i="8"/>
  <c r="G17" i="8"/>
  <c r="G31" i="8" s="1"/>
  <c r="C8" i="8"/>
  <c r="C19" i="8"/>
  <c r="C10" i="8"/>
  <c r="C11" i="8"/>
  <c r="C21" i="8" s="1"/>
  <c r="C12" i="8"/>
  <c r="C22" i="8" s="1"/>
  <c r="C13" i="8"/>
  <c r="C14" i="8"/>
  <c r="C7" i="8"/>
  <c r="E9" i="9" l="1"/>
  <c r="D6" i="9"/>
  <c r="E14" i="8"/>
  <c r="E7" i="9"/>
  <c r="E17" i="9" s="1"/>
  <c r="F30" i="9" s="1"/>
  <c r="G29" i="8"/>
  <c r="D29" i="9"/>
  <c r="D30" i="9" s="1"/>
  <c r="D31" i="9" s="1"/>
  <c r="E13" i="8"/>
  <c r="C20" i="8"/>
  <c r="E22" i="8" s="1"/>
  <c r="F22" i="8" s="1"/>
  <c r="E11" i="8"/>
  <c r="K18" i="9"/>
  <c r="K19" i="9"/>
  <c r="B32" i="9"/>
  <c r="L19" i="9"/>
  <c r="K23" i="9"/>
  <c r="B31" i="9"/>
  <c r="L18" i="9"/>
  <c r="K20" i="9"/>
  <c r="K21" i="9"/>
  <c r="K22" i="9"/>
  <c r="K24" i="9"/>
  <c r="J7" i="9" a="1"/>
  <c r="C37" i="9"/>
  <c r="E32" i="9"/>
  <c r="F32" i="9"/>
  <c r="E22" i="9"/>
  <c r="C32" i="9"/>
  <c r="D19" i="9"/>
  <c r="D32" i="9" s="1"/>
  <c r="E23" i="9"/>
  <c r="C33" i="9"/>
  <c r="B11" i="9"/>
  <c r="B20" i="9"/>
  <c r="E24" i="9"/>
  <c r="F37" i="9" s="1"/>
  <c r="F28" i="9"/>
  <c r="E37" i="9"/>
  <c r="E29" i="9"/>
  <c r="E6" i="9"/>
  <c r="E21" i="9"/>
  <c r="E20" i="9"/>
  <c r="C46" i="9" l="1" a="1"/>
  <c r="C46" i="9" s="1"/>
  <c r="B33" i="9"/>
  <c r="L20" i="9"/>
  <c r="D20" i="9"/>
  <c r="D33" i="9" s="1"/>
  <c r="E35" i="9"/>
  <c r="F35" i="9"/>
  <c r="F33" i="9"/>
  <c r="E33" i="9"/>
  <c r="O7" i="9"/>
  <c r="L7" i="9"/>
  <c r="N7" i="9"/>
  <c r="M7" i="9"/>
  <c r="J7" i="9"/>
  <c r="Q7" i="9"/>
  <c r="P7" i="9"/>
  <c r="K7" i="9"/>
  <c r="E30" i="9"/>
  <c r="E31" i="9" s="1"/>
  <c r="F29" i="9"/>
  <c r="B21" i="9"/>
  <c r="B12" i="9"/>
  <c r="E34" i="9"/>
  <c r="F34" i="9"/>
  <c r="F36" i="9"/>
  <c r="E36" i="9"/>
  <c r="F46" i="9" l="1"/>
  <c r="I46" i="9"/>
  <c r="H46" i="9"/>
  <c r="D46" i="9"/>
  <c r="E46" i="9"/>
  <c r="K46" i="9"/>
  <c r="L46" i="9"/>
  <c r="G46" i="9"/>
  <c r="J46" i="9"/>
  <c r="B34" i="9"/>
  <c r="L21" i="9"/>
  <c r="D21" i="9"/>
  <c r="D34" i="9" s="1"/>
  <c r="B22" i="9"/>
  <c r="B13" i="9"/>
  <c r="D22" i="9" l="1"/>
  <c r="D35" i="9" s="1"/>
  <c r="B35" i="9"/>
  <c r="L22" i="9"/>
  <c r="B14" i="9"/>
  <c r="B24" i="9" s="1"/>
  <c r="B23" i="9"/>
  <c r="D23" i="9" l="1"/>
  <c r="D36" i="9" s="1"/>
  <c r="B36" i="9"/>
  <c r="L23" i="9"/>
  <c r="B37" i="9"/>
  <c r="L24" i="9"/>
  <c r="C45" i="9" s="1" a="1"/>
  <c r="D24" i="9" l="1"/>
  <c r="D37" i="9" s="1"/>
  <c r="D45" i="9"/>
  <c r="C45" i="9"/>
  <c r="K45" i="9"/>
  <c r="J45" i="9"/>
  <c r="F45" i="9"/>
  <c r="L45" i="9"/>
  <c r="G45" i="9"/>
  <c r="E45" i="9"/>
  <c r="H45" i="9"/>
  <c r="I45" i="9"/>
  <c r="G9" i="8"/>
  <c r="G10" i="8"/>
  <c r="G11" i="8"/>
  <c r="G12" i="8"/>
  <c r="G13" i="8"/>
  <c r="G14" i="8"/>
  <c r="G8" i="8"/>
  <c r="G7" i="8"/>
  <c r="M69" i="8" l="1"/>
  <c r="L69" i="8"/>
  <c r="K69" i="8"/>
  <c r="J69" i="8"/>
  <c r="I69" i="8"/>
  <c r="H69" i="8"/>
  <c r="G69" i="8"/>
  <c r="F69" i="8"/>
  <c r="E69" i="8"/>
  <c r="D61" i="8" a="1"/>
  <c r="D56" i="8" a="1"/>
  <c r="L56" i="8" s="1"/>
  <c r="G37" i="8"/>
  <c r="G36" i="8"/>
  <c r="G35" i="8"/>
  <c r="G32" i="8"/>
  <c r="G25" i="8"/>
  <c r="G39" i="8" s="1"/>
  <c r="F25" i="8"/>
  <c r="F39" i="8" s="1"/>
  <c r="E25" i="8"/>
  <c r="E39" i="8" s="1"/>
  <c r="D25" i="8"/>
  <c r="D39" i="8" s="1"/>
  <c r="C25" i="8"/>
  <c r="C39" i="8" s="1"/>
  <c r="G34" i="8"/>
  <c r="G33" i="8"/>
  <c r="B17" i="8"/>
  <c r="B31" i="8" s="1"/>
  <c r="G30" i="8" s="1"/>
  <c r="E12" i="8"/>
  <c r="B8" i="8"/>
  <c r="B18" i="8" s="1"/>
  <c r="B32" i="8" s="1"/>
  <c r="R7" i="8"/>
  <c r="Q6" i="8"/>
  <c r="P6" i="8"/>
  <c r="O6" i="8"/>
  <c r="O5" i="8"/>
  <c r="J5" i="8"/>
  <c r="R4" i="8"/>
  <c r="I4" i="8"/>
  <c r="R3" i="8"/>
  <c r="Q5" i="8"/>
  <c r="P5" i="8"/>
  <c r="N6" i="8"/>
  <c r="L6" i="8"/>
  <c r="K6" i="8"/>
  <c r="I3" i="8"/>
  <c r="Q2" i="8"/>
  <c r="P2" i="8"/>
  <c r="O2" i="8"/>
  <c r="N2" i="8"/>
  <c r="M2" i="8"/>
  <c r="L2" i="8"/>
  <c r="K2" i="8"/>
  <c r="J2" i="8"/>
  <c r="C28" i="8" l="1"/>
  <c r="C29" i="8" s="1"/>
  <c r="I61" i="8"/>
  <c r="L61" i="8"/>
  <c r="D61" i="8"/>
  <c r="D62" i="8" s="1"/>
  <c r="H61" i="8"/>
  <c r="G61" i="8"/>
  <c r="F61" i="8"/>
  <c r="M61" i="8"/>
  <c r="E61" i="8"/>
  <c r="F12" i="8"/>
  <c r="F13" i="8"/>
  <c r="J61" i="8"/>
  <c r="K61" i="8"/>
  <c r="Q19" i="8"/>
  <c r="J6" i="8"/>
  <c r="K5" i="8"/>
  <c r="L5" i="8"/>
  <c r="E10" i="8"/>
  <c r="F14" i="8"/>
  <c r="J56" i="8"/>
  <c r="E56" i="8"/>
  <c r="I56" i="8"/>
  <c r="M56" i="8"/>
  <c r="H56" i="8"/>
  <c r="G56" i="8"/>
  <c r="F56" i="8"/>
  <c r="M6" i="8"/>
  <c r="D56" i="8"/>
  <c r="D57" i="8" s="1"/>
  <c r="D58" i="8" s="1"/>
  <c r="D59" i="8" s="1"/>
  <c r="B9" i="8"/>
  <c r="K56" i="8"/>
  <c r="M5" i="8"/>
  <c r="N5" i="8"/>
  <c r="D7" i="8"/>
  <c r="D8" i="8" s="1"/>
  <c r="D9" i="8" s="1"/>
  <c r="D10" i="8" s="1"/>
  <c r="D69" i="8"/>
  <c r="K57" i="8" l="1"/>
  <c r="K59" i="8" s="1"/>
  <c r="I57" i="8"/>
  <c r="I59" i="8" s="1"/>
  <c r="H62" i="8"/>
  <c r="C31" i="8"/>
  <c r="C32" i="8" s="1"/>
  <c r="M62" i="8"/>
  <c r="M64" i="8" s="1"/>
  <c r="F62" i="8"/>
  <c r="F64" i="8" s="1"/>
  <c r="L57" i="8"/>
  <c r="L59" i="8" s="1"/>
  <c r="G57" i="8"/>
  <c r="G59" i="8" s="1"/>
  <c r="H57" i="8"/>
  <c r="H59" i="8" s="1"/>
  <c r="D28" i="8"/>
  <c r="D29" i="8" s="1"/>
  <c r="C6" i="8"/>
  <c r="D70" i="8"/>
  <c r="G70" i="8"/>
  <c r="F70" i="8"/>
  <c r="M57" i="8"/>
  <c r="M59" i="8" s="1"/>
  <c r="H70" i="8"/>
  <c r="G62" i="8"/>
  <c r="L70" i="8"/>
  <c r="K70" i="8"/>
  <c r="M70" i="8"/>
  <c r="J57" i="8"/>
  <c r="J59" i="8" s="1"/>
  <c r="J70" i="8"/>
  <c r="L62" i="8"/>
  <c r="L64" i="8" s="1"/>
  <c r="H63" i="8"/>
  <c r="H64" i="8"/>
  <c r="E57" i="8"/>
  <c r="E58" i="8" s="1"/>
  <c r="D63" i="8"/>
  <c r="D64" i="8"/>
  <c r="I70" i="8"/>
  <c r="B10" i="8"/>
  <c r="B19" i="8"/>
  <c r="B33" i="8" s="1"/>
  <c r="E70" i="8"/>
  <c r="K62" i="8"/>
  <c r="I62" i="8"/>
  <c r="F57" i="8"/>
  <c r="F10" i="8"/>
  <c r="J62" i="8"/>
  <c r="E62" i="8"/>
  <c r="F11" i="8"/>
  <c r="C30" i="8" l="1"/>
  <c r="F63" i="8"/>
  <c r="D31" i="8"/>
  <c r="D32" i="8" s="1"/>
  <c r="G58" i="8"/>
  <c r="H58" i="8" s="1"/>
  <c r="I58" i="8" s="1"/>
  <c r="J58" i="8" s="1"/>
  <c r="K58" i="8" s="1"/>
  <c r="L58" i="8" s="1"/>
  <c r="M58" i="8" s="1"/>
  <c r="E7" i="8"/>
  <c r="F7" i="8" s="1"/>
  <c r="E8" i="8"/>
  <c r="F8" i="8" s="1"/>
  <c r="E9" i="8"/>
  <c r="F9" i="8" s="1"/>
  <c r="E28" i="8"/>
  <c r="D6" i="8"/>
  <c r="K64" i="8"/>
  <c r="K63" i="8"/>
  <c r="L63" i="8" s="1"/>
  <c r="M63" i="8" s="1"/>
  <c r="E63" i="8"/>
  <c r="E64" i="8"/>
  <c r="F58" i="8"/>
  <c r="F59" i="8"/>
  <c r="D11" i="8"/>
  <c r="B11" i="8"/>
  <c r="B20" i="8"/>
  <c r="B34" i="8" s="1"/>
  <c r="J64" i="8"/>
  <c r="J63" i="8"/>
  <c r="I64" i="8"/>
  <c r="I63" i="8"/>
  <c r="G64" i="8"/>
  <c r="G63" i="8"/>
  <c r="D30" i="8" l="1"/>
  <c r="E29" i="8"/>
  <c r="C18" i="8"/>
  <c r="E24" i="8"/>
  <c r="E38" i="8"/>
  <c r="J7" i="8" a="1"/>
  <c r="K7" i="8" s="1"/>
  <c r="E6" i="8"/>
  <c r="F28" i="8"/>
  <c r="C24" i="8"/>
  <c r="C38" i="8" s="1"/>
  <c r="B21" i="8"/>
  <c r="B35" i="8" s="1"/>
  <c r="B12" i="8"/>
  <c r="C17" i="8"/>
  <c r="E17" i="8"/>
  <c r="F17" i="8" s="1"/>
  <c r="F31" i="8" s="1"/>
  <c r="D12" i="8"/>
  <c r="C36" i="8"/>
  <c r="C23" i="8"/>
  <c r="C37" i="8" s="1"/>
  <c r="E31" i="8" l="1"/>
  <c r="E32" i="8" s="1"/>
  <c r="E30" i="8"/>
  <c r="E18" i="8"/>
  <c r="F18" i="8" s="1"/>
  <c r="E19" i="8"/>
  <c r="O7" i="8"/>
  <c r="Q7" i="8"/>
  <c r="L7" i="8"/>
  <c r="M7" i="8"/>
  <c r="N7" i="8"/>
  <c r="P7" i="8"/>
  <c r="J7" i="8"/>
  <c r="C33" i="8"/>
  <c r="E21" i="8"/>
  <c r="F21" i="8" s="1"/>
  <c r="C35" i="8"/>
  <c r="E23" i="8"/>
  <c r="F23" i="8" s="1"/>
  <c r="C34" i="8"/>
  <c r="D17" i="8"/>
  <c r="D18" i="8" s="1"/>
  <c r="D19" i="8" s="1"/>
  <c r="E20" i="8"/>
  <c r="D13" i="8"/>
  <c r="B22" i="8"/>
  <c r="B36" i="8" s="1"/>
  <c r="B13" i="8"/>
  <c r="E33" i="8" l="1"/>
  <c r="D47" i="8" s="1" a="1"/>
  <c r="F19" i="8"/>
  <c r="F33" i="8" s="1"/>
  <c r="F24" i="8"/>
  <c r="F38" i="8" s="1"/>
  <c r="F32" i="8"/>
  <c r="E34" i="8"/>
  <c r="F20" i="8"/>
  <c r="F34" i="8" s="1"/>
  <c r="E37" i="8"/>
  <c r="F37" i="8"/>
  <c r="E35" i="8"/>
  <c r="F35" i="8"/>
  <c r="E36" i="8"/>
  <c r="F36" i="8"/>
  <c r="D20" i="8"/>
  <c r="D33" i="8"/>
  <c r="B14" i="8"/>
  <c r="B24" i="8" s="1"/>
  <c r="B38" i="8" s="1"/>
  <c r="B23" i="8"/>
  <c r="B37" i="8" s="1"/>
  <c r="F29" i="8"/>
  <c r="F30" i="8" s="1"/>
  <c r="D14" i="8"/>
  <c r="F47" i="8" l="1"/>
  <c r="F51" i="8" s="1"/>
  <c r="J48" i="8"/>
  <c r="G48" i="8"/>
  <c r="E48" i="8"/>
  <c r="L49" i="8"/>
  <c r="E47" i="8"/>
  <c r="J47" i="8"/>
  <c r="J51" i="8" s="1"/>
  <c r="H47" i="8"/>
  <c r="H51" i="8" s="1"/>
  <c r="I49" i="8"/>
  <c r="N49" i="8"/>
  <c r="K49" i="8"/>
  <c r="K53" i="8" s="1"/>
  <c r="G49" i="8"/>
  <c r="L48" i="8"/>
  <c r="L47" i="8"/>
  <c r="L51" i="8" s="1"/>
  <c r="N48" i="8"/>
  <c r="M47" i="8"/>
  <c r="M51" i="8" s="1"/>
  <c r="D48" i="8"/>
  <c r="D47" i="8"/>
  <c r="F48" i="8"/>
  <c r="F52" i="8" s="1"/>
  <c r="F49" i="8"/>
  <c r="F53" i="8" s="1"/>
  <c r="G47" i="8"/>
  <c r="G51" i="8" s="1"/>
  <c r="E49" i="8"/>
  <c r="I47" i="8"/>
  <c r="I51" i="8" s="1"/>
  <c r="I48" i="8"/>
  <c r="I52" i="8" s="1"/>
  <c r="H49" i="8"/>
  <c r="K47" i="8"/>
  <c r="K51" i="8" s="1"/>
  <c r="J49" i="8"/>
  <c r="J53" i="8" s="1"/>
  <c r="M49" i="8"/>
  <c r="M53" i="8" s="1"/>
  <c r="K48" i="8"/>
  <c r="D49" i="8"/>
  <c r="M48" i="8"/>
  <c r="M52" i="8" s="1"/>
  <c r="H48" i="8"/>
  <c r="H52" i="8" s="1"/>
  <c r="N47" i="8"/>
  <c r="N51" i="8" s="1"/>
  <c r="I7" i="3"/>
  <c r="D21" i="8"/>
  <c r="D34" i="8"/>
  <c r="N52" i="8" l="1"/>
  <c r="K52" i="8"/>
  <c r="L52" i="8"/>
  <c r="L53" i="8"/>
  <c r="G53" i="8"/>
  <c r="G52" i="8"/>
  <c r="N53" i="8"/>
  <c r="J52" i="8"/>
  <c r="H53" i="8"/>
  <c r="I53" i="8"/>
  <c r="G7" i="3"/>
  <c r="D7" i="3"/>
  <c r="E7" i="3"/>
  <c r="J6" i="3"/>
  <c r="G8" i="3"/>
  <c r="I8" i="3"/>
  <c r="D6" i="3"/>
  <c r="E8" i="3"/>
  <c r="K7" i="3"/>
  <c r="K8" i="3"/>
  <c r="E6" i="3"/>
  <c r="K6" i="3"/>
  <c r="L7" i="3"/>
  <c r="L6" i="3"/>
  <c r="H6" i="3"/>
  <c r="J7" i="3"/>
  <c r="F6" i="3"/>
  <c r="G6" i="3"/>
  <c r="L8" i="3"/>
  <c r="J8" i="3"/>
  <c r="I6" i="3"/>
  <c r="D22" i="8"/>
  <c r="D35" i="8"/>
  <c r="E52" i="8"/>
  <c r="F7" i="3" l="1"/>
  <c r="E53" i="8"/>
  <c r="E59" i="8" s="1"/>
  <c r="D8" i="3"/>
  <c r="F8" i="3"/>
  <c r="D51" i="8"/>
  <c r="C6" i="3"/>
  <c r="F10" i="3" s="1"/>
  <c r="E54" i="8"/>
  <c r="H7" i="3"/>
  <c r="F54" i="8"/>
  <c r="H8" i="3"/>
  <c r="D53" i="8"/>
  <c r="D54" i="8" s="1"/>
  <c r="C8" i="3"/>
  <c r="D52" i="8"/>
  <c r="C7" i="3"/>
  <c r="E51" i="8"/>
  <c r="D23" i="8"/>
  <c r="D36" i="8"/>
  <c r="E50" i="8"/>
  <c r="E55" i="8" s="1"/>
  <c r="E68" i="8"/>
  <c r="I68" i="8"/>
  <c r="I50" i="8"/>
  <c r="I55" i="8" s="1"/>
  <c r="L68" i="8"/>
  <c r="L50" i="8"/>
  <c r="L55" i="8" s="1"/>
  <c r="K50" i="8"/>
  <c r="K55" i="8" s="1"/>
  <c r="K68" i="8"/>
  <c r="D68" i="8"/>
  <c r="D50" i="8"/>
  <c r="D55" i="8" s="1"/>
  <c r="M68" i="8"/>
  <c r="M50" i="8"/>
  <c r="M55" i="8" s="1"/>
  <c r="F50" i="8"/>
  <c r="F55" i="8" s="1"/>
  <c r="F68" i="8"/>
  <c r="G50" i="8"/>
  <c r="G55" i="8" s="1"/>
  <c r="G68" i="8"/>
  <c r="J50" i="8"/>
  <c r="J55" i="8" s="1"/>
  <c r="J68" i="8"/>
  <c r="H68" i="8"/>
  <c r="H50" i="8"/>
  <c r="H55" i="8" s="1"/>
  <c r="G54" i="8" l="1"/>
  <c r="H54" i="8" s="1"/>
  <c r="I54" i="8" s="1"/>
  <c r="J54" i="8" s="1"/>
  <c r="K54" i="8" s="1"/>
  <c r="L54" i="8" s="1"/>
  <c r="M54" i="8" s="1"/>
  <c r="D24" i="8"/>
  <c r="D38" i="8" s="1"/>
  <c r="D37" i="8"/>
  <c r="H27" i="7" l="1"/>
  <c r="C27" i="7" l="1"/>
  <c r="I27" i="7" s="1"/>
  <c r="F19" i="3"/>
  <c r="A7" i="3"/>
  <c r="B7" i="3"/>
  <c r="A8" i="3"/>
  <c r="B8" i="3"/>
  <c r="B6" i="3"/>
  <c r="D10" i="3"/>
  <c r="A6" i="3"/>
  <c r="H10" i="3" l="1"/>
  <c r="D11" i="3"/>
  <c r="G19" i="3" l="1"/>
  <c r="H19" i="3"/>
  <c r="I19" i="3"/>
  <c r="J19" i="3"/>
  <c r="K19" i="3"/>
  <c r="L19" i="3"/>
  <c r="E19" i="3"/>
  <c r="D19" i="3" s="1"/>
  <c r="C19" i="3" s="1"/>
  <c r="E23" i="3" l="1"/>
  <c r="C23" i="3"/>
  <c r="G23" i="3"/>
  <c r="J23" i="3"/>
  <c r="D23" i="3"/>
  <c r="F23" i="3"/>
  <c r="I23" i="3"/>
  <c r="K23" i="3"/>
  <c r="H23" i="3"/>
  <c r="L23" i="3"/>
  <c r="F20" i="3"/>
  <c r="F22" i="3" s="1"/>
  <c r="G20" i="3"/>
  <c r="G22" i="3" s="1"/>
  <c r="H20" i="3"/>
  <c r="H22" i="3" s="1"/>
  <c r="I20" i="3"/>
  <c r="I22" i="3" s="1"/>
  <c r="J20" i="3"/>
  <c r="J22" i="3" s="1"/>
  <c r="K20" i="3"/>
  <c r="K22" i="3" s="1"/>
  <c r="L20" i="3"/>
  <c r="L22" i="3" s="1"/>
  <c r="E20" i="3"/>
  <c r="E22" i="3" s="1"/>
  <c r="D20" i="3" l="1"/>
  <c r="D22" i="3" s="1"/>
  <c r="C20" i="3" l="1"/>
  <c r="C22" i="3" s="1"/>
  <c r="C5" i="3"/>
  <c r="D5" i="3"/>
  <c r="E5" i="3"/>
  <c r="F5" i="3"/>
  <c r="G5" i="3"/>
  <c r="H5" i="3"/>
  <c r="I5" i="3"/>
  <c r="J5" i="3"/>
  <c r="K5" i="3"/>
  <c r="L5" i="3"/>
  <c r="L10" i="3"/>
  <c r="L11" i="3"/>
  <c r="C12" i="3"/>
  <c r="K12" i="3"/>
  <c r="C9" i="3"/>
  <c r="C18" i="3" s="1"/>
  <c r="C21" i="3" s="1"/>
  <c r="D9" i="3"/>
  <c r="D18" i="3" s="1"/>
  <c r="D21" i="3" s="1"/>
  <c r="E9" i="3"/>
  <c r="E18" i="3" s="1"/>
  <c r="E21" i="3" s="1"/>
  <c r="F9" i="3"/>
  <c r="F18" i="3" s="1"/>
  <c r="F21" i="3" s="1"/>
  <c r="G9" i="3"/>
  <c r="G18" i="3" s="1"/>
  <c r="G21" i="3" s="1"/>
  <c r="H9" i="3"/>
  <c r="H18" i="3" s="1"/>
  <c r="H21" i="3" s="1"/>
  <c r="I9" i="3"/>
  <c r="I18" i="3" s="1"/>
  <c r="I21" i="3" s="1"/>
  <c r="J9" i="3"/>
  <c r="J18" i="3" s="1"/>
  <c r="J21" i="3" s="1"/>
  <c r="K9" i="3"/>
  <c r="K18" i="3" s="1"/>
  <c r="K21" i="3" s="1"/>
  <c r="L9" i="3"/>
  <c r="L18" i="3" s="1"/>
  <c r="L21" i="3" s="1"/>
  <c r="A10" i="3"/>
  <c r="B10" i="3"/>
  <c r="A11" i="3"/>
  <c r="B11" i="3"/>
  <c r="A12" i="3"/>
  <c r="B12" i="3"/>
  <c r="A4" i="3"/>
  <c r="F12" i="3" l="1"/>
  <c r="E12" i="3"/>
  <c r="L12" i="3"/>
  <c r="D12" i="3"/>
  <c r="I12" i="3"/>
  <c r="H12" i="3"/>
  <c r="J12" i="3"/>
  <c r="G12" i="3"/>
  <c r="I11" i="3"/>
  <c r="J11" i="3"/>
  <c r="C11" i="3"/>
  <c r="H11" i="3"/>
  <c r="K11" i="3"/>
  <c r="E10" i="3"/>
  <c r="G11" i="3"/>
  <c r="K10" i="3"/>
  <c r="F11" i="3"/>
  <c r="J10" i="3"/>
  <c r="C10" i="3"/>
  <c r="E11" i="3"/>
  <c r="I10" i="3"/>
  <c r="G10" i="3"/>
  <c r="F38" i="2" l="1"/>
  <c r="G39" i="2"/>
  <c r="K31" i="2"/>
  <c r="I28" i="2"/>
  <c r="D29" i="2"/>
  <c r="C27" i="2"/>
  <c r="H27" i="2"/>
  <c r="K27" i="2"/>
  <c r="B26" i="2"/>
  <c r="B47" i="2" s="1"/>
  <c r="C26" i="2"/>
  <c r="C47" i="2" s="1"/>
  <c r="D26" i="2"/>
  <c r="D47" i="2" s="1"/>
  <c r="G26" i="2"/>
  <c r="G47" i="2" s="1"/>
  <c r="H26" i="2"/>
  <c r="H47" i="2" s="1"/>
  <c r="B35" i="2"/>
  <c r="B56" i="2" s="1"/>
  <c r="C35" i="2"/>
  <c r="C56" i="2" s="1"/>
  <c r="D35" i="2"/>
  <c r="D56" i="2" s="1"/>
  <c r="A27" i="2"/>
  <c r="A48" i="2" s="1"/>
  <c r="A28" i="2"/>
  <c r="A49" i="2" s="1"/>
  <c r="A29" i="2"/>
  <c r="A50" i="2" s="1"/>
  <c r="A30" i="2"/>
  <c r="A51" i="2" s="1"/>
  <c r="A31" i="2"/>
  <c r="A52" i="2" s="1"/>
  <c r="A36" i="2"/>
  <c r="A57" i="2" s="1"/>
  <c r="A37" i="2"/>
  <c r="A58" i="2" s="1"/>
  <c r="A38" i="2"/>
  <c r="A59" i="2" s="1"/>
  <c r="A39" i="2"/>
  <c r="A60" i="2" s="1"/>
  <c r="A40" i="2"/>
  <c r="A61" i="2" s="1"/>
  <c r="K15" i="2"/>
  <c r="K16" i="2"/>
  <c r="K17" i="2"/>
  <c r="K18" i="2"/>
  <c r="K19" i="2"/>
  <c r="K6" i="2"/>
  <c r="K7" i="2"/>
  <c r="K8" i="2"/>
  <c r="K9" i="2"/>
  <c r="K10" i="2"/>
  <c r="B9" i="2"/>
  <c r="B30" i="2" s="1"/>
  <c r="C6" i="2"/>
  <c r="D15" i="2"/>
  <c r="E15" i="2"/>
  <c r="F15" i="2"/>
  <c r="G15" i="2"/>
  <c r="H15" i="2"/>
  <c r="H57" i="2" s="1"/>
  <c r="I15" i="2"/>
  <c r="J15" i="2"/>
  <c r="D16" i="2"/>
  <c r="E16" i="2"/>
  <c r="F16" i="2"/>
  <c r="G16" i="2"/>
  <c r="H16" i="2"/>
  <c r="I16" i="2"/>
  <c r="I58" i="2" s="1"/>
  <c r="J16" i="2"/>
  <c r="D17" i="2"/>
  <c r="E17" i="2"/>
  <c r="F17" i="2"/>
  <c r="G17" i="2"/>
  <c r="H17" i="2"/>
  <c r="I17" i="2"/>
  <c r="J17" i="2"/>
  <c r="J59" i="2" s="1"/>
  <c r="D18" i="2"/>
  <c r="E18" i="2"/>
  <c r="F18" i="2"/>
  <c r="G18" i="2"/>
  <c r="G60" i="2" s="1"/>
  <c r="H18" i="2"/>
  <c r="I18" i="2"/>
  <c r="J18" i="2"/>
  <c r="D19" i="2"/>
  <c r="K40" i="2" s="1"/>
  <c r="E19" i="2"/>
  <c r="F19" i="2"/>
  <c r="G19" i="2"/>
  <c r="H19" i="2"/>
  <c r="H61" i="2" s="1"/>
  <c r="I19" i="2"/>
  <c r="J19" i="2"/>
  <c r="D6" i="2"/>
  <c r="D48" i="2" s="1"/>
  <c r="E6" i="2"/>
  <c r="F6" i="2"/>
  <c r="G6" i="2"/>
  <c r="H6" i="2"/>
  <c r="I6" i="2"/>
  <c r="I48" i="2" s="1"/>
  <c r="J6" i="2"/>
  <c r="D7" i="2"/>
  <c r="E7" i="2"/>
  <c r="F7" i="2"/>
  <c r="F49" i="2" s="1"/>
  <c r="G7" i="2"/>
  <c r="H7" i="2"/>
  <c r="I7" i="2"/>
  <c r="J7" i="2"/>
  <c r="D8" i="2"/>
  <c r="E8" i="2"/>
  <c r="F8" i="2"/>
  <c r="G8" i="2"/>
  <c r="G50" i="2" s="1"/>
  <c r="H8" i="2"/>
  <c r="I8" i="2"/>
  <c r="J8" i="2"/>
  <c r="D9" i="2"/>
  <c r="E9" i="2"/>
  <c r="F9" i="2"/>
  <c r="G9" i="2"/>
  <c r="H9" i="2"/>
  <c r="I9" i="2"/>
  <c r="J9" i="2"/>
  <c r="D10" i="2"/>
  <c r="D31" i="2" s="1"/>
  <c r="E10" i="2"/>
  <c r="F10" i="2"/>
  <c r="G10" i="2"/>
  <c r="H10" i="2"/>
  <c r="I10" i="2"/>
  <c r="J10" i="2"/>
  <c r="C15" i="2"/>
  <c r="C16" i="2"/>
  <c r="C17" i="2"/>
  <c r="C9" i="2"/>
  <c r="C18" i="2"/>
  <c r="C19" i="2"/>
  <c r="B19" i="2" s="1"/>
  <c r="E14" i="2"/>
  <c r="F14" i="2" s="1"/>
  <c r="G14" i="2" s="1"/>
  <c r="H14" i="2" s="1"/>
  <c r="I14" i="2" s="1"/>
  <c r="J14" i="2" s="1"/>
  <c r="K14" i="2" s="1"/>
  <c r="K35" i="2" s="1"/>
  <c r="K56" i="2" s="1"/>
  <c r="A13" i="2"/>
  <c r="A34" i="2" s="1"/>
  <c r="A55" i="2" s="1"/>
  <c r="A4" i="2"/>
  <c r="A25" i="2" s="1"/>
  <c r="A46" i="2" s="1"/>
  <c r="C7" i="2"/>
  <c r="C8" i="2"/>
  <c r="C29" i="2" s="1"/>
  <c r="C10" i="2"/>
  <c r="E5" i="2"/>
  <c r="F5" i="2" s="1"/>
  <c r="G5" i="2" s="1"/>
  <c r="H5" i="2" s="1"/>
  <c r="I5" i="2" s="1"/>
  <c r="J5" i="2" s="1"/>
  <c r="K5" i="2" s="1"/>
  <c r="K26" i="2" s="1"/>
  <c r="K47" i="2" s="1"/>
  <c r="C36" i="2" l="1"/>
  <c r="J30" i="2"/>
  <c r="J51" i="2"/>
  <c r="I29" i="2"/>
  <c r="I50" i="2"/>
  <c r="H28" i="2"/>
  <c r="H49" i="2"/>
  <c r="G27" i="2"/>
  <c r="G48" i="2"/>
  <c r="F40" i="2"/>
  <c r="F61" i="2"/>
  <c r="E39" i="2"/>
  <c r="E60" i="2"/>
  <c r="D38" i="2"/>
  <c r="D59" i="2"/>
  <c r="J36" i="2"/>
  <c r="J57" i="2"/>
  <c r="K38" i="2"/>
  <c r="K59" i="2"/>
  <c r="H40" i="2"/>
  <c r="J31" i="2"/>
  <c r="J52" i="2"/>
  <c r="I30" i="2"/>
  <c r="I51" i="2"/>
  <c r="H29" i="2"/>
  <c r="H50" i="2"/>
  <c r="G28" i="2"/>
  <c r="G49" i="2"/>
  <c r="F27" i="2"/>
  <c r="F48" i="2"/>
  <c r="E61" i="2"/>
  <c r="D61" i="2" s="1"/>
  <c r="D60" i="2"/>
  <c r="J58" i="2"/>
  <c r="I36" i="2"/>
  <c r="I57" i="2"/>
  <c r="K52" i="2"/>
  <c r="K37" i="2"/>
  <c r="K58" i="2"/>
  <c r="I26" i="2"/>
  <c r="I47" i="2" s="1"/>
  <c r="I27" i="2"/>
  <c r="E40" i="2"/>
  <c r="I31" i="2"/>
  <c r="I52" i="2"/>
  <c r="K30" i="2"/>
  <c r="K51" i="2"/>
  <c r="F29" i="2"/>
  <c r="F50" i="2"/>
  <c r="F30" i="2"/>
  <c r="F51" i="2"/>
  <c r="D28" i="2"/>
  <c r="D49" i="2"/>
  <c r="J40" i="2"/>
  <c r="J61" i="2"/>
  <c r="G37" i="2"/>
  <c r="G58" i="2"/>
  <c r="F36" i="2"/>
  <c r="F57" i="2"/>
  <c r="K28" i="2"/>
  <c r="K49" i="2"/>
  <c r="C30" i="2"/>
  <c r="B51" i="2" s="1"/>
  <c r="C51" i="2"/>
  <c r="F31" i="2"/>
  <c r="F52" i="2"/>
  <c r="E51" i="2"/>
  <c r="D50" i="2"/>
  <c r="J27" i="2"/>
  <c r="J48" i="2"/>
  <c r="I40" i="2"/>
  <c r="I61" i="2"/>
  <c r="H39" i="2"/>
  <c r="H60" i="2"/>
  <c r="G38" i="2"/>
  <c r="G59" i="2"/>
  <c r="F37" i="2"/>
  <c r="F58" i="2"/>
  <c r="E36" i="2"/>
  <c r="E57" i="2"/>
  <c r="K48" i="2"/>
  <c r="E35" i="2"/>
  <c r="E56" i="2" s="1"/>
  <c r="E30" i="2"/>
  <c r="J37" i="2"/>
  <c r="H30" i="2"/>
  <c r="H51" i="2"/>
  <c r="E27" i="2"/>
  <c r="E48" i="2"/>
  <c r="H31" i="2"/>
  <c r="H52" i="2"/>
  <c r="E28" i="2"/>
  <c r="E49" i="2"/>
  <c r="J39" i="2"/>
  <c r="J60" i="2"/>
  <c r="I38" i="2"/>
  <c r="I59" i="2"/>
  <c r="H37" i="2"/>
  <c r="H58" i="2"/>
  <c r="K29" i="2"/>
  <c r="K50" i="2"/>
  <c r="F28" i="2"/>
  <c r="B18" i="2"/>
  <c r="B39" i="2" s="1"/>
  <c r="C60" i="2"/>
  <c r="E29" i="2"/>
  <c r="E50" i="2"/>
  <c r="H38" i="2"/>
  <c r="H59" i="2"/>
  <c r="F26" i="2"/>
  <c r="F47" i="2" s="1"/>
  <c r="B8" i="2"/>
  <c r="B29" i="2" s="1"/>
  <c r="B50" i="2" s="1"/>
  <c r="C50" i="2"/>
  <c r="C38" i="2"/>
  <c r="E31" i="2"/>
  <c r="E52" i="2"/>
  <c r="D51" i="2"/>
  <c r="J28" i="2"/>
  <c r="J49" i="2"/>
  <c r="F59" i="2"/>
  <c r="E58" i="2"/>
  <c r="D57" i="2"/>
  <c r="K61" i="2"/>
  <c r="D30" i="2"/>
  <c r="D39" i="2"/>
  <c r="I37" i="2"/>
  <c r="K36" i="2"/>
  <c r="K57" i="2"/>
  <c r="G30" i="2"/>
  <c r="G51" i="2"/>
  <c r="G36" i="2"/>
  <c r="G57" i="2"/>
  <c r="D27" i="2"/>
  <c r="J38" i="2"/>
  <c r="G31" i="2"/>
  <c r="G52" i="2"/>
  <c r="I39" i="2"/>
  <c r="I60" i="2"/>
  <c r="B7" i="2"/>
  <c r="B28" i="2" s="1"/>
  <c r="C37" i="2"/>
  <c r="J29" i="2"/>
  <c r="J50" i="2"/>
  <c r="I49" i="2"/>
  <c r="H48" i="2"/>
  <c r="G40" i="2"/>
  <c r="G61" i="2"/>
  <c r="F39" i="2"/>
  <c r="F60" i="2"/>
  <c r="E38" i="2"/>
  <c r="E59" i="2"/>
  <c r="D58" i="2"/>
  <c r="K60" i="2"/>
  <c r="G29" i="2"/>
  <c r="D40" i="2"/>
  <c r="E37" i="2"/>
  <c r="D36" i="2"/>
  <c r="D37" i="2"/>
  <c r="C39" i="2"/>
  <c r="K39" i="2"/>
  <c r="C28" i="2"/>
  <c r="H36" i="2"/>
  <c r="B6" i="2"/>
  <c r="C48" i="2" s="1"/>
  <c r="B10" i="2"/>
  <c r="B15" i="2"/>
  <c r="C57" i="2" s="1"/>
  <c r="J35" i="2"/>
  <c r="J56" i="2" s="1"/>
  <c r="B17" i="2"/>
  <c r="B38" i="2" s="1"/>
  <c r="B59" i="2" s="1"/>
  <c r="I35" i="2"/>
  <c r="I56" i="2" s="1"/>
  <c r="E26" i="2"/>
  <c r="E47" i="2" s="1"/>
  <c r="B16" i="2"/>
  <c r="B37" i="2" s="1"/>
  <c r="H35" i="2"/>
  <c r="H56" i="2" s="1"/>
  <c r="G35" i="2"/>
  <c r="G56" i="2" s="1"/>
  <c r="F35" i="2"/>
  <c r="F56" i="2" s="1"/>
  <c r="J26" i="2"/>
  <c r="J47" i="2" s="1"/>
  <c r="B49" i="2" l="1"/>
  <c r="C59" i="2"/>
  <c r="C58" i="2"/>
  <c r="B27" i="2"/>
  <c r="B48" i="2"/>
  <c r="B60" i="2"/>
  <c r="B36" i="2"/>
  <c r="B57" i="2"/>
  <c r="B58" i="2"/>
  <c r="C49" i="2"/>
</calcChain>
</file>

<file path=xl/comments1.xml><?xml version="1.0" encoding="utf-8"?>
<comments xmlns="http://schemas.openxmlformats.org/spreadsheetml/2006/main">
  <authors>
    <author>tk</author>
  </authors>
  <commentList>
    <comment ref="A15" authorId="0" shapeId="0">
      <text>
        <r>
          <rPr>
            <b/>
            <sz val="8"/>
            <color indexed="81"/>
            <rFont val="Tahoma"/>
            <family val="2"/>
          </rPr>
          <t>tk:</t>
        </r>
        <r>
          <rPr>
            <sz val="8"/>
            <color indexed="81"/>
            <rFont val="Tahoma"/>
            <family val="2"/>
          </rPr>
          <t xml:space="preserve">
Müll, Klärschlamm</t>
        </r>
      </text>
    </comment>
  </commentList>
</comments>
</file>

<file path=xl/sharedStrings.xml><?xml version="1.0" encoding="utf-8"?>
<sst xmlns="http://schemas.openxmlformats.org/spreadsheetml/2006/main" count="582" uniqueCount="110">
  <si>
    <t>PJ</t>
  </si>
  <si>
    <t>Biomasse-HKW-TWh</t>
  </si>
  <si>
    <t>KWK-TWh</t>
  </si>
  <si>
    <t>Max-TWh</t>
  </si>
  <si>
    <t>Min TWh</t>
  </si>
  <si>
    <t>Summe in PJ</t>
  </si>
  <si>
    <t>Summe</t>
  </si>
  <si>
    <t>Biomasse-(H)KW</t>
  </si>
  <si>
    <t>Biogasanlagen</t>
  </si>
  <si>
    <t>Palmöl-BHKW</t>
  </si>
  <si>
    <t>BHKW (fossil)</t>
  </si>
  <si>
    <t>Erzeugung Minimum Strom in KWK in GWh</t>
  </si>
  <si>
    <t>Biomasse KWK-Strom</t>
  </si>
  <si>
    <t>SUMME</t>
  </si>
  <si>
    <t>Check: MAX &gt;= MIN</t>
  </si>
  <si>
    <t>[PJ]</t>
  </si>
  <si>
    <t>Festlegung mit Herrn Voß</t>
  </si>
  <si>
    <t>Maximale Stromerzeugung: HGF-Studie "Zukünftige Ausbaumöglichkeiten regenerativer Energien"; Orientierungsszenario</t>
  </si>
  <si>
    <t>Mindeststromerzeugung: EWI/prognos-Studie "Energiereport IV" (S. 372) + eigene Berechnungen</t>
  </si>
  <si>
    <t>Quellen:</t>
  </si>
  <si>
    <t>[TWh]</t>
  </si>
  <si>
    <t>Biomasse (feste)</t>
  </si>
  <si>
    <t>Biogase</t>
  </si>
  <si>
    <t>Quelle: IIP</t>
  </si>
  <si>
    <t>Quelle: IIP (2,9), plus Zuschlag</t>
  </si>
  <si>
    <t>Quelle: IIP (3,0), plus Zuschlag</t>
  </si>
  <si>
    <t>MAXIMALE STROMERZEUGUNG AUS ERNEUERBAREN ENERGIEQUELLEN in Baden-Württemberg</t>
  </si>
  <si>
    <t>Geothermie</t>
  </si>
  <si>
    <t>Biogener Anteil des Abfalls</t>
  </si>
  <si>
    <t>Deponiegas</t>
  </si>
  <si>
    <t>Klärgas</t>
  </si>
  <si>
    <t>Biogas</t>
  </si>
  <si>
    <t>Biogene flüssige Brennstoffe</t>
  </si>
  <si>
    <t>Stroh, Energiegras</t>
  </si>
  <si>
    <t>Holz</t>
  </si>
  <si>
    <t>Photovoltaik</t>
  </si>
  <si>
    <t>- offshore</t>
  </si>
  <si>
    <t>- onshore</t>
  </si>
  <si>
    <t>Windkraft</t>
  </si>
  <si>
    <t>Lauf-, Speicherwasser</t>
  </si>
  <si>
    <t>MINIMALE STROMERZEUGUNG AUS ERNEUERBAREN ENERGIEQUELLEN Baden-Württemberg</t>
  </si>
  <si>
    <t>Endenergie</t>
  </si>
  <si>
    <t>O.K.</t>
  </si>
  <si>
    <t>bHydro</t>
  </si>
  <si>
    <t>mSolar</t>
  </si>
  <si>
    <t>mWind</t>
  </si>
  <si>
    <t>bBio</t>
  </si>
  <si>
    <t>bGeo</t>
  </si>
  <si>
    <t>PFADE</t>
  </si>
  <si>
    <t>ORIGINAL (TWh)</t>
  </si>
  <si>
    <t>Mimik</t>
  </si>
  <si>
    <t>Retrofit</t>
  </si>
  <si>
    <t>bBC</t>
  </si>
  <si>
    <t>N:\esa\671_Braunkohle 2030 RWE\Daten</t>
  </si>
  <si>
    <t>Bestand</t>
  </si>
  <si>
    <t>Path_Retrofit</t>
  </si>
  <si>
    <t>Path_Bestand</t>
  </si>
  <si>
    <t>BRD gesamt</t>
  </si>
  <si>
    <t>usk</t>
  </si>
  <si>
    <t>skl</t>
  </si>
  <si>
    <t>D:\GAMS\GTAP8inGAMS\Rutherford - EnHH - 3 - RWE\xcel_data\Labor_baseyear_ob_1</t>
  </si>
  <si>
    <r>
      <t xml:space="preserve">Number of </t>
    </r>
    <r>
      <rPr>
        <b/>
        <sz val="11"/>
        <color theme="1"/>
        <rFont val="Calibri"/>
        <family val="2"/>
        <scheme val="minor"/>
      </rPr>
      <t>employees</t>
    </r>
    <r>
      <rPr>
        <sz val="11"/>
        <color theme="1"/>
        <rFont val="Calibri"/>
        <family val="2"/>
        <scheme val="minor"/>
      </rPr>
      <t xml:space="preserve"> in Millions (Source: ILO)</t>
    </r>
  </si>
  <si>
    <r>
      <t xml:space="preserve">Number of </t>
    </r>
    <r>
      <rPr>
        <b/>
        <sz val="11"/>
        <color theme="1"/>
        <rFont val="Calibri"/>
        <family val="2"/>
        <scheme val="minor"/>
      </rPr>
      <t>unemployed</t>
    </r>
    <r>
      <rPr>
        <sz val="11"/>
        <color theme="1"/>
        <rFont val="Calibri"/>
        <family val="2"/>
        <scheme val="minor"/>
      </rPr>
      <t xml:space="preserve"> in Millions (Source: ILO)</t>
    </r>
  </si>
  <si>
    <t>Volllaststunden</t>
  </si>
  <si>
    <t>Retrofit_kum15 = rollierende Kumulation der neuen Kapazitäten über 15 Jahre</t>
  </si>
  <si>
    <t>GW</t>
  </si>
  <si>
    <t>Ref_CO2CAP_PlantInv_2190</t>
  </si>
  <si>
    <t>LIG_DE_path</t>
  </si>
  <si>
    <t>max aus ST und ST_CCS</t>
  </si>
  <si>
    <t>Mittelwert</t>
  </si>
  <si>
    <t>Retrofit_p.a.</t>
  </si>
  <si>
    <t>Retrofit_kum</t>
  </si>
  <si>
    <t>Retrofit_kum15</t>
  </si>
  <si>
    <t>ALL</t>
  </si>
  <si>
    <t>TWh (Volllaststunden)</t>
  </si>
  <si>
    <t>ProdEnergy_DE_8760</t>
  </si>
  <si>
    <t>Volllaststunden (Mittelwert)</t>
  </si>
  <si>
    <t xml:space="preserve">TWh </t>
  </si>
  <si>
    <t>manuelles Fitting:</t>
  </si>
  <si>
    <t>Quelle: ele_prod.xlsx</t>
  </si>
  <si>
    <t>Verknüpfung mit Statistik und NEWAGE</t>
  </si>
  <si>
    <t>Neue Anlagen: Annahme für 2007 und 2015 1,5% von ALL</t>
  </si>
  <si>
    <t>Braunkohle in DEU</t>
  </si>
  <si>
    <t>wird eingelesen:</t>
  </si>
  <si>
    <t>TWh_new</t>
  </si>
  <si>
    <t>TWh_xtant</t>
  </si>
  <si>
    <t>TWh_all</t>
  </si>
  <si>
    <t>Path_new</t>
  </si>
  <si>
    <t>Path_xtant</t>
  </si>
  <si>
    <t>Path_all</t>
  </si>
  <si>
    <t>Path_xtant_lower</t>
  </si>
  <si>
    <t>NEWAGE</t>
  </si>
  <si>
    <t>TWh_real</t>
  </si>
  <si>
    <t>Path_real</t>
  </si>
  <si>
    <t>Path_lower</t>
  </si>
  <si>
    <t>Path_higher</t>
  </si>
  <si>
    <t>TWh_real_capital</t>
  </si>
  <si>
    <t>Path_real_capital</t>
  </si>
  <si>
    <t>2014-11-26_Braunkohle-Blöcke in Deutschland_edit_th.xlsx</t>
  </si>
  <si>
    <t>Residuale Braunkohlekapazitäten in Deutschland (Sterbekurve)</t>
  </si>
  <si>
    <t>Leistung MW</t>
  </si>
  <si>
    <t>Pfad</t>
  </si>
  <si>
    <t>CCS basisjahr TWh</t>
  </si>
  <si>
    <t>EINLESEN</t>
  </si>
  <si>
    <t>bCCS</t>
  </si>
  <si>
    <t>extra Erzeugung um in 2035 negative Bestandsabschreibung zu verhindern:</t>
  </si>
  <si>
    <t>2015-03-10_Auswertung_Ref_VoCCS_VharmEE_2190.xlsx</t>
  </si>
  <si>
    <t>N:\esa\671_Braunkohle 2030 RWE\Daten\E2M2s_Auswertungen</t>
  </si>
  <si>
    <t>BASIERT auf: N:\esa\671_Braunkohle 2030 RWE\Daten\E2M2s_Auswertungen\[2015-03-10_Auswertung_Ref_VoCCS_VharmEE_2190.xlsx</t>
  </si>
  <si>
    <t>* Values takem from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</si>
</sst>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0.0"/>
    <numFmt numFmtId="165" formatCode="#,##0.0"/>
    <numFmt numFmtId="166" formatCode="0.000"/>
    <numFmt numFmtId="167" formatCode="0.0000"/>
    <numFmt numFmtId="168" formatCode="#,##0.000"/>
    <numFmt numFmtId="169" formatCode="0.0%"/>
  </numFmts>
  <fonts count="3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sz val="11"/>
      <color indexed="55"/>
      <name val="Arial"/>
      <family val="2"/>
    </font>
    <font>
      <sz val="11"/>
      <color indexed="12"/>
      <name val="Arial"/>
      <family val="2"/>
    </font>
    <font>
      <b/>
      <sz val="11"/>
      <color indexed="12"/>
      <name val="Arial"/>
      <family val="2"/>
    </font>
    <font>
      <b/>
      <sz val="11"/>
      <color rgb="FFFF0000"/>
      <name val="Arial"/>
      <family val="2"/>
    </font>
    <font>
      <b/>
      <sz val="11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0" tint="-0.249977111117893"/>
      <name val="Arial"/>
      <family val="2"/>
    </font>
    <font>
      <b/>
      <sz val="10"/>
      <color theme="0" tint="-0.249977111117893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 style="thin">
        <color indexed="2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5" fillId="0" borderId="0"/>
    <xf numFmtId="0" fontId="5" fillId="0" borderId="0"/>
    <xf numFmtId="0" fontId="26" fillId="0" borderId="0"/>
    <xf numFmtId="0" fontId="25" fillId="0" borderId="0"/>
    <xf numFmtId="0" fontId="4" fillId="0" borderId="0"/>
    <xf numFmtId="0" fontId="27" fillId="0" borderId="0"/>
    <xf numFmtId="0" fontId="28" fillId="0" borderId="0"/>
    <xf numFmtId="9" fontId="29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9" fillId="0" borderId="0"/>
    <xf numFmtId="0" fontId="3" fillId="0" borderId="0"/>
    <xf numFmtId="0" fontId="31" fillId="0" borderId="0"/>
    <xf numFmtId="9" fontId="5" fillId="0" borderId="0" applyFont="0" applyFill="0" applyBorder="0" applyAlignment="0" applyProtection="0"/>
  </cellStyleXfs>
  <cellXfs count="302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5" fontId="0" fillId="0" borderId="1" xfId="0" applyNumberFormat="1" applyBorder="1"/>
    <xf numFmtId="165" fontId="6" fillId="0" borderId="0" xfId="0" applyNumberFormat="1" applyFont="1" applyAlignment="1">
      <alignment horizontal="center"/>
    </xf>
    <xf numFmtId="165" fontId="0" fillId="0" borderId="0" xfId="0" applyNumberFormat="1" applyBorder="1"/>
    <xf numFmtId="0" fontId="5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7" fillId="3" borderId="1" xfId="0" applyNumberFormat="1" applyFont="1" applyFill="1" applyBorder="1"/>
    <xf numFmtId="1" fontId="7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7" fillId="3" borderId="1" xfId="0" applyFont="1" applyFill="1" applyBorder="1"/>
    <xf numFmtId="1" fontId="0" fillId="4" borderId="1" xfId="0" applyNumberFormat="1" applyFill="1" applyBorder="1"/>
    <xf numFmtId="1" fontId="0" fillId="4" borderId="0" xfId="0" applyNumberFormat="1" applyFill="1" applyBorder="1"/>
    <xf numFmtId="0" fontId="6" fillId="4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1" xfId="0" applyFill="1" applyBorder="1"/>
    <xf numFmtId="1" fontId="0" fillId="0" borderId="1" xfId="0" applyNumberFormat="1" applyBorder="1"/>
    <xf numFmtId="1" fontId="0" fillId="0" borderId="0" xfId="0" applyNumberFormat="1" applyBorder="1"/>
    <xf numFmtId="0" fontId="7" fillId="3" borderId="0" xfId="0" applyFont="1" applyFill="1" applyBorder="1"/>
    <xf numFmtId="0" fontId="0" fillId="3" borderId="1" xfId="0" applyFill="1" applyBorder="1"/>
    <xf numFmtId="0" fontId="5" fillId="0" borderId="0" xfId="0" applyFont="1" applyAlignment="1">
      <alignment horizontal="center"/>
    </xf>
    <xf numFmtId="0" fontId="7" fillId="0" borderId="0" xfId="0" applyFont="1"/>
    <xf numFmtId="164" fontId="6" fillId="3" borderId="2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164" fontId="9" fillId="0" borderId="5" xfId="0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164" fontId="9" fillId="0" borderId="8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4" fontId="9" fillId="3" borderId="8" xfId="0" applyNumberFormat="1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horizontal="center" vertical="center"/>
    </xf>
    <xf numFmtId="0" fontId="10" fillId="3" borderId="9" xfId="0" quotePrefix="1" applyFont="1" applyFill="1" applyBorder="1" applyAlignment="1">
      <alignment vertical="center"/>
    </xf>
    <xf numFmtId="1" fontId="8" fillId="3" borderId="10" xfId="0" applyNumberFormat="1" applyFont="1" applyFill="1" applyBorder="1" applyAlignment="1">
      <alignment horizontal="center" vertical="center" wrapText="1"/>
    </xf>
    <xf numFmtId="1" fontId="8" fillId="3" borderId="11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5" fillId="0" borderId="0" xfId="0" applyFont="1"/>
    <xf numFmtId="164" fontId="6" fillId="3" borderId="13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vertical="center"/>
    </xf>
    <xf numFmtId="164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4" fontId="10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/>
    <xf numFmtId="166" fontId="6" fillId="0" borderId="0" xfId="0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/>
    <xf numFmtId="166" fontId="6" fillId="0" borderId="14" xfId="0" applyNumberFormat="1" applyFont="1" applyFill="1" applyBorder="1" applyAlignment="1">
      <alignment horizontal="center"/>
    </xf>
    <xf numFmtId="166" fontId="6" fillId="0" borderId="6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0" borderId="15" xfId="0" applyFont="1" applyBorder="1" applyAlignment="1">
      <alignment vertical="center"/>
    </xf>
    <xf numFmtId="2" fontId="6" fillId="0" borderId="1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66" fontId="6" fillId="5" borderId="1" xfId="0" applyNumberFormat="1" applyFont="1" applyFill="1" applyBorder="1" applyAlignment="1">
      <alignment horizontal="center"/>
    </xf>
    <xf numFmtId="0" fontId="6" fillId="0" borderId="17" xfId="0" applyFont="1" applyBorder="1"/>
    <xf numFmtId="2" fontId="6" fillId="3" borderId="18" xfId="0" applyNumberFormat="1" applyFont="1" applyFill="1" applyBorder="1" applyAlignment="1">
      <alignment horizontal="center" vertical="center" wrapText="1"/>
    </xf>
    <xf numFmtId="2" fontId="6" fillId="3" borderId="13" xfId="0" applyNumberFormat="1" applyFont="1" applyFill="1" applyBorder="1" applyAlignment="1">
      <alignment horizontal="center" vertical="center" wrapText="1"/>
    </xf>
    <xf numFmtId="166" fontId="6" fillId="3" borderId="19" xfId="0" applyNumberFormat="1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vertical="center"/>
    </xf>
    <xf numFmtId="2" fontId="13" fillId="0" borderId="14" xfId="0" applyNumberFormat="1" applyFont="1" applyFill="1" applyBorder="1" applyAlignment="1">
      <alignment horizontal="center" vertical="center" wrapText="1"/>
    </xf>
    <xf numFmtId="2" fontId="13" fillId="0" borderId="6" xfId="0" applyNumberFormat="1" applyFont="1" applyFill="1" applyBorder="1" applyAlignment="1">
      <alignment horizontal="center" vertical="center" wrapText="1"/>
    </xf>
    <xf numFmtId="2" fontId="6" fillId="6" borderId="6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0" xfId="0" applyFont="1" applyFill="1" applyBorder="1"/>
    <xf numFmtId="2" fontId="6" fillId="0" borderId="16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2" fontId="6" fillId="0" borderId="0" xfId="0" applyNumberFormat="1" applyFont="1" applyFill="1" applyBorder="1" applyAlignment="1">
      <alignment horizontal="center" vertical="center" wrapText="1"/>
    </xf>
    <xf numFmtId="2" fontId="13" fillId="0" borderId="16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 wrapText="1"/>
    </xf>
    <xf numFmtId="2" fontId="10" fillId="0" borderId="16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2" fontId="10" fillId="6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0" fillId="0" borderId="23" xfId="0" quotePrefix="1" applyFont="1" applyBorder="1" applyAlignment="1">
      <alignment horizontal="center" vertical="center"/>
    </xf>
    <xf numFmtId="0" fontId="10" fillId="0" borderId="17" xfId="0" quotePrefix="1" applyFont="1" applyBorder="1" applyAlignment="1">
      <alignment vertical="center"/>
    </xf>
    <xf numFmtId="1" fontId="8" fillId="3" borderId="24" xfId="0" applyNumberFormat="1" applyFont="1" applyFill="1" applyBorder="1" applyAlignment="1">
      <alignment horizontal="center" vertical="center" wrapText="1"/>
    </xf>
    <xf numFmtId="1" fontId="8" fillId="3" borderId="25" xfId="0" applyNumberFormat="1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166" fontId="9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164" fontId="6" fillId="0" borderId="0" xfId="0" applyNumberFormat="1" applyFont="1"/>
    <xf numFmtId="2" fontId="6" fillId="3" borderId="24" xfId="0" applyNumberFormat="1" applyFont="1" applyFill="1" applyBorder="1" applyAlignment="1">
      <alignment horizontal="center" vertical="center" wrapText="1"/>
    </xf>
    <xf numFmtId="2" fontId="6" fillId="3" borderId="25" xfId="0" applyNumberFormat="1" applyFont="1" applyFill="1" applyBorder="1" applyAlignment="1">
      <alignment horizontal="center" vertical="center" wrapText="1"/>
    </xf>
    <xf numFmtId="166" fontId="6" fillId="3" borderId="25" xfId="0" applyNumberFormat="1" applyFont="1" applyFill="1" applyBorder="1" applyAlignment="1">
      <alignment horizontal="center" vertical="center" wrapText="1"/>
    </xf>
    <xf numFmtId="2" fontId="6" fillId="0" borderId="6" xfId="0" applyNumberFormat="1" applyFont="1" applyFill="1" applyBorder="1" applyAlignment="1">
      <alignment horizontal="center" vertical="center" wrapText="1"/>
    </xf>
    <xf numFmtId="167" fontId="6" fillId="5" borderId="6" xfId="0" applyNumberFormat="1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166" fontId="6" fillId="5" borderId="1" xfId="0" applyNumberFormat="1" applyFont="1" applyFill="1" applyBorder="1" applyAlignment="1">
      <alignment horizontal="center" vertical="center" wrapText="1"/>
    </xf>
    <xf numFmtId="2" fontId="10" fillId="5" borderId="1" xfId="0" applyNumberFormat="1" applyFont="1" applyFill="1" applyBorder="1" applyAlignment="1">
      <alignment horizontal="center" vertical="center" wrapText="1"/>
    </xf>
    <xf numFmtId="166" fontId="10" fillId="5" borderId="1" xfId="0" applyNumberFormat="1" applyFont="1" applyFill="1" applyBorder="1" applyAlignment="1">
      <alignment horizontal="center" vertical="center" wrapText="1"/>
    </xf>
    <xf numFmtId="166" fontId="10" fillId="0" borderId="1" xfId="0" applyNumberFormat="1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4" fillId="0" borderId="0" xfId="0" applyFont="1"/>
    <xf numFmtId="2" fontId="0" fillId="0" borderId="0" xfId="0" applyNumberFormat="1"/>
    <xf numFmtId="2" fontId="17" fillId="0" borderId="0" xfId="0" applyNumberFormat="1" applyFont="1"/>
    <xf numFmtId="0" fontId="18" fillId="0" borderId="0" xfId="0" applyFont="1"/>
    <xf numFmtId="0" fontId="19" fillId="7" borderId="0" xfId="0" applyFont="1" applyFill="1"/>
    <xf numFmtId="2" fontId="0" fillId="0" borderId="0" xfId="0" applyNumberFormat="1" applyFont="1"/>
    <xf numFmtId="2" fontId="20" fillId="0" borderId="0" xfId="0" applyNumberFormat="1" applyFont="1"/>
    <xf numFmtId="0" fontId="20" fillId="0" borderId="0" xfId="0" applyFont="1" applyAlignment="1">
      <alignment horizontal="right"/>
    </xf>
    <xf numFmtId="0" fontId="7" fillId="8" borderId="0" xfId="0" applyFont="1" applyFill="1"/>
    <xf numFmtId="0" fontId="7" fillId="9" borderId="0" xfId="0" applyFont="1" applyFill="1"/>
    <xf numFmtId="1" fontId="17" fillId="0" borderId="0" xfId="0" applyNumberFormat="1" applyFont="1"/>
    <xf numFmtId="1" fontId="20" fillId="0" borderId="0" xfId="0" applyNumberFormat="1" applyFont="1"/>
    <xf numFmtId="0" fontId="21" fillId="10" borderId="0" xfId="0" applyFont="1" applyFill="1"/>
    <xf numFmtId="0" fontId="21" fillId="0" borderId="0" xfId="0" applyFont="1"/>
    <xf numFmtId="1" fontId="21" fillId="0" borderId="0" xfId="0" applyNumberFormat="1" applyFont="1"/>
    <xf numFmtId="2" fontId="21" fillId="0" borderId="0" xfId="0" applyNumberFormat="1" applyFont="1"/>
    <xf numFmtId="0" fontId="22" fillId="0" borderId="0" xfId="0" applyFont="1"/>
    <xf numFmtId="0" fontId="23" fillId="0" borderId="0" xfId="0" applyFont="1"/>
    <xf numFmtId="1" fontId="23" fillId="0" borderId="0" xfId="0" applyNumberFormat="1" applyFont="1"/>
    <xf numFmtId="2" fontId="23" fillId="0" borderId="0" xfId="0" applyNumberFormat="1" applyFont="1"/>
    <xf numFmtId="0" fontId="23" fillId="11" borderId="0" xfId="0" applyFont="1" applyFill="1"/>
    <xf numFmtId="0" fontId="22" fillId="12" borderId="0" xfId="0" applyFont="1" applyFill="1"/>
    <xf numFmtId="0" fontId="0" fillId="12" borderId="0" xfId="0" applyFill="1"/>
    <xf numFmtId="0" fontId="23" fillId="13" borderId="0" xfId="0" applyFont="1" applyFill="1"/>
    <xf numFmtId="1" fontId="23" fillId="13" borderId="0" xfId="0" applyNumberFormat="1" applyFont="1" applyFill="1"/>
    <xf numFmtId="2" fontId="23" fillId="13" borderId="0" xfId="0" applyNumberFormat="1" applyFont="1" applyFill="1"/>
    <xf numFmtId="0" fontId="23" fillId="0" borderId="0" xfId="0" applyFont="1" applyFill="1"/>
    <xf numFmtId="1" fontId="23" fillId="0" borderId="0" xfId="0" applyNumberFormat="1" applyFont="1" applyFill="1"/>
    <xf numFmtId="2" fontId="23" fillId="0" borderId="0" xfId="0" applyNumberFormat="1" applyFont="1" applyFill="1"/>
    <xf numFmtId="0" fontId="23" fillId="0" borderId="0" xfId="0" quotePrefix="1" applyFont="1"/>
    <xf numFmtId="0" fontId="21" fillId="10" borderId="29" xfId="0" applyFont="1" applyFill="1" applyBorder="1"/>
    <xf numFmtId="0" fontId="21" fillId="10" borderId="30" xfId="0" applyFont="1" applyFill="1" applyBorder="1"/>
    <xf numFmtId="0" fontId="23" fillId="14" borderId="28" xfId="0" applyFont="1" applyFill="1" applyBorder="1"/>
    <xf numFmtId="0" fontId="23" fillId="14" borderId="29" xfId="0" applyFont="1" applyFill="1" applyBorder="1"/>
    <xf numFmtId="0" fontId="23" fillId="11" borderId="31" xfId="0" applyFont="1" applyFill="1" applyBorder="1"/>
    <xf numFmtId="0" fontId="23" fillId="11" borderId="32" xfId="0" applyFont="1" applyFill="1" applyBorder="1"/>
    <xf numFmtId="1" fontId="23" fillId="11" borderId="32" xfId="0" applyNumberFormat="1" applyFont="1" applyFill="1" applyBorder="1"/>
    <xf numFmtId="2" fontId="23" fillId="11" borderId="32" xfId="0" applyNumberFormat="1" applyFont="1" applyFill="1" applyBorder="1"/>
    <xf numFmtId="2" fontId="23" fillId="11" borderId="33" xfId="0" applyNumberFormat="1" applyFont="1" applyFill="1" applyBorder="1"/>
    <xf numFmtId="0" fontId="4" fillId="0" borderId="0" xfId="1"/>
    <xf numFmtId="0" fontId="21" fillId="0" borderId="0" xfId="1" applyFont="1"/>
    <xf numFmtId="3" fontId="21" fillId="0" borderId="0" xfId="1" applyNumberFormat="1" applyFont="1" applyAlignment="1">
      <alignment horizontal="right"/>
    </xf>
    <xf numFmtId="0" fontId="21" fillId="0" borderId="0" xfId="1" applyFont="1" applyAlignment="1">
      <alignment horizontal="right"/>
    </xf>
    <xf numFmtId="0" fontId="4" fillId="0" borderId="0" xfId="1" applyAlignment="1">
      <alignment horizontal="right"/>
    </xf>
    <xf numFmtId="165" fontId="4" fillId="0" borderId="0" xfId="1" applyNumberFormat="1"/>
    <xf numFmtId="168" fontId="4" fillId="0" borderId="0" xfId="1" applyNumberFormat="1"/>
    <xf numFmtId="0" fontId="4" fillId="0" borderId="0" xfId="1" applyFont="1" applyAlignment="1">
      <alignment horizontal="right"/>
    </xf>
    <xf numFmtId="0" fontId="4" fillId="6" borderId="0" xfId="1" applyFill="1"/>
    <xf numFmtId="0" fontId="4" fillId="15" borderId="0" xfId="1" applyFill="1"/>
    <xf numFmtId="168" fontId="4" fillId="15" borderId="0" xfId="1" applyNumberFormat="1" applyFill="1"/>
    <xf numFmtId="0" fontId="4" fillId="10" borderId="0" xfId="1" applyFill="1"/>
    <xf numFmtId="0" fontId="3" fillId="0" borderId="0" xfId="15"/>
    <xf numFmtId="0" fontId="3" fillId="16" borderId="0" xfId="15" applyFill="1"/>
    <xf numFmtId="0" fontId="21" fillId="16" borderId="0" xfId="15" applyFont="1" applyFill="1"/>
    <xf numFmtId="0" fontId="32" fillId="0" borderId="0" xfId="16" applyFont="1" applyFill="1" applyBorder="1" applyAlignment="1">
      <alignment horizontal="right" wrapText="1"/>
    </xf>
    <xf numFmtId="0" fontId="3" fillId="16" borderId="0" xfId="15" applyFill="1" applyAlignment="1">
      <alignment horizontal="right"/>
    </xf>
    <xf numFmtId="1" fontId="33" fillId="16" borderId="0" xfId="15" applyNumberFormat="1" applyFont="1" applyFill="1"/>
    <xf numFmtId="0" fontId="3" fillId="16" borderId="0" xfId="15" applyFill="1" applyAlignment="1">
      <alignment horizontal="left"/>
    </xf>
    <xf numFmtId="1" fontId="3" fillId="16" borderId="0" xfId="15" applyNumberFormat="1" applyFill="1"/>
    <xf numFmtId="1" fontId="34" fillId="16" borderId="0" xfId="15" applyNumberFormat="1" applyFont="1" applyFill="1"/>
    <xf numFmtId="0" fontId="21" fillId="0" borderId="0" xfId="15" applyFont="1"/>
    <xf numFmtId="1" fontId="35" fillId="16" borderId="0" xfId="15" applyNumberFormat="1" applyFont="1" applyFill="1"/>
    <xf numFmtId="2" fontId="3" fillId="0" borderId="0" xfId="15" applyNumberFormat="1"/>
    <xf numFmtId="1" fontId="3" fillId="0" borderId="0" xfId="15" applyNumberFormat="1"/>
    <xf numFmtId="3" fontId="33" fillId="13" borderId="0" xfId="15" applyNumberFormat="1" applyFont="1" applyFill="1"/>
    <xf numFmtId="3" fontId="3" fillId="13" borderId="0" xfId="15" applyNumberFormat="1" applyFill="1"/>
    <xf numFmtId="0" fontId="36" fillId="13" borderId="0" xfId="15" applyFont="1" applyFill="1" applyAlignment="1">
      <alignment horizontal="right"/>
    </xf>
    <xf numFmtId="0" fontId="21" fillId="13" borderId="0" xfId="15" applyFont="1" applyFill="1" applyAlignment="1">
      <alignment horizontal="right"/>
    </xf>
    <xf numFmtId="0" fontId="36" fillId="13" borderId="0" xfId="15" applyFont="1" applyFill="1" applyBorder="1" applyAlignment="1">
      <alignment horizontal="right"/>
    </xf>
    <xf numFmtId="0" fontId="3" fillId="0" borderId="0" xfId="15" applyAlignment="1">
      <alignment horizontal="right"/>
    </xf>
    <xf numFmtId="164" fontId="3" fillId="17" borderId="0" xfId="15" applyNumberFormat="1" applyFill="1"/>
    <xf numFmtId="0" fontId="21" fillId="17" borderId="0" xfId="15" applyFont="1" applyFill="1" applyAlignment="1">
      <alignment horizontal="right"/>
    </xf>
    <xf numFmtId="0" fontId="21" fillId="0" borderId="28" xfId="15" applyFont="1" applyBorder="1"/>
    <xf numFmtId="0" fontId="3" fillId="0" borderId="29" xfId="15" applyBorder="1"/>
    <xf numFmtId="0" fontId="37" fillId="0" borderId="29" xfId="15" applyFont="1" applyBorder="1" applyAlignment="1">
      <alignment horizontal="right"/>
    </xf>
    <xf numFmtId="0" fontId="3" fillId="18" borderId="29" xfId="15" applyFill="1" applyBorder="1"/>
    <xf numFmtId="0" fontId="3" fillId="0" borderId="30" xfId="15" applyBorder="1"/>
    <xf numFmtId="0" fontId="32" fillId="0" borderId="34" xfId="16" applyFont="1" applyFill="1" applyBorder="1" applyAlignment="1">
      <alignment horizontal="right" wrapText="1"/>
    </xf>
    <xf numFmtId="0" fontId="32" fillId="10" borderId="35" xfId="16" applyFont="1" applyFill="1" applyBorder="1" applyAlignment="1">
      <alignment horizontal="right" wrapText="1"/>
    </xf>
    <xf numFmtId="2" fontId="3" fillId="10" borderId="0" xfId="15" applyNumberFormat="1" applyFill="1" applyBorder="1"/>
    <xf numFmtId="0" fontId="3" fillId="10" borderId="0" xfId="15" applyFill="1" applyBorder="1"/>
    <xf numFmtId="165" fontId="3" fillId="10" borderId="0" xfId="15" applyNumberFormat="1" applyFill="1" applyBorder="1"/>
    <xf numFmtId="2" fontId="3" fillId="18" borderId="0" xfId="15" applyNumberFormat="1" applyFill="1" applyBorder="1"/>
    <xf numFmtId="2" fontId="33" fillId="10" borderId="0" xfId="15" applyNumberFormat="1" applyFont="1" applyFill="1" applyBorder="1"/>
    <xf numFmtId="164" fontId="33" fillId="10" borderId="0" xfId="15" applyNumberFormat="1" applyFont="1" applyFill="1" applyBorder="1"/>
    <xf numFmtId="0" fontId="3" fillId="0" borderId="37" xfId="15" applyBorder="1"/>
    <xf numFmtId="2" fontId="3" fillId="0" borderId="0" xfId="15" applyNumberFormat="1" applyBorder="1"/>
    <xf numFmtId="0" fontId="3" fillId="0" borderId="36" xfId="15" applyBorder="1"/>
    <xf numFmtId="164" fontId="3" fillId="0" borderId="0" xfId="15" applyNumberFormat="1" applyBorder="1"/>
    <xf numFmtId="0" fontId="3" fillId="0" borderId="31" xfId="15" applyBorder="1"/>
    <xf numFmtId="0" fontId="3" fillId="10" borderId="32" xfId="15" applyFill="1" applyBorder="1"/>
    <xf numFmtId="0" fontId="3" fillId="0" borderId="32" xfId="15" applyBorder="1"/>
    <xf numFmtId="0" fontId="3" fillId="0" borderId="33" xfId="15" applyBorder="1"/>
    <xf numFmtId="0" fontId="33" fillId="14" borderId="28" xfId="15" applyFont="1" applyFill="1" applyBorder="1"/>
    <xf numFmtId="0" fontId="33" fillId="14" borderId="29" xfId="15" applyFont="1" applyFill="1" applyBorder="1"/>
    <xf numFmtId="0" fontId="36" fillId="10" borderId="29" xfId="15" applyFont="1" applyFill="1" applyBorder="1"/>
    <xf numFmtId="0" fontId="36" fillId="10" borderId="30" xfId="15" applyFont="1" applyFill="1" applyBorder="1"/>
    <xf numFmtId="0" fontId="33" fillId="14" borderId="37" xfId="15" applyFont="1" applyFill="1" applyBorder="1"/>
    <xf numFmtId="0" fontId="33" fillId="14" borderId="0" xfId="15" applyFont="1" applyFill="1" applyBorder="1"/>
    <xf numFmtId="164" fontId="33" fillId="14" borderId="0" xfId="15" applyNumberFormat="1" applyFont="1" applyFill="1" applyBorder="1"/>
    <xf numFmtId="164" fontId="33" fillId="14" borderId="36" xfId="15" applyNumberFormat="1" applyFont="1" applyFill="1" applyBorder="1"/>
    <xf numFmtId="164" fontId="3" fillId="14" borderId="0" xfId="15" applyNumberFormat="1" applyFill="1" applyBorder="1"/>
    <xf numFmtId="164" fontId="3" fillId="14" borderId="36" xfId="15" applyNumberFormat="1" applyFill="1" applyBorder="1"/>
    <xf numFmtId="164" fontId="21" fillId="14" borderId="32" xfId="15" applyNumberFormat="1" applyFont="1" applyFill="1" applyBorder="1"/>
    <xf numFmtId="164" fontId="21" fillId="14" borderId="33" xfId="15" applyNumberFormat="1" applyFont="1" applyFill="1" applyBorder="1"/>
    <xf numFmtId="0" fontId="3" fillId="14" borderId="37" xfId="15" applyFill="1" applyBorder="1"/>
    <xf numFmtId="0" fontId="3" fillId="14" borderId="0" xfId="15" applyFill="1" applyBorder="1"/>
    <xf numFmtId="0" fontId="21" fillId="14" borderId="31" xfId="15" applyFont="1" applyFill="1" applyBorder="1"/>
    <xf numFmtId="0" fontId="3" fillId="14" borderId="32" xfId="15" applyFill="1" applyBorder="1"/>
    <xf numFmtId="2" fontId="33" fillId="14" borderId="0" xfId="15" applyNumberFormat="1" applyFont="1" applyFill="1" applyBorder="1"/>
    <xf numFmtId="2" fontId="3" fillId="14" borderId="0" xfId="15" applyNumberFormat="1" applyFill="1" applyBorder="1"/>
    <xf numFmtId="2" fontId="21" fillId="14" borderId="32" xfId="15" applyNumberFormat="1" applyFont="1" applyFill="1" applyBorder="1"/>
    <xf numFmtId="0" fontId="3" fillId="12" borderId="38" xfId="15" applyFill="1" applyBorder="1"/>
    <xf numFmtId="0" fontId="3" fillId="12" borderId="39" xfId="15" applyFill="1" applyBorder="1"/>
    <xf numFmtId="1" fontId="3" fillId="12" borderId="39" xfId="15" applyNumberFormat="1" applyFill="1" applyBorder="1"/>
    <xf numFmtId="2" fontId="3" fillId="12" borderId="39" xfId="15" applyNumberFormat="1" applyFill="1" applyBorder="1"/>
    <xf numFmtId="2" fontId="3" fillId="12" borderId="40" xfId="15" applyNumberFormat="1" applyFill="1" applyBorder="1"/>
    <xf numFmtId="0" fontId="21" fillId="0" borderId="41" xfId="15" applyFont="1" applyBorder="1"/>
    <xf numFmtId="0" fontId="3" fillId="0" borderId="42" xfId="15" applyBorder="1"/>
    <xf numFmtId="0" fontId="21" fillId="10" borderId="42" xfId="15" applyFont="1" applyFill="1" applyBorder="1"/>
    <xf numFmtId="0" fontId="21" fillId="10" borderId="43" xfId="15" applyFont="1" applyFill="1" applyBorder="1"/>
    <xf numFmtId="0" fontId="3" fillId="0" borderId="44" xfId="15" applyBorder="1"/>
    <xf numFmtId="0" fontId="3" fillId="0" borderId="0" xfId="15" applyBorder="1"/>
    <xf numFmtId="2" fontId="3" fillId="0" borderId="20" xfId="15" applyNumberFormat="1" applyBorder="1"/>
    <xf numFmtId="0" fontId="3" fillId="17" borderId="44" xfId="15" applyFill="1" applyBorder="1"/>
    <xf numFmtId="0" fontId="3" fillId="17" borderId="0" xfId="15" applyFill="1" applyBorder="1"/>
    <xf numFmtId="1" fontId="3" fillId="17" borderId="0" xfId="15" applyNumberFormat="1" applyFill="1" applyBorder="1"/>
    <xf numFmtId="2" fontId="3" fillId="17" borderId="0" xfId="15" applyNumberFormat="1" applyFill="1" applyBorder="1"/>
    <xf numFmtId="2" fontId="3" fillId="17" borderId="20" xfId="15" applyNumberFormat="1" applyFill="1" applyBorder="1"/>
    <xf numFmtId="1" fontId="3" fillId="0" borderId="0" xfId="15" applyNumberFormat="1" applyBorder="1"/>
    <xf numFmtId="0" fontId="3" fillId="0" borderId="38" xfId="15" applyBorder="1"/>
    <xf numFmtId="0" fontId="3" fillId="0" borderId="39" xfId="15" applyBorder="1"/>
    <xf numFmtId="1" fontId="3" fillId="0" borderId="39" xfId="15" applyNumberFormat="1" applyBorder="1"/>
    <xf numFmtId="2" fontId="3" fillId="0" borderId="39" xfId="15" applyNumberFormat="1" applyBorder="1"/>
    <xf numFmtId="2" fontId="3" fillId="0" borderId="40" xfId="15" applyNumberFormat="1" applyBorder="1"/>
    <xf numFmtId="166" fontId="3" fillId="17" borderId="0" xfId="15" applyNumberFormat="1" applyFill="1" applyBorder="1"/>
    <xf numFmtId="166" fontId="3" fillId="17" borderId="20" xfId="15" applyNumberFormat="1" applyFill="1" applyBorder="1"/>
    <xf numFmtId="0" fontId="3" fillId="12" borderId="0" xfId="15" applyFill="1"/>
    <xf numFmtId="0" fontId="21" fillId="19" borderId="0" xfId="15" applyFont="1" applyFill="1"/>
    <xf numFmtId="0" fontId="3" fillId="19" borderId="0" xfId="15" applyFill="1"/>
    <xf numFmtId="0" fontId="3" fillId="0" borderId="41" xfId="15" applyBorder="1"/>
    <xf numFmtId="0" fontId="3" fillId="0" borderId="44" xfId="15" applyFont="1" applyBorder="1"/>
    <xf numFmtId="3" fontId="3" fillId="15" borderId="0" xfId="15" applyNumberFormat="1" applyFill="1"/>
    <xf numFmtId="3" fontId="3" fillId="0" borderId="0" xfId="15" applyNumberFormat="1" applyBorder="1"/>
    <xf numFmtId="164" fontId="3" fillId="0" borderId="20" xfId="15" applyNumberFormat="1" applyBorder="1"/>
    <xf numFmtId="2" fontId="3" fillId="15" borderId="0" xfId="15" applyNumberFormat="1" applyFill="1" applyBorder="1"/>
    <xf numFmtId="0" fontId="21" fillId="0" borderId="38" xfId="15" applyFont="1" applyBorder="1"/>
    <xf numFmtId="164" fontId="21" fillId="0" borderId="39" xfId="15" applyNumberFormat="1" applyFont="1" applyBorder="1"/>
    <xf numFmtId="164" fontId="21" fillId="0" borderId="40" xfId="15" applyNumberFormat="1" applyFont="1" applyBorder="1"/>
    <xf numFmtId="3" fontId="3" fillId="17" borderId="0" xfId="15" applyNumberFormat="1" applyFill="1"/>
    <xf numFmtId="164" fontId="33" fillId="17" borderId="0" xfId="15" applyNumberFormat="1" applyFont="1" applyFill="1"/>
    <xf numFmtId="164" fontId="33" fillId="0" borderId="0" xfId="0" applyNumberFormat="1" applyFont="1"/>
    <xf numFmtId="164" fontId="36" fillId="0" borderId="0" xfId="0" applyNumberFormat="1" applyFont="1"/>
    <xf numFmtId="165" fontId="3" fillId="0" borderId="0" xfId="15" applyNumberFormat="1"/>
    <xf numFmtId="164" fontId="3" fillId="0" borderId="0" xfId="15" applyNumberFormat="1"/>
    <xf numFmtId="0" fontId="21" fillId="0" borderId="0" xfId="15" applyFont="1" applyBorder="1"/>
    <xf numFmtId="0" fontId="37" fillId="0" borderId="0" xfId="15" applyFont="1" applyBorder="1" applyAlignment="1">
      <alignment horizontal="right"/>
    </xf>
    <xf numFmtId="0" fontId="3" fillId="18" borderId="0" xfId="15" applyFill="1" applyBorder="1"/>
    <xf numFmtId="0" fontId="32" fillId="10" borderId="0" xfId="16" applyFont="1" applyFill="1" applyBorder="1" applyAlignment="1">
      <alignment horizontal="right" wrapText="1"/>
    </xf>
    <xf numFmtId="0" fontId="3" fillId="15" borderId="28" xfId="15" applyFill="1" applyBorder="1"/>
    <xf numFmtId="0" fontId="3" fillId="15" borderId="29" xfId="15" applyFill="1" applyBorder="1"/>
    <xf numFmtId="0" fontId="3" fillId="15" borderId="30" xfId="15" applyFill="1" applyBorder="1"/>
    <xf numFmtId="0" fontId="3" fillId="15" borderId="37" xfId="15" applyFill="1" applyBorder="1"/>
    <xf numFmtId="0" fontId="3" fillId="15" borderId="31" xfId="15" applyFill="1" applyBorder="1"/>
    <xf numFmtId="0" fontId="3" fillId="15" borderId="32" xfId="15" applyFill="1" applyBorder="1"/>
    <xf numFmtId="164" fontId="3" fillId="15" borderId="32" xfId="15" applyNumberFormat="1" applyFill="1" applyBorder="1"/>
    <xf numFmtId="164" fontId="3" fillId="15" borderId="33" xfId="15" applyNumberFormat="1" applyFill="1" applyBorder="1"/>
    <xf numFmtId="0" fontId="21" fillId="15" borderId="0" xfId="15" applyFont="1" applyFill="1" applyBorder="1"/>
    <xf numFmtId="0" fontId="21" fillId="15" borderId="36" xfId="15" applyFont="1" applyFill="1" applyBorder="1"/>
    <xf numFmtId="0" fontId="30" fillId="0" borderId="0" xfId="15" applyFont="1"/>
    <xf numFmtId="166" fontId="23" fillId="0" borderId="0" xfId="0" applyNumberFormat="1" applyFont="1"/>
    <xf numFmtId="169" fontId="4" fillId="0" borderId="0" xfId="17" applyNumberFormat="1" applyFont="1"/>
    <xf numFmtId="168" fontId="30" fillId="0" borderId="0" xfId="1" applyNumberFormat="1" applyFont="1"/>
    <xf numFmtId="165" fontId="30" fillId="0" borderId="0" xfId="1" applyNumberFormat="1" applyFont="1"/>
    <xf numFmtId="0" fontId="20" fillId="0" borderId="0" xfId="0" applyFont="1"/>
    <xf numFmtId="0" fontId="3" fillId="0" borderId="36" xfId="15" applyBorder="1" applyAlignment="1">
      <alignment horizontal="left" vertical="center" wrapText="1"/>
    </xf>
    <xf numFmtId="0" fontId="2" fillId="6" borderId="0" xfId="15" applyFont="1" applyFill="1" applyAlignment="1">
      <alignment horizontal="left" wrapText="1"/>
    </xf>
    <xf numFmtId="0" fontId="3" fillId="0" borderId="0" xfId="15" applyBorder="1" applyAlignment="1">
      <alignment horizontal="left" vertical="center" wrapText="1"/>
    </xf>
  </cellXfs>
  <cellStyles count="18">
    <cellStyle name="Comma 2" xfId="2"/>
    <cellStyle name="Link 2" xfId="3"/>
    <cellStyle name="Normal" xfId="0" builtinId="0"/>
    <cellStyle name="Normal 2" xfId="4"/>
    <cellStyle name="Normal 2 2" xfId="5"/>
    <cellStyle name="Normal 3" xfId="6"/>
    <cellStyle name="Normal 3 2" xfId="7"/>
    <cellStyle name="Normal 3 3" xfId="8"/>
    <cellStyle name="Normal 4" xfId="9"/>
    <cellStyle name="Normal 5" xfId="10"/>
    <cellStyle name="Normal 6" xfId="11"/>
    <cellStyle name="Percent" xfId="17" builtinId="5"/>
    <cellStyle name="Percent 2" xfId="12"/>
    <cellStyle name="Percent 3" xfId="13"/>
    <cellStyle name="Standard 2" xfId="1"/>
    <cellStyle name="Standard 3" xfId="14"/>
    <cellStyle name="Standard 4" xfId="15"/>
    <cellStyle name="Standard_Tabelle1_1" xfId="16"/>
  </cellStyles>
  <dxfs count="3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EE_data!$B$7:$K$7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1.0981579146919431</c:v>
                </c:pt>
                <c:pt idx="3">
                  <c:v>1.7121579146919432</c:v>
                </c:pt>
                <c:pt idx="4">
                  <c:v>2.3261579146919429</c:v>
                </c:pt>
                <c:pt idx="5">
                  <c:v>2.9401579146919432</c:v>
                </c:pt>
                <c:pt idx="6">
                  <c:v>3.5541579146919435</c:v>
                </c:pt>
                <c:pt idx="7">
                  <c:v>4.1681579146919443</c:v>
                </c:pt>
                <c:pt idx="8">
                  <c:v>4.7821579146919442</c:v>
                </c:pt>
                <c:pt idx="9">
                  <c:v>5.3961579146919441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21E-40BB-AB77-8A77B60BD167}"/>
            </c:ext>
          </c:extLst>
        </c:ser>
        <c:ser>
          <c:idx val="1"/>
          <c:order val="1"/>
          <c:tx>
            <c:strRef>
              <c:f>EE_data!$A$16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EE_data!$B$16:$K$16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1.75</c:v>
                </c:pt>
                <c:pt idx="3">
                  <c:v>6.3571428571428568</c:v>
                </c:pt>
                <c:pt idx="4">
                  <c:v>10.964285714285714</c:v>
                </c:pt>
                <c:pt idx="5">
                  <c:v>15.571428571428571</c:v>
                </c:pt>
                <c:pt idx="6">
                  <c:v>20.178571428571427</c:v>
                </c:pt>
                <c:pt idx="7">
                  <c:v>24.785714285714285</c:v>
                </c:pt>
                <c:pt idx="8">
                  <c:v>29.392857142857142</c:v>
                </c:pt>
                <c:pt idx="9">
                  <c:v>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21E-40BB-AB77-8A77B60B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28880"/>
        <c:axId val="176929440"/>
      </c:lineChart>
      <c:catAx>
        <c:axId val="17692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929440"/>
        <c:crosses val="autoZero"/>
        <c:auto val="1"/>
        <c:lblAlgn val="ctr"/>
        <c:lblOffset val="100"/>
        <c:noMultiLvlLbl val="0"/>
      </c:catAx>
      <c:valAx>
        <c:axId val="1769294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692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EE_data!$B$6:$K$6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5.5</c:v>
                </c:pt>
                <c:pt idx="7">
                  <c:v>5.5</c:v>
                </c:pt>
                <c:pt idx="8">
                  <c:v>5.5</c:v>
                </c:pt>
                <c:pt idx="9">
                  <c:v>5.5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2C-4E08-9109-C8505C4B97F9}"/>
            </c:ext>
          </c:extLst>
        </c:ser>
        <c:ser>
          <c:idx val="1"/>
          <c:order val="1"/>
          <c:tx>
            <c:strRef>
              <c:f>EE_data!$A$15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EE_data!$B$15:$K$15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5.5</c:v>
                </c:pt>
                <c:pt idx="3">
                  <c:v>5.5</c:v>
                </c:pt>
                <c:pt idx="4">
                  <c:v>5.583333333333333</c:v>
                </c:pt>
                <c:pt idx="5">
                  <c:v>5.666666666666667</c:v>
                </c:pt>
                <c:pt idx="6">
                  <c:v>5.75</c:v>
                </c:pt>
                <c:pt idx="7">
                  <c:v>5.833333333333333</c:v>
                </c:pt>
                <c:pt idx="8">
                  <c:v>5.916666666666667</c:v>
                </c:pt>
                <c:pt idx="9">
                  <c:v>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2C-4E08-9109-C8505C4B9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32800"/>
        <c:axId val="176933360"/>
      </c:lineChart>
      <c:catAx>
        <c:axId val="17693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933360"/>
        <c:crosses val="autoZero"/>
        <c:auto val="1"/>
        <c:lblAlgn val="ctr"/>
        <c:lblOffset val="100"/>
        <c:noMultiLvlLbl val="0"/>
      </c:catAx>
      <c:valAx>
        <c:axId val="1769333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6932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EE_data!$B$8:$K$8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5.6963615476518692</c:v>
                </c:pt>
                <c:pt idx="3">
                  <c:v>7.4128091780779943</c:v>
                </c:pt>
                <c:pt idx="4">
                  <c:v>7.9079383022393763</c:v>
                </c:pt>
                <c:pt idx="5">
                  <c:v>8.4030674264007583</c:v>
                </c:pt>
                <c:pt idx="6">
                  <c:v>8.6671362926201621</c:v>
                </c:pt>
                <c:pt idx="7">
                  <c:v>8.9312051588395676</c:v>
                </c:pt>
                <c:pt idx="8">
                  <c:v>9.0632395919492694</c:v>
                </c:pt>
                <c:pt idx="9">
                  <c:v>9.1952740250589695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77-4019-BCFD-E395A8DC4628}"/>
            </c:ext>
          </c:extLst>
        </c:ser>
        <c:ser>
          <c:idx val="1"/>
          <c:order val="1"/>
          <c:tx>
            <c:strRef>
              <c:f>EE_data!$A$17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EE_data!$B$17:$K$17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6.996361547651869</c:v>
                </c:pt>
                <c:pt idx="3">
                  <c:v>9.9968813265587446</c:v>
                </c:pt>
                <c:pt idx="4">
                  <c:v>12.99740110546562</c:v>
                </c:pt>
                <c:pt idx="5">
                  <c:v>15.997920884372498</c:v>
                </c:pt>
                <c:pt idx="6">
                  <c:v>18.998440663279375</c:v>
                </c:pt>
                <c:pt idx="7">
                  <c:v>21.998960442186249</c:v>
                </c:pt>
                <c:pt idx="8">
                  <c:v>24.999480221093123</c:v>
                </c:pt>
                <c:pt idx="9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77-4019-BCFD-E395A8DC4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36720"/>
        <c:axId val="176937280"/>
      </c:lineChart>
      <c:catAx>
        <c:axId val="17693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937280"/>
        <c:crosses val="autoZero"/>
        <c:auto val="1"/>
        <c:lblAlgn val="ctr"/>
        <c:lblOffset val="100"/>
        <c:noMultiLvlLbl val="0"/>
      </c:catAx>
      <c:valAx>
        <c:axId val="1769372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693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EE_data!$B$9:$K$9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4.6109999999999998</c:v>
                </c:pt>
                <c:pt idx="3">
                  <c:v>5.301000000000001</c:v>
                </c:pt>
                <c:pt idx="4">
                  <c:v>5.5010000000000003</c:v>
                </c:pt>
                <c:pt idx="5">
                  <c:v>5.7010000000000014</c:v>
                </c:pt>
                <c:pt idx="6">
                  <c:v>5.9010000000000007</c:v>
                </c:pt>
                <c:pt idx="7">
                  <c:v>6.101</c:v>
                </c:pt>
                <c:pt idx="8">
                  <c:v>6.301000000000001</c:v>
                </c:pt>
                <c:pt idx="9">
                  <c:v>6.5010000000000003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B1-45D0-9FDA-5CFAA94523A1}"/>
            </c:ext>
          </c:extLst>
        </c:ser>
        <c:ser>
          <c:idx val="1"/>
          <c:order val="1"/>
          <c:tx>
            <c:strRef>
              <c:f>EE_data!$A$18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EE_data!$B$18:$K$18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7.3354545454545459</c:v>
                </c:pt>
                <c:pt idx="3">
                  <c:v>8.8675324675324667</c:v>
                </c:pt>
                <c:pt idx="4">
                  <c:v>9.9229437229437227</c:v>
                </c:pt>
                <c:pt idx="5">
                  <c:v>10.978354978354979</c:v>
                </c:pt>
                <c:pt idx="6">
                  <c:v>12.033766233766231</c:v>
                </c:pt>
                <c:pt idx="7">
                  <c:v>13.089177489177489</c:v>
                </c:pt>
                <c:pt idx="8">
                  <c:v>14.144588744588743</c:v>
                </c:pt>
                <c:pt idx="9">
                  <c:v>15.25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3B1-45D0-9FDA-5CFAA945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493216"/>
        <c:axId val="225493776"/>
      </c:lineChart>
      <c:catAx>
        <c:axId val="22549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493776"/>
        <c:crosses val="autoZero"/>
        <c:auto val="1"/>
        <c:lblAlgn val="ctr"/>
        <c:lblOffset val="100"/>
        <c:noMultiLvlLbl val="0"/>
      </c:catAx>
      <c:valAx>
        <c:axId val="2254937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5493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EE_data!$A$10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EE_data!$B$10:$K$10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0.24736842105263157</c:v>
                </c:pt>
                <c:pt idx="4">
                  <c:v>0.45614035087719296</c:v>
                </c:pt>
                <c:pt idx="5">
                  <c:v>0.66491228070175434</c:v>
                </c:pt>
                <c:pt idx="6">
                  <c:v>0.87368421052631562</c:v>
                </c:pt>
                <c:pt idx="7">
                  <c:v>1.0824561403508772</c:v>
                </c:pt>
                <c:pt idx="8">
                  <c:v>1.2912280701754384</c:v>
                </c:pt>
                <c:pt idx="9">
                  <c:v>1.5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8F-4DE8-9E94-3019BF13F5F4}"/>
            </c:ext>
          </c:extLst>
        </c:ser>
        <c:ser>
          <c:idx val="1"/>
          <c:order val="1"/>
          <c:tx>
            <c:strRef>
              <c:f>EE_data!$A$19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EE_data!$B$19:$K$19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0.15000000000000002</c:v>
                </c:pt>
                <c:pt idx="3">
                  <c:v>2.4714285714285715</c:v>
                </c:pt>
                <c:pt idx="4">
                  <c:v>4.7928571428571436</c:v>
                </c:pt>
                <c:pt idx="5">
                  <c:v>7.1142857142857148</c:v>
                </c:pt>
                <c:pt idx="6">
                  <c:v>9.4357142857142868</c:v>
                </c:pt>
                <c:pt idx="7">
                  <c:v>11.757142857142858</c:v>
                </c:pt>
                <c:pt idx="8">
                  <c:v>14.078571428571429</c:v>
                </c:pt>
                <c:pt idx="9">
                  <c:v>16.399999999999999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28F-4DE8-9E94-3019BF13F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497136"/>
        <c:axId val="225497696"/>
      </c:lineChart>
      <c:catAx>
        <c:axId val="22549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497696"/>
        <c:crosses val="autoZero"/>
        <c:auto val="1"/>
        <c:lblAlgn val="ctr"/>
        <c:lblOffset val="100"/>
        <c:noMultiLvlLbl val="0"/>
      </c:catAx>
      <c:valAx>
        <c:axId val="225497696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25497136"/>
        <c:crosses val="autoZero"/>
        <c:crossBetween val="between"/>
        <c:majorUnit val="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EE_data!$A$36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EE_data!$B$36:$K$36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1.0784313725490198</c:v>
                </c:pt>
                <c:pt idx="4">
                  <c:v>1.0947712418300655</c:v>
                </c:pt>
                <c:pt idx="5">
                  <c:v>1.1111111111111112</c:v>
                </c:pt>
                <c:pt idx="6">
                  <c:v>1.1274509803921569</c:v>
                </c:pt>
                <c:pt idx="7">
                  <c:v>1.1437908496732025</c:v>
                </c:pt>
                <c:pt idx="8">
                  <c:v>1.1601307189542485</c:v>
                </c:pt>
                <c:pt idx="9">
                  <c:v>1.1764705882352942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5B7-413F-BACA-B6A1C2662751}"/>
            </c:ext>
          </c:extLst>
        </c:ser>
        <c:ser>
          <c:idx val="1"/>
          <c:order val="1"/>
          <c:tx>
            <c:strRef>
              <c:f>EE_data!$A$37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EE_data!$B$37:$K$37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11.77248677248677</c:v>
                </c:pt>
                <c:pt idx="4">
                  <c:v>20.3042328042328</c:v>
                </c:pt>
                <c:pt idx="5">
                  <c:v>28.835978835978835</c:v>
                </c:pt>
                <c:pt idx="6">
                  <c:v>37.36772486772486</c:v>
                </c:pt>
                <c:pt idx="7">
                  <c:v>45.899470899470892</c:v>
                </c:pt>
                <c:pt idx="8">
                  <c:v>54.431216931216923</c:v>
                </c:pt>
                <c:pt idx="9">
                  <c:v>62.962962962962962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5B7-413F-BACA-B6A1C2662751}"/>
            </c:ext>
          </c:extLst>
        </c:ser>
        <c:ser>
          <c:idx val="2"/>
          <c:order val="2"/>
          <c:tx>
            <c:strRef>
              <c:f>EE_data!$A$38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EE_data!$B$38:$K$38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4.7604196793136877</c:v>
                </c:pt>
                <c:pt idx="4">
                  <c:v>6.1892386216502953</c:v>
                </c:pt>
                <c:pt idx="5">
                  <c:v>7.6180575639869037</c:v>
                </c:pt>
                <c:pt idx="6">
                  <c:v>9.0468765063235121</c:v>
                </c:pt>
                <c:pt idx="7">
                  <c:v>10.475695448660119</c:v>
                </c:pt>
                <c:pt idx="8">
                  <c:v>11.904514390996724</c:v>
                </c:pt>
                <c:pt idx="9">
                  <c:v>13.333333333333332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5B7-413F-BACA-B6A1C2662751}"/>
            </c:ext>
          </c:extLst>
        </c:ser>
        <c:ser>
          <c:idx val="3"/>
          <c:order val="3"/>
          <c:tx>
            <c:strRef>
              <c:f>EE_data!$A$39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EE_data!$B$39:$K$39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3.0161675059634248</c:v>
                </c:pt>
                <c:pt idx="4">
                  <c:v>3.3751509261713348</c:v>
                </c:pt>
                <c:pt idx="5">
                  <c:v>3.7341343463792449</c:v>
                </c:pt>
                <c:pt idx="6">
                  <c:v>4.0931177665871541</c:v>
                </c:pt>
                <c:pt idx="7">
                  <c:v>4.4521011867950646</c:v>
                </c:pt>
                <c:pt idx="8">
                  <c:v>4.8110846070029751</c:v>
                </c:pt>
                <c:pt idx="9">
                  <c:v>5.1870748299319738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5B7-413F-BACA-B6A1C2662751}"/>
            </c:ext>
          </c:extLst>
        </c:ser>
        <c:ser>
          <c:idx val="4"/>
          <c:order val="4"/>
          <c:tx>
            <c:strRef>
              <c:f>EE_data!$A$40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EE_data!$B$40:$K$40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16.476190476190474</c:v>
                </c:pt>
                <c:pt idx="4">
                  <c:v>31.952380952380953</c:v>
                </c:pt>
                <c:pt idx="5">
                  <c:v>47.428571428571423</c:v>
                </c:pt>
                <c:pt idx="6">
                  <c:v>62.904761904761905</c:v>
                </c:pt>
                <c:pt idx="7">
                  <c:v>78.38095238095238</c:v>
                </c:pt>
                <c:pt idx="8">
                  <c:v>93.857142857142847</c:v>
                </c:pt>
                <c:pt idx="9">
                  <c:v>109.33333333333331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5B7-413F-BACA-B6A1C2662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295488"/>
        <c:axId val="225296048"/>
      </c:lineChart>
      <c:catAx>
        <c:axId val="22529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296048"/>
        <c:crosses val="autoZero"/>
        <c:auto val="1"/>
        <c:lblAlgn val="ctr"/>
        <c:lblOffset val="100"/>
        <c:noMultiLvlLbl val="0"/>
      </c:catAx>
      <c:valAx>
        <c:axId val="2252960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5295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EE_data!$A$27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EE_data!$B$27:$K$27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1.0784313725490198</c:v>
                </c:pt>
                <c:pt idx="5">
                  <c:v>1.0784313725490198</c:v>
                </c:pt>
                <c:pt idx="6">
                  <c:v>1.0784313725490198</c:v>
                </c:pt>
                <c:pt idx="7">
                  <c:v>1.0784313725490198</c:v>
                </c:pt>
                <c:pt idx="8">
                  <c:v>1.0784313725490198</c:v>
                </c:pt>
                <c:pt idx="9">
                  <c:v>1.0784313725490198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78A-41AA-8905-06EB05C99DA8}"/>
            </c:ext>
          </c:extLst>
        </c:ser>
        <c:ser>
          <c:idx val="1"/>
          <c:order val="1"/>
          <c:tx>
            <c:strRef>
              <c:f>EE_data!$A$28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EE_data!$B$28:$K$28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3.17066280498508</c:v>
                </c:pt>
                <c:pt idx="4">
                  <c:v>4.3076998420221164</c:v>
                </c:pt>
                <c:pt idx="5">
                  <c:v>5.4447368790591542</c:v>
                </c:pt>
                <c:pt idx="6">
                  <c:v>6.581773916096191</c:v>
                </c:pt>
                <c:pt idx="7">
                  <c:v>7.7188109531332296</c:v>
                </c:pt>
                <c:pt idx="8">
                  <c:v>8.8558479901702665</c:v>
                </c:pt>
                <c:pt idx="9">
                  <c:v>9.9928850272073024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78A-41AA-8905-06EB05C99DA8}"/>
            </c:ext>
          </c:extLst>
        </c:ser>
        <c:ser>
          <c:idx val="2"/>
          <c:order val="2"/>
          <c:tx>
            <c:strRef>
              <c:f>EE_data!$A$29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EE_data!$B$29:$K$29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3.5299091324180925</c:v>
                </c:pt>
                <c:pt idx="4">
                  <c:v>3.7656849058282744</c:v>
                </c:pt>
                <c:pt idx="5">
                  <c:v>4.0014606792384564</c:v>
                </c:pt>
                <c:pt idx="6">
                  <c:v>4.1272077583905533</c:v>
                </c:pt>
                <c:pt idx="7">
                  <c:v>4.2529548375426511</c:v>
                </c:pt>
                <c:pt idx="8">
                  <c:v>4.3158283771186996</c:v>
                </c:pt>
                <c:pt idx="9">
                  <c:v>4.3787019166947472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78A-41AA-8905-06EB05C99DA8}"/>
            </c:ext>
          </c:extLst>
        </c:ser>
        <c:ser>
          <c:idx val="3"/>
          <c:order val="3"/>
          <c:tx>
            <c:strRef>
              <c:f>EE_data!$A$30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EE_data!$B$30:$K$30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1.8030612244897966</c:v>
                </c:pt>
                <c:pt idx="4">
                  <c:v>1.8710884353741501</c:v>
                </c:pt>
                <c:pt idx="5">
                  <c:v>1.9391156462585042</c:v>
                </c:pt>
                <c:pt idx="6">
                  <c:v>2.0071428571428576</c:v>
                </c:pt>
                <c:pt idx="7">
                  <c:v>2.0751700680272114</c:v>
                </c:pt>
                <c:pt idx="8">
                  <c:v>2.1431972789115652</c:v>
                </c:pt>
                <c:pt idx="9">
                  <c:v>2.211224489795919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78A-41AA-8905-06EB05C99DA8}"/>
            </c:ext>
          </c:extLst>
        </c:ser>
        <c:ser>
          <c:idx val="4"/>
          <c:order val="4"/>
          <c:tx>
            <c:strRef>
              <c:f>EE_data!$A$31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EE_data!$B$31:$K$31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2.4736842105263155</c:v>
                </c:pt>
                <c:pt idx="4">
                  <c:v>4.5614035087719289</c:v>
                </c:pt>
                <c:pt idx="5">
                  <c:v>6.6491228070175428</c:v>
                </c:pt>
                <c:pt idx="6">
                  <c:v>8.7368421052631557</c:v>
                </c:pt>
                <c:pt idx="7">
                  <c:v>10.824561403508772</c:v>
                </c:pt>
                <c:pt idx="8">
                  <c:v>12.912280701754383</c:v>
                </c:pt>
                <c:pt idx="9">
                  <c:v>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78A-41AA-8905-06EB05C99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25280"/>
        <c:axId val="178825840"/>
      </c:lineChart>
      <c:catAx>
        <c:axId val="178825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825840"/>
        <c:crosses val="autoZero"/>
        <c:auto val="1"/>
        <c:lblAlgn val="ctr"/>
        <c:lblOffset val="100"/>
        <c:noMultiLvlLbl val="0"/>
      </c:catAx>
      <c:valAx>
        <c:axId val="1788258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8825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EE_data!$A$48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EE_data!$B$48:$K$48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520-4BCE-9139-54C3ED511DA5}"/>
            </c:ext>
          </c:extLst>
        </c:ser>
        <c:ser>
          <c:idx val="1"/>
          <c:order val="1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520-4BCE-9139-54C3ED511DA5}"/>
            </c:ext>
          </c:extLst>
        </c:ser>
        <c:ser>
          <c:idx val="2"/>
          <c:order val="2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520-4BCE-9139-54C3ED511DA5}"/>
            </c:ext>
          </c:extLst>
        </c:ser>
        <c:ser>
          <c:idx val="3"/>
          <c:order val="3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520-4BCE-9139-54C3ED511DA5}"/>
            </c:ext>
          </c:extLst>
        </c:ser>
        <c:ser>
          <c:idx val="4"/>
          <c:order val="4"/>
          <c:tx>
            <c:strRef>
              <c:f>EE_data!$A$52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EE_data!$B$52:$K$52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0.00">
                  <c:v>2.4736842105263155</c:v>
                </c:pt>
                <c:pt idx="4" formatCode="0.00">
                  <c:v>1.8439716312056738</c:v>
                </c:pt>
                <c:pt idx="5" formatCode="0.00">
                  <c:v>1.4576923076923076</c:v>
                </c:pt>
                <c:pt idx="6" formatCode="0.00">
                  <c:v>1.3139841688654352</c:v>
                </c:pt>
                <c:pt idx="7" formatCode="0.00">
                  <c:v>1.238955823293173</c:v>
                </c:pt>
                <c:pt idx="8" formatCode="0.00">
                  <c:v>1.1928687196110208</c:v>
                </c:pt>
                <c:pt idx="9" formatCode="0.00">
                  <c:v>1.1616847826086958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520-4BCE-9139-54C3ED511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574624"/>
        <c:axId val="225575184"/>
      </c:lineChart>
      <c:catAx>
        <c:axId val="22557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575184"/>
        <c:crosses val="autoZero"/>
        <c:auto val="1"/>
        <c:lblAlgn val="ctr"/>
        <c:lblOffset val="100"/>
        <c:noMultiLvlLbl val="0"/>
      </c:catAx>
      <c:valAx>
        <c:axId val="22557518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557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EE_data!$B$57:$K$57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</c:v>
                </c:pt>
                <c:pt idx="4">
                  <c:v>1.0151515151515151</c:v>
                </c:pt>
                <c:pt idx="5">
                  <c:v>1.0149253731343284</c:v>
                </c:pt>
                <c:pt idx="6">
                  <c:v>1.0147058823529411</c:v>
                </c:pt>
                <c:pt idx="7">
                  <c:v>1.0144927536231882</c:v>
                </c:pt>
                <c:pt idx="8">
                  <c:v>1.0142857142857145</c:v>
                </c:pt>
                <c:pt idx="9">
                  <c:v>1.0140845070422535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972-464D-9929-8774B3EBB9C8}"/>
            </c:ext>
          </c:extLst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972-464D-9929-8774B3EBB9C8}"/>
            </c:ext>
          </c:extLst>
        </c:ser>
        <c:ser>
          <c:idx val="2"/>
          <c:order val="2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972-464D-9929-8774B3EBB9C8}"/>
            </c:ext>
          </c:extLst>
        </c:ser>
        <c:ser>
          <c:idx val="3"/>
          <c:order val="3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972-464D-9929-8774B3EBB9C8}"/>
            </c:ext>
          </c:extLst>
        </c:ser>
        <c:ser>
          <c:idx val="4"/>
          <c:order val="4"/>
          <c:tx>
            <c:strRef>
              <c:f>EE_data!$A$61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EE_data!$B$61:$K$61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8.2380952380952372</c:v>
                </c:pt>
                <c:pt idx="3" formatCode="0.00">
                  <c:v>16.476190476190474</c:v>
                </c:pt>
                <c:pt idx="4" formatCode="0.00">
                  <c:v>1.9393063583815031</c:v>
                </c:pt>
                <c:pt idx="5" formatCode="0.00">
                  <c:v>1.4843517138599105</c:v>
                </c:pt>
                <c:pt idx="6" formatCode="0.00">
                  <c:v>1.3263052208835342</c:v>
                </c:pt>
                <c:pt idx="7" formatCode="0.00">
                  <c:v>1.2460257380772142</c:v>
                </c:pt>
                <c:pt idx="8" formatCode="0.00">
                  <c:v>1.1974483596597814</c:v>
                </c:pt>
                <c:pt idx="9" formatCode="0.00">
                  <c:v>1.1648909183155758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972-464D-9929-8774B3EBB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580224"/>
        <c:axId val="225580784"/>
      </c:lineChart>
      <c:catAx>
        <c:axId val="22558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580784"/>
        <c:crosses val="autoZero"/>
        <c:auto val="1"/>
        <c:lblAlgn val="ctr"/>
        <c:lblOffset val="100"/>
        <c:noMultiLvlLbl val="0"/>
      </c:catAx>
      <c:valAx>
        <c:axId val="22558078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5580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A2-43E5-A83A-8666DA480342}"/>
            </c:ext>
          </c:extLst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DA2-43E5-A83A-8666DA480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741440"/>
        <c:axId val="225742000"/>
      </c:lineChart>
      <c:catAx>
        <c:axId val="22574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742000"/>
        <c:crosses val="autoZero"/>
        <c:auto val="1"/>
        <c:lblAlgn val="ctr"/>
        <c:lblOffset val="100"/>
        <c:noMultiLvlLbl val="0"/>
      </c:catAx>
      <c:valAx>
        <c:axId val="22574200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5741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65A-484B-A460-9FF17A09805D}"/>
            </c:ext>
          </c:extLst>
        </c:ser>
        <c:ser>
          <c:idx val="1"/>
          <c:order val="1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65A-484B-A460-9FF17A098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745360"/>
        <c:axId val="225745920"/>
      </c:lineChart>
      <c:catAx>
        <c:axId val="22574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745920"/>
        <c:crosses val="autoZero"/>
        <c:auto val="1"/>
        <c:lblAlgn val="ctr"/>
        <c:lblOffset val="100"/>
        <c:noMultiLvlLbl val="0"/>
      </c:catAx>
      <c:valAx>
        <c:axId val="2257459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5745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84-4831-93BC-A6172F3D924E}"/>
            </c:ext>
          </c:extLst>
        </c:ser>
        <c:ser>
          <c:idx val="1"/>
          <c:order val="1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884-4831-93BC-A6172F3D9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059584"/>
        <c:axId val="226060144"/>
      </c:lineChart>
      <c:catAx>
        <c:axId val="22605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060144"/>
        <c:crosses val="autoZero"/>
        <c:auto val="1"/>
        <c:lblAlgn val="ctr"/>
        <c:lblOffset val="100"/>
        <c:noMultiLvlLbl val="0"/>
      </c:catAx>
      <c:valAx>
        <c:axId val="22606014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6059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Lig_DE_path!$E$25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Lig_DE_path!$E$17:$E$24</c:f>
              <c:numCache>
                <c:formatCode>#,##0</c:formatCode>
                <c:ptCount val="8"/>
                <c:pt idx="0" formatCode="0.0">
                  <c:v>1.7910169199999996E-2</c:v>
                </c:pt>
                <c:pt idx="1">
                  <c:v>2.4875234999999996</c:v>
                </c:pt>
                <c:pt idx="2" formatCode="0.0">
                  <c:v>20.631523499999997</c:v>
                </c:pt>
                <c:pt idx="3" formatCode="0.0">
                  <c:v>33.591523499999994</c:v>
                </c:pt>
                <c:pt idx="4" formatCode="0.0">
                  <c:v>33.591523499999994</c:v>
                </c:pt>
                <c:pt idx="5" formatCode="0.0">
                  <c:v>31.103999999999999</c:v>
                </c:pt>
                <c:pt idx="6" formatCode="0.0">
                  <c:v>12.96</c:v>
                </c:pt>
                <c:pt idx="7" formatCode="0.00">
                  <c:v>2.4875234999999996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923-42ED-8533-20B8F7A32EA0}"/>
            </c:ext>
          </c:extLst>
        </c:ser>
        <c:ser>
          <c:idx val="2"/>
          <c:order val="1"/>
          <c:tx>
            <c:strRef>
              <c:f>Lig_DE_path!$F$25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Lig_DE_path!$F$17:$F$24</c:f>
              <c:numCache>
                <c:formatCode>0.0</c:formatCode>
                <c:ptCount val="8"/>
                <c:pt idx="0">
                  <c:v>134.06208983080001</c:v>
                </c:pt>
                <c:pt idx="1">
                  <c:v>133.42247649999999</c:v>
                </c:pt>
                <c:pt idx="2">
                  <c:v>122.57847650000001</c:v>
                </c:pt>
                <c:pt idx="3">
                  <c:v>96.718476500000008</c:v>
                </c:pt>
                <c:pt idx="4">
                  <c:v>52.24847650000001</c:v>
                </c:pt>
                <c:pt idx="5">
                  <c:v>50.396000000000001</c:v>
                </c:pt>
                <c:pt idx="6">
                  <c:v>44.29</c:v>
                </c:pt>
                <c:pt idx="7">
                  <c:v>19.132476500000003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923-42ED-8533-20B8F7A32EA0}"/>
            </c:ext>
          </c:extLst>
        </c:ser>
        <c:ser>
          <c:idx val="0"/>
          <c:order val="2"/>
          <c:tx>
            <c:strRef>
              <c:f>Lig_DE_path!$G$25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Lig_DE_path!$G$17:$G$24</c:f>
              <c:numCache>
                <c:formatCode>0.0</c:formatCode>
                <c:ptCount val="8"/>
                <c:pt idx="0">
                  <c:v>134.08000000000001</c:v>
                </c:pt>
                <c:pt idx="1">
                  <c:v>135.91</c:v>
                </c:pt>
                <c:pt idx="2">
                  <c:v>143.21</c:v>
                </c:pt>
                <c:pt idx="3">
                  <c:v>130.31</c:v>
                </c:pt>
                <c:pt idx="4">
                  <c:v>85.84</c:v>
                </c:pt>
                <c:pt idx="5">
                  <c:v>81.5</c:v>
                </c:pt>
                <c:pt idx="6">
                  <c:v>57.25</c:v>
                </c:pt>
                <c:pt idx="7">
                  <c:v>21.62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923-42ED-8533-20B8F7A32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064064"/>
        <c:axId val="226064624"/>
      </c:lineChart>
      <c:catAx>
        <c:axId val="22606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064624"/>
        <c:crosses val="autoZero"/>
        <c:auto val="1"/>
        <c:lblAlgn val="ctr"/>
        <c:lblOffset val="100"/>
        <c:noMultiLvlLbl val="0"/>
      </c:catAx>
      <c:valAx>
        <c:axId val="22606462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606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Lig_DE_path!$E$39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Lig_DE_path!$E$28:$E$38</c:f>
              <c:numCache>
                <c:formatCode>0.00</c:formatCode>
                <c:ptCount val="11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4.9750469999999991</c:v>
                </c:pt>
                <c:pt idx="5">
                  <c:v>20.631523499999997</c:v>
                </c:pt>
                <c:pt idx="6">
                  <c:v>33.591523499999994</c:v>
                </c:pt>
                <c:pt idx="7">
                  <c:v>33.591523499999994</c:v>
                </c:pt>
                <c:pt idx="8">
                  <c:v>31.103999999999999</c:v>
                </c:pt>
                <c:pt idx="9">
                  <c:v>12.96</c:v>
                </c:pt>
                <c:pt idx="10">
                  <c:v>2.4875234999999996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66-49C9-9DB9-86A2F3219B54}"/>
            </c:ext>
          </c:extLst>
        </c:ser>
        <c:ser>
          <c:idx val="2"/>
          <c:order val="1"/>
          <c:tx>
            <c:strRef>
              <c:f>Lig_DE_path!$F$39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Lig_DE_path!$F$28:$F$38</c:f>
              <c:numCache>
                <c:formatCode>0.00</c:formatCode>
                <c:ptCount val="11"/>
                <c:pt idx="0" formatCode="General">
                  <c:v>163.34737649999997</c:v>
                </c:pt>
                <c:pt idx="1">
                  <c:v>144.98240300000001</c:v>
                </c:pt>
                <c:pt idx="2">
                  <c:v>142.79834036616001</c:v>
                </c:pt>
                <c:pt idx="3">
                  <c:v>134.06208983080001</c:v>
                </c:pt>
                <c:pt idx="4">
                  <c:v>133.42247649999999</c:v>
                </c:pt>
                <c:pt idx="5">
                  <c:v>122.57847650000001</c:v>
                </c:pt>
                <c:pt idx="6">
                  <c:v>96.718476500000008</c:v>
                </c:pt>
                <c:pt idx="7">
                  <c:v>52.24847650000001</c:v>
                </c:pt>
                <c:pt idx="8">
                  <c:v>50.396000000000001</c:v>
                </c:pt>
                <c:pt idx="9">
                  <c:v>44.29</c:v>
                </c:pt>
                <c:pt idx="10">
                  <c:v>19.132476500000003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66-49C9-9DB9-86A2F3219B54}"/>
            </c:ext>
          </c:extLst>
        </c:ser>
        <c:ser>
          <c:idx val="0"/>
          <c:order val="2"/>
          <c:tx>
            <c:strRef>
              <c:f>Lig_DE_path!$G$39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Lig_DE_path!$G$28:$G$38</c:f>
              <c:numCache>
                <c:formatCode>0.0</c:formatCode>
                <c:ptCount val="11"/>
                <c:pt idx="0" formatCode="#,##0.0">
                  <c:v>165.83489999999998</c:v>
                </c:pt>
                <c:pt idx="1">
                  <c:v>149.95744999999999</c:v>
                </c:pt>
                <c:pt idx="2" formatCode="0.00">
                  <c:v>146.78196</c:v>
                </c:pt>
                <c:pt idx="3" formatCode="0.00">
                  <c:v>134.08000000000001</c:v>
                </c:pt>
                <c:pt idx="4" formatCode="0.00">
                  <c:v>135.91</c:v>
                </c:pt>
                <c:pt idx="5" formatCode="0.00">
                  <c:v>143.21</c:v>
                </c:pt>
                <c:pt idx="6" formatCode="0.00">
                  <c:v>130.31</c:v>
                </c:pt>
                <c:pt idx="7" formatCode="0.00">
                  <c:v>85.84</c:v>
                </c:pt>
                <c:pt idx="8" formatCode="0.00">
                  <c:v>81.5</c:v>
                </c:pt>
                <c:pt idx="9" formatCode="0.00">
                  <c:v>57.25</c:v>
                </c:pt>
                <c:pt idx="10" formatCode="0.00">
                  <c:v>21.62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066-49C9-9DB9-86A2F3219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973200"/>
        <c:axId val="225973760"/>
      </c:lineChart>
      <c:catAx>
        <c:axId val="22597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973760"/>
        <c:crosses val="autoZero"/>
        <c:auto val="1"/>
        <c:lblAlgn val="ctr"/>
        <c:lblOffset val="100"/>
        <c:noMultiLvlLbl val="0"/>
      </c:catAx>
      <c:valAx>
        <c:axId val="22597376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25973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Lig_DE_path!$E$39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Lig_DE_path!$E$28:$E$38</c:f>
              <c:numCache>
                <c:formatCode>0.00</c:formatCode>
                <c:ptCount val="11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4.9750469999999991</c:v>
                </c:pt>
                <c:pt idx="5">
                  <c:v>20.631523499999997</c:v>
                </c:pt>
                <c:pt idx="6">
                  <c:v>33.591523499999994</c:v>
                </c:pt>
                <c:pt idx="7">
                  <c:v>33.591523499999994</c:v>
                </c:pt>
                <c:pt idx="8">
                  <c:v>31.103999999999999</c:v>
                </c:pt>
                <c:pt idx="9">
                  <c:v>12.96</c:v>
                </c:pt>
                <c:pt idx="10">
                  <c:v>2.4875234999999996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15F-41F5-867C-271D47BE3725}"/>
            </c:ext>
          </c:extLst>
        </c:ser>
        <c:ser>
          <c:idx val="2"/>
          <c:order val="1"/>
          <c:tx>
            <c:strRef>
              <c:f>Lig_DE_path!$F$39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Lig_DE_path!$F$28:$F$38</c:f>
              <c:numCache>
                <c:formatCode>0.00</c:formatCode>
                <c:ptCount val="11"/>
                <c:pt idx="0" formatCode="General">
                  <c:v>163.34737649999997</c:v>
                </c:pt>
                <c:pt idx="1">
                  <c:v>144.98240300000001</c:v>
                </c:pt>
                <c:pt idx="2">
                  <c:v>142.79834036616001</c:v>
                </c:pt>
                <c:pt idx="3">
                  <c:v>134.06208983080001</c:v>
                </c:pt>
                <c:pt idx="4">
                  <c:v>133.42247649999999</c:v>
                </c:pt>
                <c:pt idx="5">
                  <c:v>122.57847650000001</c:v>
                </c:pt>
                <c:pt idx="6">
                  <c:v>96.718476500000008</c:v>
                </c:pt>
                <c:pt idx="7">
                  <c:v>52.24847650000001</c:v>
                </c:pt>
                <c:pt idx="8">
                  <c:v>50.396000000000001</c:v>
                </c:pt>
                <c:pt idx="9">
                  <c:v>44.29</c:v>
                </c:pt>
                <c:pt idx="10">
                  <c:v>19.132476500000003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15F-41F5-867C-271D47BE3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977120"/>
        <c:axId val="225977680"/>
      </c:areaChart>
      <c:catAx>
        <c:axId val="22597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977680"/>
        <c:crosses val="autoZero"/>
        <c:auto val="1"/>
        <c:lblAlgn val="ctr"/>
        <c:lblOffset val="100"/>
        <c:noMultiLvlLbl val="0"/>
      </c:catAx>
      <c:valAx>
        <c:axId val="2259776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5977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Lig_DE_path!$B$52</c:f>
              <c:strCache>
                <c:ptCount val="1"/>
                <c:pt idx="0">
                  <c:v>Path_xtant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Lig_DE_path!$D$52:$M$52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0.88757105321492591</c:v>
                </c:pt>
                <c:pt idx="2">
                  <c:v>1</c:v>
                </c:pt>
                <c:pt idx="3">
                  <c:v>0.93882106393562614</c:v>
                </c:pt>
                <c:pt idx="4">
                  <c:v>0.93434192692913198</c:v>
                </c:pt>
                <c:pt idx="5">
                  <c:v>0.85840266900642737</c:v>
                </c:pt>
                <c:pt idx="6">
                  <c:v>0.67730812733535184</c:v>
                </c:pt>
                <c:pt idx="7">
                  <c:v>0.36588994218018045</c:v>
                </c:pt>
                <c:pt idx="8">
                  <c:v>0.35291726690083242</c:v>
                </c:pt>
                <c:pt idx="9">
                  <c:v>0.31015766630363256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9F5-428E-ACB0-6BC39DEA8147}"/>
            </c:ext>
          </c:extLst>
        </c:ser>
        <c:ser>
          <c:idx val="2"/>
          <c:order val="2"/>
          <c:tx>
            <c:strRef>
              <c:f>Lig_DE_path!$B$53</c:f>
              <c:strCache>
                <c:ptCount val="1"/>
                <c:pt idx="0">
                  <c:v>Path_all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Lig_DE_path!$D$53:$M$53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0.90425748741670187</c:v>
                </c:pt>
                <c:pt idx="2">
                  <c:v>1</c:v>
                </c:pt>
                <c:pt idx="3">
                  <c:v>0.91346375263009172</c:v>
                </c:pt>
                <c:pt idx="4">
                  <c:v>0.92593122479083945</c:v>
                </c:pt>
                <c:pt idx="5">
                  <c:v>0.97566485690748384</c:v>
                </c:pt>
                <c:pt idx="6">
                  <c:v>0.88777939741368761</c:v>
                </c:pt>
                <c:pt idx="7">
                  <c:v>0.58481301108119832</c:v>
                </c:pt>
                <c:pt idx="8">
                  <c:v>0.55524534486390564</c:v>
                </c:pt>
                <c:pt idx="9">
                  <c:v>0.39003430666820366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9F5-428E-ACB0-6BC39DEA8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499936"/>
        <c:axId val="226500496"/>
      </c:lineChart>
      <c:lineChart>
        <c:grouping val="standard"/>
        <c:varyColors val="0"/>
        <c:ser>
          <c:idx val="0"/>
          <c:order val="0"/>
          <c:tx>
            <c:strRef>
              <c:f>Lig_DE_path!$B$51</c:f>
              <c:strCache>
                <c:ptCount val="1"/>
                <c:pt idx="0">
                  <c:v>Path_new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Lig_DE_path!$D$51:$M$51</c:f>
              <c:numCache>
                <c:formatCode>0.00</c:formatCode>
                <c:ptCount val="10"/>
                <c:pt idx="0" formatCode="0.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4.1470007218022262</c:v>
                </c:pt>
                <c:pt idx="6">
                  <c:v>6.7520012373752447</c:v>
                </c:pt>
                <c:pt idx="7">
                  <c:v>6.7520012373752447</c:v>
                </c:pt>
                <c:pt idx="8">
                  <c:v>6.2520012373752456</c:v>
                </c:pt>
                <c:pt idx="9">
                  <c:v>2.6050005155730194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9F5-428E-ACB0-6BC39DEA8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501616"/>
        <c:axId val="226501056"/>
      </c:lineChart>
      <c:catAx>
        <c:axId val="22649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500496"/>
        <c:crosses val="autoZero"/>
        <c:auto val="1"/>
        <c:lblAlgn val="ctr"/>
        <c:lblOffset val="100"/>
        <c:noMultiLvlLbl val="0"/>
      </c:catAx>
      <c:valAx>
        <c:axId val="226500496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226499936"/>
        <c:crosses val="autoZero"/>
        <c:crossBetween val="between"/>
      </c:valAx>
      <c:valAx>
        <c:axId val="22650105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226501616"/>
        <c:crosses val="max"/>
        <c:crossBetween val="between"/>
      </c:valAx>
      <c:catAx>
        <c:axId val="226501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50105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EC5-4E7C-A993-AE65D5775094}"/>
            </c:ext>
          </c:extLst>
        </c:ser>
        <c:ser>
          <c:idx val="1"/>
          <c:order val="1"/>
          <c:tx>
            <c:strRef>
              <c:f>Lig_DE_path!$C$63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Lig_DE_path!$D$63:$M$63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0.98893429081108408</c:v>
                </c:pt>
                <c:pt idx="2">
                  <c:v>0.93481695916268903</c:v>
                </c:pt>
                <c:pt idx="3">
                  <c:v>0.83807181708904832</c:v>
                </c:pt>
                <c:pt idx="4">
                  <c:v>0.63410573906186962</c:v>
                </c:pt>
                <c:pt idx="5">
                  <c:v>0.45505515459294738</c:v>
                </c:pt>
                <c:pt idx="6">
                  <c:v>0.26564161092059557</c:v>
                </c:pt>
                <c:pt idx="7">
                  <c:v>0.13757647926585792</c:v>
                </c:pt>
                <c:pt idx="8">
                  <c:v>6.878823963292896E-2</c:v>
                </c:pt>
                <c:pt idx="9">
                  <c:v>3.439411981646448E-2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EC5-4E7C-A993-AE65D5775094}"/>
            </c:ext>
          </c:extLst>
        </c:ser>
        <c:ser>
          <c:idx val="2"/>
          <c:order val="2"/>
          <c:tx>
            <c:strRef>
              <c:f>Lig_DE_path!$C$64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Lig_DE_path!$D$64:$M$64</c:f>
              <c:numCache>
                <c:formatCode>0.00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0.71224149269538217</c:v>
                </c:pt>
                <c:pt idx="3">
                  <c:v>0.63853090825832259</c:v>
                </c:pt>
                <c:pt idx="4">
                  <c:v>0.48312818214237691</c:v>
                </c:pt>
                <c:pt idx="5">
                  <c:v>0.3467086892136742</c:v>
                </c:pt>
                <c:pt idx="6">
                  <c:v>0.20239360832045375</c:v>
                </c:pt>
                <c:pt idx="7">
                  <c:v>0.10482017467874889</c:v>
                </c:pt>
                <c:pt idx="8">
                  <c:v>5.7210486073191263E-2</c:v>
                </c:pt>
                <c:pt idx="9">
                  <c:v>2.6276957596864894E-2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EC5-4E7C-A993-AE65D5775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546848"/>
        <c:axId val="226547408"/>
      </c:lineChart>
      <c:catAx>
        <c:axId val="22654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547408"/>
        <c:crosses val="autoZero"/>
        <c:auto val="1"/>
        <c:lblAlgn val="ctr"/>
        <c:lblOffset val="100"/>
        <c:noMultiLvlLbl val="0"/>
      </c:catAx>
      <c:valAx>
        <c:axId val="2265474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6546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2E-4820-8487-51613DB9A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550208"/>
        <c:axId val="226550768"/>
      </c:lineChart>
      <c:catAx>
        <c:axId val="22655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550768"/>
        <c:crosses val="autoZero"/>
        <c:auto val="1"/>
        <c:lblAlgn val="ctr"/>
        <c:lblOffset val="100"/>
        <c:noMultiLvlLbl val="0"/>
      </c:catAx>
      <c:valAx>
        <c:axId val="22655076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6550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BF-48B7-BEC3-5B1950459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553008"/>
        <c:axId val="227004496"/>
      </c:lineChart>
      <c:catAx>
        <c:axId val="226553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7004496"/>
        <c:crosses val="autoZero"/>
        <c:auto val="1"/>
        <c:lblAlgn val="ctr"/>
        <c:lblOffset val="100"/>
        <c:noMultiLvlLbl val="0"/>
      </c:catAx>
      <c:valAx>
        <c:axId val="2270044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6553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Lig_DE_path_CCS!$G$17:$G$24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15.32</c:v>
                </c:pt>
                <c:pt idx="4">
                  <c:v>45.9</c:v>
                </c:pt>
                <c:pt idx="5">
                  <c:v>45.19</c:v>
                </c:pt>
                <c:pt idx="6">
                  <c:v>66.87</c:v>
                </c:pt>
                <c:pt idx="7">
                  <c:v>102.76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B8F-43D6-A027-FAF1ED4B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006736"/>
        <c:axId val="227007296"/>
      </c:lineChart>
      <c:catAx>
        <c:axId val="22700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007296"/>
        <c:crosses val="autoZero"/>
        <c:auto val="1"/>
        <c:lblAlgn val="ctr"/>
        <c:lblOffset val="100"/>
        <c:noMultiLvlLbl val="0"/>
      </c:catAx>
      <c:valAx>
        <c:axId val="22700729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7006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7.4625704999999982</c:v>
                </c:pt>
                <c:pt idx="3">
                  <c:v>9.9500939999999982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2.4875234999999996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55-4FC6-8867-9A32E4D0C122}"/>
            </c:ext>
          </c:extLst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77.942402999999985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C55-4FC6-8867-9A32E4D0C122}"/>
            </c:ext>
          </c:extLst>
        </c:ser>
        <c:ser>
          <c:idx val="0"/>
          <c:order val="2"/>
          <c:tx>
            <c:strRef>
              <c:f>Lig_DE_path_CCS!$G$38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Lig_DE_path_CCS!$G$28:$G$37</c:f>
              <c:numCache>
                <c:formatCode>0.0</c:formatCode>
                <c:ptCount val="10"/>
                <c:pt idx="0" formatCode="#,##0.0">
                  <c:v>165.83489999999998</c:v>
                </c:pt>
                <c:pt idx="1">
                  <c:v>82.917449999999988</c:v>
                </c:pt>
                <c:pt idx="2" formatCode="0.00">
                  <c:v>0</c:v>
                </c:pt>
                <c:pt idx="3" formatCode="0.00">
                  <c:v>0</c:v>
                </c:pt>
                <c:pt idx="4" formatCode="0.00">
                  <c:v>0</c:v>
                </c:pt>
                <c:pt idx="5" formatCode="0.00">
                  <c:v>15.32</c:v>
                </c:pt>
                <c:pt idx="6" formatCode="0.00">
                  <c:v>45.9</c:v>
                </c:pt>
                <c:pt idx="7" formatCode="0.00">
                  <c:v>45.19</c:v>
                </c:pt>
                <c:pt idx="8" formatCode="0.00">
                  <c:v>66.87</c:v>
                </c:pt>
                <c:pt idx="9" formatCode="0.00">
                  <c:v>102.76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C55-4FC6-8867-9A32E4D0C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010656"/>
        <c:axId val="227011216"/>
      </c:lineChart>
      <c:catAx>
        <c:axId val="2270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011216"/>
        <c:crosses val="autoZero"/>
        <c:auto val="1"/>
        <c:lblAlgn val="ctr"/>
        <c:lblOffset val="100"/>
        <c:noMultiLvlLbl val="0"/>
      </c:catAx>
      <c:valAx>
        <c:axId val="227011216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27010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7.4625704999999982</c:v>
                </c:pt>
                <c:pt idx="3">
                  <c:v>9.9500939999999982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2.4875234999999996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34-4E68-AFF0-942475B58287}"/>
            </c:ext>
          </c:extLst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77.942402999999985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34-4E68-AFF0-942475B58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014576"/>
        <c:axId val="227015136"/>
      </c:areaChart>
      <c:catAx>
        <c:axId val="22701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015136"/>
        <c:crosses val="autoZero"/>
        <c:auto val="1"/>
        <c:lblAlgn val="ctr"/>
        <c:lblOffset val="100"/>
        <c:noMultiLvlLbl val="0"/>
      </c:catAx>
      <c:valAx>
        <c:axId val="227015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7014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Lig_DE_path_CCS!$J$2:$Q$2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Lig_DE_path_CCS!$J$5:$Q$5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37-4B55-8043-EF0167253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017936"/>
        <c:axId val="227018496"/>
      </c:lineChart>
      <c:catAx>
        <c:axId val="227017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7018496"/>
        <c:crosses val="autoZero"/>
        <c:auto val="1"/>
        <c:lblAlgn val="ctr"/>
        <c:lblOffset val="100"/>
        <c:noMultiLvlLbl val="0"/>
      </c:catAx>
      <c:valAx>
        <c:axId val="2270184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7017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bBC_data!$A$6:$B$6</c:f>
              <c:strCache>
                <c:ptCount val="2"/>
                <c:pt idx="0">
                  <c:v>TWh_new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bBC_data!$C$6:$L$6</c:f>
              <c:numCache>
                <c:formatCode>0.0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4.9750469999999991</c:v>
                </c:pt>
                <c:pt idx="5">
                  <c:v>20.631523499999997</c:v>
                </c:pt>
                <c:pt idx="6">
                  <c:v>33.591523499999994</c:v>
                </c:pt>
                <c:pt idx="7">
                  <c:v>33.591523499999994</c:v>
                </c:pt>
                <c:pt idx="8">
                  <c:v>31.103999999999999</c:v>
                </c:pt>
                <c:pt idx="9">
                  <c:v>12.96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AF-4F51-9AE9-A90B4B745876}"/>
            </c:ext>
          </c:extLst>
        </c:ser>
        <c:ser>
          <c:idx val="1"/>
          <c:order val="1"/>
          <c:tx>
            <c:strRef>
              <c:f>bBC_data!$A$7:$B$7</c:f>
              <c:strCache>
                <c:ptCount val="2"/>
                <c:pt idx="0">
                  <c:v>TWh_xtant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bBC_data!$C$7:$L$7</c:f>
              <c:numCache>
                <c:formatCode>0.0</c:formatCode>
                <c:ptCount val="10"/>
                <c:pt idx="0">
                  <c:v>163.34737649999997</c:v>
                </c:pt>
                <c:pt idx="1">
                  <c:v>144.98240300000001</c:v>
                </c:pt>
                <c:pt idx="2">
                  <c:v>142.79834036616001</c:v>
                </c:pt>
                <c:pt idx="3">
                  <c:v>134.06208983080001</c:v>
                </c:pt>
                <c:pt idx="4">
                  <c:v>133.42247649999999</c:v>
                </c:pt>
                <c:pt idx="5">
                  <c:v>122.57847650000001</c:v>
                </c:pt>
                <c:pt idx="6">
                  <c:v>96.718476500000008</c:v>
                </c:pt>
                <c:pt idx="7">
                  <c:v>52.24847650000001</c:v>
                </c:pt>
                <c:pt idx="8">
                  <c:v>50.396000000000001</c:v>
                </c:pt>
                <c:pt idx="9">
                  <c:v>44.29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3AF-4F51-9AE9-A90B4B745876}"/>
            </c:ext>
          </c:extLst>
        </c:ser>
        <c:ser>
          <c:idx val="2"/>
          <c:order val="2"/>
          <c:tx>
            <c:strRef>
              <c:f>bBC_data!$A$8:$B$8</c:f>
              <c:strCache>
                <c:ptCount val="2"/>
                <c:pt idx="0">
                  <c:v>TWh_all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bBC_data!$C$8:$L$8</c:f>
              <c:numCache>
                <c:formatCode>0.0</c:formatCode>
                <c:ptCount val="10"/>
                <c:pt idx="0">
                  <c:v>165.83489999999998</c:v>
                </c:pt>
                <c:pt idx="1">
                  <c:v>149.95744999999999</c:v>
                </c:pt>
                <c:pt idx="2">
                  <c:v>146.78196</c:v>
                </c:pt>
                <c:pt idx="3">
                  <c:v>134.08000000000001</c:v>
                </c:pt>
                <c:pt idx="4">
                  <c:v>135.91</c:v>
                </c:pt>
                <c:pt idx="5">
                  <c:v>143.21</c:v>
                </c:pt>
                <c:pt idx="6">
                  <c:v>130.31</c:v>
                </c:pt>
                <c:pt idx="7">
                  <c:v>85.84</c:v>
                </c:pt>
                <c:pt idx="8">
                  <c:v>81.5</c:v>
                </c:pt>
                <c:pt idx="9">
                  <c:v>57.25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3AF-4F51-9AE9-A90B4B74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919744"/>
        <c:axId val="226920304"/>
      </c:lineChart>
      <c:catAx>
        <c:axId val="22691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920304"/>
        <c:crosses val="autoZero"/>
        <c:auto val="1"/>
        <c:lblAlgn val="ctr"/>
        <c:lblOffset val="100"/>
        <c:noMultiLvlLbl val="0"/>
      </c:catAx>
      <c:valAx>
        <c:axId val="22692030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691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bBC_data!$B$23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bBC_data!$C$23:$L$23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0.92338279884942787</c:v>
                </c:pt>
                <c:pt idx="4">
                  <c:v>0.80073297868716031</c:v>
                </c:pt>
                <c:pt idx="5">
                  <c:v>0.71297995259487112</c:v>
                </c:pt>
                <c:pt idx="6">
                  <c:v>0.53150202226191579</c:v>
                </c:pt>
                <c:pt idx="7">
                  <c:v>0.50948832636533103</c:v>
                </c:pt>
                <c:pt idx="8">
                  <c:v>0.48879846979748176</c:v>
                </c:pt>
                <c:pt idx="9">
                  <c:v>0.27455064902196502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BB-4FDD-94C6-B8D8F546F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923664"/>
        <c:axId val="226924224"/>
      </c:lineChart>
      <c:lineChart>
        <c:grouping val="standard"/>
        <c:varyColors val="0"/>
        <c:ser>
          <c:idx val="0"/>
          <c:order val="0"/>
          <c:tx>
            <c:strRef>
              <c:f>bBC_data!$B$22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bBC_data!$C$22:$L$22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2.4909999999999997</c:v>
                </c:pt>
                <c:pt idx="4">
                  <c:v>4.9259999999999993</c:v>
                </c:pt>
                <c:pt idx="5">
                  <c:v>6.7289999999999983</c:v>
                </c:pt>
                <c:pt idx="6">
                  <c:v>8.3670000000000009</c:v>
                </c:pt>
                <c:pt idx="7">
                  <c:v>6.2829999999999995</c:v>
                </c:pt>
                <c:pt idx="8">
                  <c:v>5.0720000000000001</c:v>
                </c:pt>
                <c:pt idx="9">
                  <c:v>5.5019999999999998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0BB-4FDD-94C6-B8D8F546F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925344"/>
        <c:axId val="226924784"/>
      </c:lineChart>
      <c:catAx>
        <c:axId val="226923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924224"/>
        <c:crosses val="autoZero"/>
        <c:auto val="1"/>
        <c:lblAlgn val="ctr"/>
        <c:lblOffset val="100"/>
        <c:noMultiLvlLbl val="0"/>
      </c:catAx>
      <c:valAx>
        <c:axId val="22692422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6923664"/>
        <c:crosses val="autoZero"/>
        <c:crossBetween val="between"/>
      </c:valAx>
      <c:valAx>
        <c:axId val="226924784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226925344"/>
        <c:crosses val="max"/>
        <c:crossBetween val="between"/>
      </c:valAx>
      <c:catAx>
        <c:axId val="226925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92478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bBC_data!$A$19:$B$19</c:f>
              <c:strCache>
                <c:ptCount val="2"/>
                <c:pt idx="0">
                  <c:v>Bestand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bBC_data!$C$19:$L$19</c:f>
              <c:numCache>
                <c:formatCode>0.00</c:formatCode>
                <c:ptCount val="10"/>
                <c:pt idx="0" formatCode="0">
                  <c:v>20.546299999999999</c:v>
                </c:pt>
                <c:pt idx="1">
                  <c:v>20.546299999999999</c:v>
                </c:pt>
                <c:pt idx="2">
                  <c:v>20.546299999999999</c:v>
                </c:pt>
                <c:pt idx="3">
                  <c:v>18.972099999999998</c:v>
                </c:pt>
                <c:pt idx="4">
                  <c:v>16.452100000000002</c:v>
                </c:pt>
                <c:pt idx="5">
                  <c:v>14.649100000000001</c:v>
                </c:pt>
                <c:pt idx="6">
                  <c:v>10.920399999999999</c:v>
                </c:pt>
                <c:pt idx="7">
                  <c:v>10.4681</c:v>
                </c:pt>
                <c:pt idx="8">
                  <c:v>10.042999999999999</c:v>
                </c:pt>
                <c:pt idx="9">
                  <c:v>5.641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C12-433F-9221-037DDBC13D5C}"/>
            </c:ext>
          </c:extLst>
        </c:ser>
        <c:ser>
          <c:idx val="1"/>
          <c:order val="1"/>
          <c:tx>
            <c:strRef>
              <c:f>bBC_data!$A$20:$B$20</c:f>
              <c:strCache>
                <c:ptCount val="2"/>
                <c:pt idx="0">
                  <c:v>Retrofit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bBC_data!$C$20:$L$20</c:f>
              <c:numCache>
                <c:formatCode>0.00</c:formatCode>
                <c:ptCount val="10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1.4909999999999997</c:v>
                </c:pt>
                <c:pt idx="4">
                  <c:v>3.9259999999999993</c:v>
                </c:pt>
                <c:pt idx="5">
                  <c:v>5.7289999999999983</c:v>
                </c:pt>
                <c:pt idx="6">
                  <c:v>7.367</c:v>
                </c:pt>
                <c:pt idx="7">
                  <c:v>5.2829999999999995</c:v>
                </c:pt>
                <c:pt idx="8">
                  <c:v>4.0720000000000001</c:v>
                </c:pt>
                <c:pt idx="9">
                  <c:v>4.5019999999999998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C12-433F-9221-037DDBC13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928704"/>
        <c:axId val="226929264"/>
      </c:lineChart>
      <c:catAx>
        <c:axId val="226928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929264"/>
        <c:crosses val="autoZero"/>
        <c:auto val="1"/>
        <c:lblAlgn val="ctr"/>
        <c:lblOffset val="100"/>
        <c:noMultiLvlLbl val="0"/>
      </c:catAx>
      <c:valAx>
        <c:axId val="22692926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6928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bBC_data!$A$10:$B$10</c:f>
              <c:strCache>
                <c:ptCount val="2"/>
                <c:pt idx="0">
                  <c:v>Path_new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bBC_data!$C$9:$L$9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bBC_data!$C$10:$L$10</c:f>
              <c:numCache>
                <c:formatCode>0.00</c:formatCode>
                <c:ptCount val="10"/>
                <c:pt idx="0" formatCode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8.2940014436044525</c:v>
                </c:pt>
                <c:pt idx="6">
                  <c:v>13.504002474750489</c:v>
                </c:pt>
                <c:pt idx="7">
                  <c:v>13.504002474750489</c:v>
                </c:pt>
                <c:pt idx="8">
                  <c:v>12.504002474750491</c:v>
                </c:pt>
                <c:pt idx="9">
                  <c:v>5.2100010311460387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399-4ACD-B698-2D6FA3D17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932064"/>
        <c:axId val="226932624"/>
      </c:lineChart>
      <c:catAx>
        <c:axId val="22693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932624"/>
        <c:crosses val="autoZero"/>
        <c:auto val="1"/>
        <c:lblAlgn val="ctr"/>
        <c:lblOffset val="100"/>
        <c:noMultiLvlLbl val="0"/>
      </c:catAx>
      <c:valAx>
        <c:axId val="22693262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6932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0</xdr:row>
      <xdr:rowOff>47626</xdr:rowOff>
    </xdr:from>
    <xdr:to>
      <xdr:col>18</xdr:col>
      <xdr:colOff>504825</xdr:colOff>
      <xdr:row>8</xdr:row>
      <xdr:rowOff>85725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0</xdr:row>
      <xdr:rowOff>47625</xdr:rowOff>
    </xdr:from>
    <xdr:to>
      <xdr:col>15</xdr:col>
      <xdr:colOff>142875</xdr:colOff>
      <xdr:row>8</xdr:row>
      <xdr:rowOff>95250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8</xdr:row>
      <xdr:rowOff>114300</xdr:rowOff>
    </xdr:from>
    <xdr:to>
      <xdr:col>15</xdr:col>
      <xdr:colOff>133350</xdr:colOff>
      <xdr:row>16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266700</xdr:colOff>
      <xdr:row>8</xdr:row>
      <xdr:rowOff>104775</xdr:rowOff>
    </xdr:from>
    <xdr:to>
      <xdr:col>18</xdr:col>
      <xdr:colOff>523875</xdr:colOff>
      <xdr:row>16</xdr:row>
      <xdr:rowOff>95250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409575</xdr:colOff>
      <xdr:row>16</xdr:row>
      <xdr:rowOff>123825</xdr:rowOff>
    </xdr:from>
    <xdr:to>
      <xdr:col>15</xdr:col>
      <xdr:colOff>161925</xdr:colOff>
      <xdr:row>23</xdr:row>
      <xdr:rowOff>85725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20</xdr:col>
      <xdr:colOff>95250</xdr:colOff>
      <xdr:row>38</xdr:row>
      <xdr:rowOff>42863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504825</xdr:colOff>
      <xdr:row>25</xdr:row>
      <xdr:rowOff>0</xdr:rowOff>
    </xdr:from>
    <xdr:to>
      <xdr:col>15</xdr:col>
      <xdr:colOff>600075</xdr:colOff>
      <xdr:row>38</xdr:row>
      <xdr:rowOff>42863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85724</xdr:colOff>
      <xdr:row>41</xdr:row>
      <xdr:rowOff>38100</xdr:rowOff>
    </xdr:from>
    <xdr:to>
      <xdr:col>18</xdr:col>
      <xdr:colOff>419099</xdr:colOff>
      <xdr:row>52</xdr:row>
      <xdr:rowOff>66675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54</xdr:row>
      <xdr:rowOff>0</xdr:rowOff>
    </xdr:from>
    <xdr:to>
      <xdr:col>18</xdr:col>
      <xdr:colOff>333375</xdr:colOff>
      <xdr:row>65</xdr:row>
      <xdr:rowOff>28575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552450</xdr:colOff>
      <xdr:row>67</xdr:row>
      <xdr:rowOff>9525</xdr:rowOff>
    </xdr:from>
    <xdr:to>
      <xdr:col>4</xdr:col>
      <xdr:colOff>342900</xdr:colOff>
      <xdr:row>75</xdr:row>
      <xdr:rowOff>57150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67</xdr:row>
      <xdr:rowOff>0</xdr:rowOff>
    </xdr:from>
    <xdr:to>
      <xdr:col>8</xdr:col>
      <xdr:colOff>552450</xdr:colOff>
      <xdr:row>75</xdr:row>
      <xdr:rowOff>47625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77</xdr:row>
      <xdr:rowOff>0</xdr:rowOff>
    </xdr:from>
    <xdr:to>
      <xdr:col>5</xdr:col>
      <xdr:colOff>552450</xdr:colOff>
      <xdr:row>85</xdr:row>
      <xdr:rowOff>47625</xdr:rowOff>
    </xdr:to>
    <xdr:graphicFrame macro="">
      <xdr:nvGraphicFramePr>
        <xdr:cNvPr id="21" name="Diagram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246529</xdr:colOff>
      <xdr:row>6</xdr:row>
      <xdr:rowOff>168089</xdr:rowOff>
    </xdr:from>
    <xdr:to>
      <xdr:col>15</xdr:col>
      <xdr:colOff>123265</xdr:colOff>
      <xdr:row>18</xdr:row>
      <xdr:rowOff>87407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231401</xdr:colOff>
      <xdr:row>28</xdr:row>
      <xdr:rowOff>140074</xdr:rowOff>
    </xdr:from>
    <xdr:to>
      <xdr:col>14</xdr:col>
      <xdr:colOff>760879</xdr:colOff>
      <xdr:row>43</xdr:row>
      <xdr:rowOff>25774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669551</xdr:colOff>
      <xdr:row>43</xdr:row>
      <xdr:rowOff>130828</xdr:rowOff>
    </xdr:from>
    <xdr:to>
      <xdr:col>21</xdr:col>
      <xdr:colOff>669551</xdr:colOff>
      <xdr:row>58</xdr:row>
      <xdr:rowOff>16528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150159</xdr:colOff>
      <xdr:row>59</xdr:row>
      <xdr:rowOff>840</xdr:rowOff>
    </xdr:from>
    <xdr:to>
      <xdr:col>17</xdr:col>
      <xdr:colOff>540684</xdr:colOff>
      <xdr:row>68</xdr:row>
      <xdr:rowOff>110378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280148</xdr:colOff>
      <xdr:row>68</xdr:row>
      <xdr:rowOff>145677</xdr:rowOff>
    </xdr:from>
    <xdr:to>
      <xdr:col>17</xdr:col>
      <xdr:colOff>670673</xdr:colOff>
      <xdr:row>78</xdr:row>
      <xdr:rowOff>64715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448234</xdr:colOff>
      <xdr:row>8</xdr:row>
      <xdr:rowOff>11206</xdr:rowOff>
    </xdr:from>
    <xdr:to>
      <xdr:col>21</xdr:col>
      <xdr:colOff>324970</xdr:colOff>
      <xdr:row>19</xdr:row>
      <xdr:rowOff>121024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119342</xdr:colOff>
      <xdr:row>24</xdr:row>
      <xdr:rowOff>61633</xdr:rowOff>
    </xdr:from>
    <xdr:to>
      <xdr:col>15</xdr:col>
      <xdr:colOff>648820</xdr:colOff>
      <xdr:row>38</xdr:row>
      <xdr:rowOff>137833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2</xdr:row>
      <xdr:rowOff>42862</xdr:rowOff>
    </xdr:from>
    <xdr:to>
      <xdr:col>19</xdr:col>
      <xdr:colOff>266700</xdr:colOff>
      <xdr:row>17</xdr:row>
      <xdr:rowOff>100012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24</xdr:row>
      <xdr:rowOff>71437</xdr:rowOff>
    </xdr:from>
    <xdr:to>
      <xdr:col>11</xdr:col>
      <xdr:colOff>657225</xdr:colOff>
      <xdr:row>35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257175</xdr:colOff>
      <xdr:row>18</xdr:row>
      <xdr:rowOff>119062</xdr:rowOff>
    </xdr:from>
    <xdr:to>
      <xdr:col>16</xdr:col>
      <xdr:colOff>733425</xdr:colOff>
      <xdr:row>29</xdr:row>
      <xdr:rowOff>76200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257735</xdr:colOff>
      <xdr:row>21</xdr:row>
      <xdr:rowOff>12326</xdr:rowOff>
    </xdr:from>
    <xdr:to>
      <xdr:col>23</xdr:col>
      <xdr:colOff>257735</xdr:colOff>
      <xdr:row>38</xdr:row>
      <xdr:rowOff>21291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2-13_Auswertung_Ref_CO2Cap_2190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3-10_Auswertung_Ref_VoCCS_VharmEE_219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le_pro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GTAP8inGAMS/Rutherford%20-%20EnHH%20-%203/results/report_pivot_dia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Residuale%20Braunkohlekapazit&#228;ten%20in%20Deutschlan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141209_RWE_E2M2_Auswertu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LIG_DE_path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BK_Sterbekur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/Labor_baseyear_ob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CO2CAP_PlantInv_2190"/>
      <sheetName val="Ref_CO2CAP_Power_alle_2190"/>
      <sheetName val="Ref_CO2CAP_ProdE_DE_2190"/>
      <sheetName val="Ref_CO2CAP_ProdE_alle_2190"/>
      <sheetName val="Ref_CO2CAP_VLS_DE_2190"/>
      <sheetName val="Ref_CO2CAP_CO2_2190"/>
      <sheetName val="Ref_CO2CAP_BKAbbau_2190"/>
      <sheetName val="Ref_CO2CAP_TransC2C_2190"/>
      <sheetName val="CO2-Minderungskosten"/>
    </sheetNames>
    <sheetDataSet>
      <sheetData sheetId="0"/>
      <sheetData sheetId="1"/>
      <sheetData sheetId="2"/>
      <sheetData sheetId="3"/>
      <sheetData sheetId="4">
        <row r="36">
          <cell r="F36" t="str">
            <v>2015</v>
          </cell>
          <cell r="G36" t="str">
            <v>2020</v>
          </cell>
          <cell r="H36" t="str">
            <v>2025</v>
          </cell>
          <cell r="I36" t="str">
            <v>2030</v>
          </cell>
          <cell r="J36" t="str">
            <v>2035</v>
          </cell>
          <cell r="K36" t="str">
            <v>2040</v>
          </cell>
          <cell r="L36" t="str">
            <v>2045</v>
          </cell>
          <cell r="M36" t="str">
            <v>2050</v>
          </cell>
        </row>
        <row r="38">
          <cell r="N38" t="str">
            <v>Braunkohle ST</v>
          </cell>
        </row>
        <row r="39">
          <cell r="N39" t="str">
            <v>Braunkohle ST_CCS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REF"/>
      <sheetName val="Retrofit_REF"/>
      <sheetName val="FossilPower_REF"/>
      <sheetName val="PlantInv_VoCCS60"/>
      <sheetName val="Retrofit_VoCCS60"/>
      <sheetName val="PlantInv_VoCCS67"/>
      <sheetName val="Retrofit_VoCCS67"/>
      <sheetName val="PlantInv_VharmEE"/>
      <sheetName val="Retrofit_VharmEE"/>
      <sheetName val="Powerall_REF"/>
      <sheetName val="Powerall_VoCCS60"/>
      <sheetName val="Powerall_VoCCS67"/>
      <sheetName val="Powerall_VharmEE"/>
      <sheetName val="ProdDE_REF"/>
      <sheetName val="ProdDE_VoCCS60"/>
      <sheetName val="ProdDE_VoCCS67"/>
      <sheetName val="ProdDE_VharmEE"/>
      <sheetName val="ProdAll_REF"/>
      <sheetName val="ProdAll_VoCCS60"/>
      <sheetName val="ProdAll_VoCCS67"/>
      <sheetName val="ProdAll_VharmEE"/>
      <sheetName val="VLS_REF"/>
      <sheetName val="VLS_VoCCS60"/>
      <sheetName val="VLS_VoCCS67"/>
      <sheetName val="VLS_VharmEE"/>
      <sheetName val="CO2_REF"/>
      <sheetName val="CO2_VoCCS60"/>
      <sheetName val="CO2_VoCCS67"/>
      <sheetName val="CO2_VharmEE"/>
      <sheetName val="BKAbb_REF"/>
      <sheetName val="BKAbb_VoCCS60"/>
      <sheetName val="BKAbb_VoCCS67"/>
      <sheetName val="BKAbb_VharmEE"/>
      <sheetName val="TransC2C_REF"/>
      <sheetName val="TransC2C_VoCCS60"/>
      <sheetName val="TransC2C_VoCCS67"/>
      <sheetName val="TransC2C_VharmEE"/>
      <sheetName val="CO2-Minderungskosten"/>
    </sheetNames>
    <sheetDataSet>
      <sheetData sheetId="0">
        <row r="3">
          <cell r="P3">
            <v>0</v>
          </cell>
          <cell r="Q3">
            <v>0</v>
          </cell>
        </row>
        <row r="4">
          <cell r="P4">
            <v>0</v>
          </cell>
          <cell r="Q4">
            <v>0</v>
          </cell>
        </row>
        <row r="5">
          <cell r="P5">
            <v>0</v>
          </cell>
          <cell r="Q5">
            <v>2520</v>
          </cell>
        </row>
        <row r="6">
          <cell r="P6">
            <v>1940</v>
          </cell>
          <cell r="Q6">
            <v>1800</v>
          </cell>
        </row>
        <row r="7">
          <cell r="P7">
            <v>3880</v>
          </cell>
          <cell r="Q7">
            <v>0</v>
          </cell>
        </row>
        <row r="8">
          <cell r="P8">
            <v>0</v>
          </cell>
          <cell r="Q8">
            <v>0</v>
          </cell>
        </row>
        <row r="9">
          <cell r="P9">
            <v>2937.73</v>
          </cell>
          <cell r="Q9">
            <v>0</v>
          </cell>
        </row>
        <row r="10">
          <cell r="P10">
            <v>5080.59</v>
          </cell>
          <cell r="Q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">
          <cell r="BD29">
            <v>20.508900000000001</v>
          </cell>
        </row>
        <row r="30">
          <cell r="BD30">
            <v>18.934699999999999</v>
          </cell>
        </row>
        <row r="31">
          <cell r="BD31">
            <v>18.934699999999999</v>
          </cell>
        </row>
        <row r="32">
          <cell r="BD32">
            <v>20.871700000000001</v>
          </cell>
        </row>
        <row r="33">
          <cell r="BD33">
            <v>21.023</v>
          </cell>
        </row>
        <row r="34">
          <cell r="BD34">
            <v>18.050699999999999</v>
          </cell>
        </row>
        <row r="35">
          <cell r="BD35">
            <v>18.800729999999998</v>
          </cell>
        </row>
        <row r="36">
          <cell r="BD36">
            <v>19.479320000000001</v>
          </cell>
        </row>
      </sheetData>
      <sheetData sheetId="10"/>
      <sheetData sheetId="11"/>
      <sheetData sheetId="12"/>
      <sheetData sheetId="13">
        <row r="16">
          <cell r="F16">
            <v>134.08000000000001</v>
          </cell>
          <cell r="G16">
            <v>0</v>
          </cell>
        </row>
        <row r="17">
          <cell r="F17">
            <v>135.91</v>
          </cell>
          <cell r="G17">
            <v>0</v>
          </cell>
        </row>
        <row r="18">
          <cell r="F18">
            <v>143.21</v>
          </cell>
          <cell r="G18">
            <v>0</v>
          </cell>
        </row>
        <row r="19">
          <cell r="F19">
            <v>130.31</v>
          </cell>
          <cell r="G19">
            <v>15.32</v>
          </cell>
        </row>
        <row r="20">
          <cell r="F20">
            <v>78.84</v>
          </cell>
          <cell r="G20">
            <v>45.9</v>
          </cell>
        </row>
        <row r="21">
          <cell r="F21">
            <v>81.5</v>
          </cell>
          <cell r="G21">
            <v>45.19</v>
          </cell>
        </row>
        <row r="22">
          <cell r="F22">
            <v>57.25</v>
          </cell>
          <cell r="G22">
            <v>66.87</v>
          </cell>
        </row>
        <row r="23">
          <cell r="F23">
            <v>21.62</v>
          </cell>
          <cell r="G23">
            <v>102.76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>
        <row r="71">
          <cell r="F71">
            <v>6795</v>
          </cell>
          <cell r="G71">
            <v>6975</v>
          </cell>
          <cell r="H71">
            <v>7093</v>
          </cell>
          <cell r="I71">
            <v>7015</v>
          </cell>
          <cell r="J71">
            <v>6591</v>
          </cell>
          <cell r="K71">
            <v>6348</v>
          </cell>
          <cell r="L71">
            <v>5859</v>
          </cell>
          <cell r="M71">
            <v>3787</v>
          </cell>
        </row>
        <row r="72">
          <cell r="I72">
            <v>7106</v>
          </cell>
          <cell r="J72">
            <v>7098</v>
          </cell>
          <cell r="K72">
            <v>6990</v>
          </cell>
          <cell r="L72">
            <v>6898</v>
          </cell>
          <cell r="M72">
            <v>6762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_prod_vorher"/>
      <sheetName val="ele_prod_bw"/>
      <sheetName val="ele_prod"/>
    </sheetNames>
    <sheetDataSet>
      <sheetData sheetId="0"/>
      <sheetData sheetId="1">
        <row r="11">
          <cell r="C11">
            <v>165.83489999999998</v>
          </cell>
        </row>
        <row r="19">
          <cell r="C19">
            <v>1.6751000000000147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...pivot"/>
      <sheetName val="WELF.p"/>
      <sheetName val="PCO2_ets.p"/>
      <sheetName val="PCO2_nets"/>
      <sheetName val="PCO2_W"/>
      <sheetName val="ELE_TWh...FORMAT"/>
      <sheetName val="ELEconTWh...FORMAT"/>
      <sheetName val="ELEconTWh...FORMAT (2)"/>
      <sheetName val="eletwhyr.p"/>
      <sheetName val="ELEconTWh2groups...FORMAT"/>
      <sheetName val="ELEnTWh_yr"/>
      <sheetName val="ELE"/>
      <sheetName val="RWA"/>
      <sheetName val="RCA"/>
      <sheetName val="vyPAyr...pivot"/>
      <sheetName val="vyPYyr...pivot"/>
      <sheetName val="GDPreal5"/>
      <sheetName val="WELF...pivot"/>
      <sheetName val="AB...pivot"/>
      <sheetName val="EX...pivot"/>
      <sheetName val="IM...pivot"/>
      <sheetName val="Tradematrix.p"/>
      <sheetName val="PA_yr...pivot"/>
      <sheetName val="DEMAND...pivot"/>
      <sheetName val="GVAreal...pivot"/>
      <sheetName val="GDPreal...pivot"/>
      <sheetName val="VC_PC...pivot"/>
      <sheetName val="VINV_PA...pivot"/>
      <sheetName val="VINV_PINV...pivot"/>
      <sheetName val="VD_PINV...pivot"/>
      <sheetName val="VD_PC...pivot"/>
      <sheetName val="ks_x_yr...pivot"/>
      <sheetName val="abschr_pfad...pivot"/>
      <sheetName val="EVOA...pivot"/>
      <sheetName val="PK...pivot"/>
      <sheetName val="RKX_ELE...pivot"/>
      <sheetName val="PSKL...pivot"/>
      <sheetName val="PUSK...pivot"/>
      <sheetName val="CO2ETSeleN...pivot"/>
      <sheetName val="CO2ETSeleX...pivot"/>
      <sheetName val="CO2etsY...pivot"/>
      <sheetName val="CO2ets_yr...pivot"/>
      <sheetName val="CO2nets_yr.p"/>
      <sheetName val="CO2nets_yr_DoNotChange!"/>
      <sheetName val="CO2w_yr.p"/>
      <sheetName val="carblim_yr.p"/>
      <sheetName val="---"/>
      <sheetName val="UP.L...pivot"/>
      <sheetName val="Abschr_BMK"/>
      <sheetName val="AEEIyr...pivot"/>
      <sheetName val="GENlimitTWh_yr"/>
      <sheetName val="VINV_PIC_yr"/>
      <sheetName val="PIC.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7">
          <cell r="B7">
            <v>163.34737703021611</v>
          </cell>
          <cell r="E7">
            <v>165.83490053021612</v>
          </cell>
        </row>
        <row r="8">
          <cell r="B8">
            <v>153.84744996116908</v>
          </cell>
          <cell r="E8">
            <v>162.0263768231174</v>
          </cell>
        </row>
        <row r="9">
          <cell r="B9">
            <v>145.42847455484562</v>
          </cell>
          <cell r="E9">
            <v>145.42847455484562</v>
          </cell>
        </row>
        <row r="10">
          <cell r="B10">
            <v>130.37793627089818</v>
          </cell>
          <cell r="E10">
            <v>130.37793627089818</v>
          </cell>
        </row>
        <row r="11">
          <cell r="B11">
            <v>98.647151652917202</v>
          </cell>
          <cell r="E11">
            <v>98.647151652917202</v>
          </cell>
        </row>
        <row r="12">
          <cell r="B12">
            <v>70.792443720797579</v>
          </cell>
          <cell r="E12">
            <v>70.792443720797579</v>
          </cell>
        </row>
        <row r="13">
          <cell r="B13">
            <v>41.325581308533799</v>
          </cell>
          <cell r="E13">
            <v>41.325581308533799</v>
          </cell>
        </row>
        <row r="14">
          <cell r="B14">
            <v>21.402625742028384</v>
          </cell>
          <cell r="E14">
            <v>21.402625742028384</v>
          </cell>
        </row>
        <row r="15">
          <cell r="B15">
            <v>11.681478548349375</v>
          </cell>
          <cell r="E15">
            <v>11.681478548349375</v>
          </cell>
        </row>
        <row r="16">
          <cell r="B16">
            <v>5.3653401247276138</v>
          </cell>
          <cell r="E16">
            <v>5.3653401247276138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Res_Kap"/>
      <sheetName val="lvM"/>
      <sheetName val="Res_Kap-BoAPlus"/>
      <sheetName val="lvM_BoAPlus"/>
    </sheetNames>
    <sheetDataSet>
      <sheetData sheetId="0"/>
      <sheetData sheetId="1">
        <row r="2">
          <cell r="E2">
            <v>21885.299999999996</v>
          </cell>
          <cell r="F2">
            <v>21635.299999999996</v>
          </cell>
          <cell r="G2">
            <v>20061.099999999999</v>
          </cell>
          <cell r="H2">
            <v>16441.099999999999</v>
          </cell>
          <cell r="I2">
            <v>14638.099999999999</v>
          </cell>
          <cell r="J2">
            <v>10909.4</v>
          </cell>
          <cell r="K2">
            <v>10457.1</v>
          </cell>
          <cell r="L2">
            <v>10043</v>
          </cell>
          <cell r="M2">
            <v>5641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144"/>
      <sheetName val="PlantInv_2190"/>
      <sheetName val="PlantInv_4380"/>
      <sheetName val="PlantInv_4380+Retrofit"/>
      <sheetName val="PlantInv_8760+Retrofit"/>
      <sheetName val="Lig_DE_path"/>
      <sheetName val="PreisDL_144"/>
      <sheetName val="PreisDL_4380"/>
      <sheetName val="PreisDL_8760"/>
      <sheetName val="VLS_DE_144"/>
      <sheetName val="VLS_DE_2190"/>
      <sheetName val="VLS_DE_4380"/>
      <sheetName val="VLS_DE_8760"/>
      <sheetName val="ProdEnergy_DE_144"/>
      <sheetName val="ProdEnergy_DE_EE60_144"/>
      <sheetName val="ProdEnergy_DE_2190"/>
      <sheetName val="ProdEnergy_DE_4380"/>
      <sheetName val="ProdEnergy_DE_8760"/>
      <sheetName val="ProdEnergy_alle_144"/>
      <sheetName val="ProdEnergy_alle_EE60_144"/>
      <sheetName val="ProdEnergy_alle_2190"/>
      <sheetName val="ProdEnergy_alle_4380"/>
      <sheetName val="ProdEnergy_alle_8760"/>
      <sheetName val="CO2_DE_144"/>
      <sheetName val="CO2_DE_4380"/>
      <sheetName val="CO2_DE_8760"/>
      <sheetName val="BKAbbau_144"/>
      <sheetName val="BKAbbau_2190"/>
      <sheetName val="BKAbbau_4380"/>
      <sheetName val="BKAbbau_8760"/>
      <sheetName val="TransInv_4380"/>
      <sheetName val="TransInv_8760"/>
      <sheetName val="TransC2C_4380"/>
      <sheetName val="TransC2C_8760"/>
    </sheetNames>
    <sheetDataSet>
      <sheetData sheetId="0"/>
      <sheetData sheetId="1"/>
      <sheetData sheetId="2"/>
      <sheetData sheetId="3"/>
      <sheetData sheetId="4"/>
      <sheetData sheetId="5">
        <row r="72">
          <cell r="S72" t="str">
            <v>Braunkohle in DEU</v>
          </cell>
        </row>
        <row r="73">
          <cell r="U73">
            <v>2007</v>
          </cell>
          <cell r="V73">
            <v>2010</v>
          </cell>
          <cell r="W73">
            <v>2015</v>
          </cell>
          <cell r="X73">
            <v>2020</v>
          </cell>
          <cell r="Y73">
            <v>2025</v>
          </cell>
          <cell r="Z73">
            <v>2030</v>
          </cell>
          <cell r="AA73">
            <v>2035</v>
          </cell>
          <cell r="AB73">
            <v>2040</v>
          </cell>
          <cell r="AC73">
            <v>2045</v>
          </cell>
          <cell r="AD73">
            <v>2050</v>
          </cell>
        </row>
        <row r="77">
          <cell r="U77">
            <v>2007</v>
          </cell>
          <cell r="V77">
            <v>2010</v>
          </cell>
          <cell r="W77">
            <v>2015</v>
          </cell>
          <cell r="X77">
            <v>2020</v>
          </cell>
          <cell r="Y77">
            <v>2025</v>
          </cell>
          <cell r="Z77">
            <v>2030</v>
          </cell>
          <cell r="AA77">
            <v>2035</v>
          </cell>
          <cell r="AB77">
            <v>2040</v>
          </cell>
          <cell r="AC77">
            <v>2045</v>
          </cell>
          <cell r="AD77">
            <v>2050</v>
          </cell>
        </row>
        <row r="78">
          <cell r="S78" t="str">
            <v>Path_new</v>
          </cell>
          <cell r="T78" t="str">
            <v>bBC</v>
          </cell>
        </row>
        <row r="79">
          <cell r="S79" t="str">
            <v>Path_xtant</v>
          </cell>
          <cell r="T79" t="str">
            <v>bBC</v>
          </cell>
        </row>
        <row r="80">
          <cell r="S80" t="str">
            <v>Path_all</v>
          </cell>
          <cell r="T80" t="str">
            <v>bBC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g_DE_path"/>
      <sheetName val="Lig_DE_path_vor150216"/>
    </sheetNames>
    <sheetDataSet>
      <sheetData sheetId="0">
        <row r="47">
          <cell r="B47" t="str">
            <v>TWh_new</v>
          </cell>
          <cell r="C47" t="str">
            <v>bBC</v>
          </cell>
        </row>
        <row r="48">
          <cell r="B48" t="str">
            <v>TWh_xtant</v>
          </cell>
          <cell r="C48" t="str">
            <v>bBC</v>
          </cell>
        </row>
        <row r="49">
          <cell r="B49" t="str">
            <v>TWh_all</v>
          </cell>
          <cell r="C49" t="str">
            <v>bBC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ise_Energietraeger"/>
      <sheetName val="Preise_Energietraeger_WEO2014"/>
      <sheetName val="ABN-lvM"/>
      <sheetName val="Kernenergie_Resid"/>
      <sheetName val="Kernenergie_Resid_phase-out-FR"/>
      <sheetName val="Braunkohle_Resid"/>
      <sheetName val="Gas-ST_Resid"/>
      <sheetName val="Gas-CC_Resid"/>
      <sheetName val="Steinkohle_Resid"/>
      <sheetName val="Fossil_Resid"/>
      <sheetName val="GAS_ST"/>
      <sheetName val="GAS_CC"/>
      <sheetName val="Coal"/>
    </sheetNames>
    <sheetDataSet>
      <sheetData sheetId="0"/>
      <sheetData sheetId="1"/>
      <sheetData sheetId="2"/>
      <sheetData sheetId="3"/>
      <sheetData sheetId="4"/>
      <sheetData sheetId="5">
        <row r="10">
          <cell r="B10">
            <v>20.546299999999999</v>
          </cell>
          <cell r="C10">
            <v>18.972099999999998</v>
          </cell>
          <cell r="D10">
            <v>16.452100000000002</v>
          </cell>
          <cell r="E10">
            <v>14.649100000000001</v>
          </cell>
          <cell r="F10">
            <v>10.920399999999999</v>
          </cell>
          <cell r="G10">
            <v>10.4681</v>
          </cell>
          <cell r="H10">
            <v>10.042999999999999</v>
          </cell>
          <cell r="I10">
            <v>5.641</v>
          </cell>
        </row>
        <row r="11">
          <cell r="B11">
            <v>0</v>
          </cell>
          <cell r="C11">
            <v>1.4909999999999997</v>
          </cell>
          <cell r="D11">
            <v>3.9259999999999993</v>
          </cell>
          <cell r="E11">
            <v>5.7289999999999983</v>
          </cell>
          <cell r="F11">
            <v>7.367</v>
          </cell>
          <cell r="G11">
            <v>5.2829999999999995</v>
          </cell>
          <cell r="H11">
            <v>4.0720000000000001</v>
          </cell>
          <cell r="I11">
            <v>4.5019999999999998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emplmtno_2007"/>
      <sheetName val="RESULTS_old"/>
      <sheetName val="RESULTS"/>
      <sheetName val="CALCULATION"/>
      <sheetName val="METHODS"/>
      <sheetName val="SOURCES"/>
      <sheetName val="COMMENTS"/>
      <sheetName val="MaGE Project"/>
      <sheetName val="ENV Project"/>
      <sheetName val="EC Project"/>
      <sheetName val="Paper_1 Project"/>
      <sheetName val="ILO employment 2007"/>
      <sheetName val="ILO unemployment 2007"/>
      <sheetName val="ILO employment 2010"/>
      <sheetName val="ILO unemployment 2010"/>
    </sheetNames>
    <sheetDataSet>
      <sheetData sheetId="0"/>
      <sheetData sheetId="1"/>
      <sheetData sheetId="2"/>
      <sheetData sheetId="3">
        <row r="3">
          <cell r="B3" t="str">
            <v>DEU</v>
          </cell>
          <cell r="D3">
            <v>13805.245312043266</v>
          </cell>
          <cell r="E3">
            <v>19056.241735070209</v>
          </cell>
          <cell r="F3">
            <v>709.84469127758916</v>
          </cell>
          <cell r="G3">
            <v>2623.3553087224104</v>
          </cell>
          <cell r="O3">
            <v>14364.118141550902</v>
          </cell>
          <cell r="P3">
            <v>19217.882111279276</v>
          </cell>
          <cell r="Q3">
            <v>333.84398600125752</v>
          </cell>
          <cell r="R3">
            <v>2345.9560139987425</v>
          </cell>
        </row>
        <row r="4">
          <cell r="B4" t="str">
            <v>FRA</v>
          </cell>
          <cell r="D4">
            <v>10195.427147209235</v>
          </cell>
          <cell r="E4">
            <v>15369.772852790764</v>
          </cell>
          <cell r="F4">
            <v>473.20139926161141</v>
          </cell>
          <cell r="G4">
            <v>1748.7986007383884</v>
          </cell>
          <cell r="O4">
            <v>11217.626241526465</v>
          </cell>
          <cell r="P4">
            <v>14474.856759175087</v>
          </cell>
          <cell r="Q4">
            <v>321.4953214485339</v>
          </cell>
          <cell r="R4">
            <v>2259.1806785514659</v>
          </cell>
        </row>
        <row r="5">
          <cell r="B5" t="str">
            <v>ITA</v>
          </cell>
          <cell r="D5">
            <v>9344.2469999999994</v>
          </cell>
          <cell r="E5">
            <v>13877.590999999999</v>
          </cell>
          <cell r="F5">
            <v>274.43451355346923</v>
          </cell>
          <cell r="G5">
            <v>1231.6064864465307</v>
          </cell>
          <cell r="O5">
            <v>8652.1769999999997</v>
          </cell>
          <cell r="P5">
            <v>14220.150999999998</v>
          </cell>
          <cell r="Q5">
            <v>254.54137608661046</v>
          </cell>
          <cell r="R5">
            <v>1306.4636239133899</v>
          </cell>
        </row>
        <row r="6">
          <cell r="B6" t="str">
            <v>POL</v>
          </cell>
          <cell r="D6">
            <v>5009.6434759779468</v>
          </cell>
          <cell r="E6">
            <v>10231.356524022052</v>
          </cell>
          <cell r="F6">
            <v>250.36082474226802</v>
          </cell>
          <cell r="G6">
            <v>1360.2938144329896</v>
          </cell>
          <cell r="O6">
            <v>5645.216357513732</v>
          </cell>
          <cell r="P6">
            <v>10315.583729651089</v>
          </cell>
          <cell r="Q6">
            <v>185.23840977068798</v>
          </cell>
          <cell r="R6">
            <v>1019.1615154536393</v>
          </cell>
        </row>
        <row r="7">
          <cell r="B7" t="str">
            <v>UKI</v>
          </cell>
          <cell r="D7">
            <v>13011.30553525884</v>
          </cell>
          <cell r="E7">
            <v>18190.194464741158</v>
          </cell>
          <cell r="F7">
            <v>342.96566344990447</v>
          </cell>
          <cell r="G7">
            <v>1380.4650514662474</v>
          </cell>
          <cell r="O7">
            <v>13412.452762082605</v>
          </cell>
          <cell r="P7">
            <v>17353.612792168315</v>
          </cell>
          <cell r="Q7">
            <v>539.33436103126007</v>
          </cell>
          <cell r="R7">
            <v>2183.8717360816008</v>
          </cell>
        </row>
        <row r="8">
          <cell r="B8" t="str">
            <v>ESP</v>
          </cell>
          <cell r="D8">
            <v>7689.6</v>
          </cell>
          <cell r="E8">
            <v>17836.400000000001</v>
          </cell>
          <cell r="F8">
            <v>301.01877863231573</v>
          </cell>
          <cell r="G8">
            <v>1981.5971087352893</v>
          </cell>
          <cell r="O8">
            <v>7733.0519999999997</v>
          </cell>
          <cell r="P8">
            <v>15701.534</v>
          </cell>
          <cell r="Q8">
            <v>708.15895700965427</v>
          </cell>
          <cell r="R8">
            <v>4461.1410429903463</v>
          </cell>
        </row>
        <row r="9">
          <cell r="B9" t="str">
            <v>BNL</v>
          </cell>
          <cell r="D9">
            <v>5954.4867408408163</v>
          </cell>
          <cell r="E9">
            <v>6938.6922591591838</v>
          </cell>
          <cell r="F9">
            <v>144.55972577335834</v>
          </cell>
          <cell r="G9">
            <v>495.83213847073119</v>
          </cell>
          <cell r="O9">
            <v>6333.4553565033448</v>
          </cell>
          <cell r="P9">
            <v>6744.3393906017964</v>
          </cell>
          <cell r="Q9">
            <v>211.18877916059623</v>
          </cell>
          <cell r="R9">
            <v>625.68449129816247</v>
          </cell>
        </row>
        <row r="10">
          <cell r="B10" t="str">
            <v>EUN</v>
          </cell>
          <cell r="D10">
            <v>5578.1730148223542</v>
          </cell>
          <cell r="E10">
            <v>7558.7760361833725</v>
          </cell>
          <cell r="F10">
            <v>179.34847085732088</v>
          </cell>
          <cell r="G10">
            <v>581.86575616139089</v>
          </cell>
          <cell r="O10">
            <v>5683.8476024227311</v>
          </cell>
          <cell r="P10">
            <v>6866.7355098947528</v>
          </cell>
          <cell r="Q10">
            <v>317.01364202203479</v>
          </cell>
          <cell r="R10">
            <v>1133.6434563623216</v>
          </cell>
        </row>
        <row r="11">
          <cell r="B11" t="str">
            <v>EUS</v>
          </cell>
          <cell r="D11">
            <v>11103.520242299248</v>
          </cell>
          <cell r="E11">
            <v>24398.641716807771</v>
          </cell>
          <cell r="F11">
            <v>350.61609664188336</v>
          </cell>
          <cell r="G11">
            <v>2232.8935691943389</v>
          </cell>
          <cell r="O11">
            <v>11542.181362447627</v>
          </cell>
          <cell r="P11">
            <v>23312.306792407933</v>
          </cell>
          <cell r="Q11">
            <v>409.66755789246622</v>
          </cell>
          <cell r="R11">
            <v>2375.4081483443888</v>
          </cell>
        </row>
        <row r="12">
          <cell r="B12" t="str">
            <v>USA</v>
          </cell>
          <cell r="D12">
            <v>51787</v>
          </cell>
          <cell r="E12">
            <v>94259</v>
          </cell>
          <cell r="F12">
            <v>1200.7616233867204</v>
          </cell>
          <cell r="G12">
            <v>5877.2383766132789</v>
          </cell>
          <cell r="O12">
            <v>49311.226380729357</v>
          </cell>
          <cell r="P12">
            <v>89752.773619270636</v>
          </cell>
          <cell r="Q12">
            <v>2515.0171046493547</v>
          </cell>
          <cell r="R12">
            <v>12309.982895350646</v>
          </cell>
        </row>
        <row r="13">
          <cell r="B13" t="str">
            <v>OEC</v>
          </cell>
          <cell r="D13">
            <v>62691.780589714712</v>
          </cell>
          <cell r="E13">
            <v>148241.65608772953</v>
          </cell>
          <cell r="F13">
            <v>2493.4421908507516</v>
          </cell>
          <cell r="G13">
            <v>8961.8707957738879</v>
          </cell>
          <cell r="O13">
            <v>50374.873989134721</v>
          </cell>
          <cell r="P13">
            <v>161029.03206046039</v>
          </cell>
        </row>
        <row r="14">
          <cell r="B14" t="str">
            <v>BRZ</v>
          </cell>
          <cell r="D14">
            <v>17536.892244243383</v>
          </cell>
          <cell r="E14">
            <v>73249.126755756617</v>
          </cell>
          <cell r="F14">
            <v>1087.948515476726</v>
          </cell>
          <cell r="G14">
            <v>6972.0514845232728</v>
          </cell>
        </row>
        <row r="15">
          <cell r="B15" t="str">
            <v>RUS</v>
          </cell>
          <cell r="D15">
            <v>28093</v>
          </cell>
          <cell r="E15">
            <v>42477</v>
          </cell>
          <cell r="F15">
            <v>901.42435897435905</v>
          </cell>
          <cell r="G15">
            <v>3686.5756410256413</v>
          </cell>
          <cell r="O15">
            <v>29429.684000000001</v>
          </cell>
          <cell r="P15">
            <v>40373.916000000005</v>
          </cell>
          <cell r="Q15">
            <v>941.59500000000003</v>
          </cell>
          <cell r="R15">
            <v>3220.058</v>
          </cell>
        </row>
        <row r="16">
          <cell r="B16" t="str">
            <v>IND</v>
          </cell>
          <cell r="D16">
            <v>103665.09763745977</v>
          </cell>
          <cell r="E16">
            <v>266334.90236254025</v>
          </cell>
          <cell r="F16">
            <v>2245.2773705260374</v>
          </cell>
          <cell r="G16">
            <v>14388.722629473963</v>
          </cell>
        </row>
        <row r="17">
          <cell r="B17" t="str">
            <v>CHI</v>
          </cell>
          <cell r="D17">
            <v>216971.95586778453</v>
          </cell>
          <cell r="E17">
            <v>556411.8441322156</v>
          </cell>
          <cell r="F17">
            <v>1147.1745409018545</v>
          </cell>
          <cell r="G17">
            <v>7298.4122500849362</v>
          </cell>
          <cell r="O17">
            <v>304440.52231266513</v>
          </cell>
          <cell r="P17">
            <v>460083.67768733483</v>
          </cell>
        </row>
        <row r="18">
          <cell r="B18" t="str">
            <v>RSA</v>
          </cell>
          <cell r="D18">
            <v>2997.6073052440138</v>
          </cell>
          <cell r="E18">
            <v>10236.392694755988</v>
          </cell>
          <cell r="F18">
            <v>249.76823063877896</v>
          </cell>
          <cell r="G18">
            <v>3690.7716223855282</v>
          </cell>
        </row>
        <row r="19">
          <cell r="B19" t="str">
            <v>OPA</v>
          </cell>
          <cell r="D19">
            <v>25272.385478220625</v>
          </cell>
          <cell r="E19">
            <v>159028.82926959862</v>
          </cell>
          <cell r="F19">
            <v>3467.122564867479</v>
          </cell>
          <cell r="G19">
            <v>14460.992133557125</v>
          </cell>
          <cell r="O19">
            <v>19586.871991526121</v>
          </cell>
          <cell r="P19">
            <v>130730.2078575898</v>
          </cell>
          <cell r="Q19">
            <v>533.84970613090161</v>
          </cell>
          <cell r="R19">
            <v>2588.9572291445588</v>
          </cell>
        </row>
        <row r="20">
          <cell r="B20" t="str">
            <v>ROW</v>
          </cell>
          <cell r="O20">
            <v>33798.601457146564</v>
          </cell>
          <cell r="P20">
            <v>121267.01907720338</v>
          </cell>
          <cell r="Q20">
            <v>785.11214883283219</v>
          </cell>
          <cell r="R20">
            <v>4681.2196575282524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0"/>
    <pageSetUpPr fitToPage="1"/>
  </sheetPr>
  <dimension ref="A1:AN121"/>
  <sheetViews>
    <sheetView zoomScaleNormal="100" zoomScaleSheetLayoutView="7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C16" sqref="AC16"/>
    </sheetView>
  </sheetViews>
  <sheetFormatPr defaultColWidth="11.42578125" defaultRowHeight="12" customHeight="1" x14ac:dyDescent="0.2"/>
  <cols>
    <col min="1" max="1" width="58.7109375" style="1" customWidth="1"/>
    <col min="2" max="2" width="7.5703125" style="2" customWidth="1"/>
    <col min="3" max="4" width="10.28515625" style="2" hidden="1" customWidth="1"/>
    <col min="5" max="5" width="7.85546875" style="2" hidden="1" customWidth="1"/>
    <col min="6" max="7" width="7.7109375" style="2" hidden="1" customWidth="1"/>
    <col min="8" max="11" width="10" style="2" hidden="1" customWidth="1"/>
    <col min="12" max="12" width="8.7109375" style="2" hidden="1" customWidth="1"/>
    <col min="13" max="16" width="10.28515625" style="2" hidden="1" customWidth="1"/>
    <col min="17" max="19" width="9.7109375" style="2" customWidth="1"/>
    <col min="20" max="20" width="9.5703125" style="2" customWidth="1"/>
    <col min="21" max="21" width="10.5703125" style="2" customWidth="1"/>
    <col min="22" max="24" width="10.140625" style="2" customWidth="1"/>
    <col min="25" max="25" width="9.85546875" style="2" customWidth="1"/>
    <col min="26" max="26" width="10" style="2" customWidth="1"/>
    <col min="27" max="27" width="11.7109375" style="2" customWidth="1"/>
    <col min="28" max="16384" width="11.42578125" style="1"/>
  </cols>
  <sheetData>
    <row r="1" spans="1:30" ht="17.25" customHeight="1" x14ac:dyDescent="0.25">
      <c r="A1" s="124" t="s">
        <v>41</v>
      </c>
      <c r="B1" s="123"/>
    </row>
    <row r="2" spans="1:30" ht="15.75" customHeight="1" thickBot="1" x14ac:dyDescent="0.25">
      <c r="A2" s="62" t="s">
        <v>40</v>
      </c>
      <c r="B2" s="61"/>
    </row>
    <row r="3" spans="1:30" s="107" customFormat="1" ht="15" customHeight="1" thickTop="1" x14ac:dyDescent="0.2">
      <c r="A3" s="105"/>
      <c r="B3" s="122"/>
      <c r="C3" s="103">
        <v>1995</v>
      </c>
      <c r="D3" s="103">
        <v>1996</v>
      </c>
      <c r="E3" s="103">
        <v>1997</v>
      </c>
      <c r="F3" s="103">
        <v>1998</v>
      </c>
      <c r="G3" s="103">
        <v>1999</v>
      </c>
      <c r="H3" s="103">
        <v>2000</v>
      </c>
      <c r="I3" s="103">
        <v>2001</v>
      </c>
      <c r="J3" s="103">
        <v>2002</v>
      </c>
      <c r="K3" s="103">
        <v>2003</v>
      </c>
      <c r="L3" s="103">
        <v>2004</v>
      </c>
      <c r="M3" s="103">
        <v>2005</v>
      </c>
      <c r="N3" s="103">
        <v>2006</v>
      </c>
      <c r="O3" s="103">
        <v>2007</v>
      </c>
      <c r="P3" s="103">
        <v>2008</v>
      </c>
      <c r="Q3" s="103">
        <v>2010</v>
      </c>
      <c r="R3" s="103">
        <v>2011</v>
      </c>
      <c r="S3" s="103">
        <v>2012</v>
      </c>
      <c r="T3" s="103">
        <v>2015</v>
      </c>
      <c r="U3" s="103">
        <v>2020</v>
      </c>
      <c r="V3" s="103">
        <v>2025</v>
      </c>
      <c r="W3" s="103">
        <v>2030</v>
      </c>
      <c r="X3" s="103">
        <v>2035</v>
      </c>
      <c r="Y3" s="103">
        <v>2040</v>
      </c>
      <c r="Z3" s="103">
        <v>2045</v>
      </c>
      <c r="AA3" s="102">
        <v>2050</v>
      </c>
    </row>
    <row r="4" spans="1:30" s="107" customFormat="1" ht="15.95" customHeight="1" x14ac:dyDescent="0.2">
      <c r="A4" s="92" t="s">
        <v>39</v>
      </c>
      <c r="B4" s="91" t="s">
        <v>20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90">
        <v>5.0999999999999996</v>
      </c>
      <c r="R4" s="90">
        <v>4.08</v>
      </c>
      <c r="S4" s="90">
        <v>4.74</v>
      </c>
      <c r="T4" s="89">
        <v>5.0999999999999996</v>
      </c>
      <c r="U4" s="89">
        <v>5.5</v>
      </c>
      <c r="V4" s="89">
        <v>5.5</v>
      </c>
      <c r="W4" s="89">
        <v>5.5</v>
      </c>
      <c r="X4" s="89">
        <v>5.5</v>
      </c>
      <c r="Y4" s="89">
        <v>5.5</v>
      </c>
      <c r="Z4" s="89">
        <v>5.5</v>
      </c>
      <c r="AA4" s="88">
        <v>5.5</v>
      </c>
      <c r="AB4" s="108"/>
    </row>
    <row r="5" spans="1:30" s="107" customFormat="1" ht="15.95" customHeight="1" x14ac:dyDescent="0.2">
      <c r="A5" s="92" t="s">
        <v>38</v>
      </c>
      <c r="B5" s="91" t="s">
        <v>20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90">
        <v>0.54</v>
      </c>
      <c r="R5" s="90">
        <v>0.57999999999999996</v>
      </c>
      <c r="S5" s="90">
        <v>0.59</v>
      </c>
      <c r="T5" s="89">
        <v>1.0981579146919431</v>
      </c>
      <c r="U5" s="89">
        <v>1.7121579146919432</v>
      </c>
      <c r="V5" s="89">
        <v>2.3261579146919429</v>
      </c>
      <c r="W5" s="89">
        <v>2.9401579146919432</v>
      </c>
      <c r="X5" s="89">
        <v>3.5541579146919435</v>
      </c>
      <c r="Y5" s="89">
        <v>4.1681579146919443</v>
      </c>
      <c r="Z5" s="89">
        <v>4.7821579146919442</v>
      </c>
      <c r="AA5" s="88">
        <v>5.3961579146919441</v>
      </c>
      <c r="AB5" s="108"/>
    </row>
    <row r="6" spans="1:30" s="107" customFormat="1" ht="15.95" customHeight="1" x14ac:dyDescent="0.2">
      <c r="A6" s="101" t="s">
        <v>37</v>
      </c>
      <c r="B6" s="100" t="s">
        <v>20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97"/>
      <c r="O6" s="97"/>
      <c r="P6" s="97"/>
      <c r="Q6" s="90">
        <v>0.54</v>
      </c>
      <c r="R6" s="90">
        <v>0.57999999999999996</v>
      </c>
      <c r="S6" s="90">
        <v>0.59</v>
      </c>
      <c r="T6" s="95">
        <v>1.0981579146919431</v>
      </c>
      <c r="U6" s="95">
        <v>1.7121579146919432</v>
      </c>
      <c r="V6" s="95">
        <v>2.3261579146919429</v>
      </c>
      <c r="W6" s="95">
        <v>2.9401579146919432</v>
      </c>
      <c r="X6" s="95">
        <v>3.5541579146919435</v>
      </c>
      <c r="Y6" s="95">
        <v>4.1681579146919443</v>
      </c>
      <c r="Z6" s="95">
        <v>4.7821579146919442</v>
      </c>
      <c r="AA6" s="94">
        <v>5.3961579146919441</v>
      </c>
      <c r="AB6" s="108"/>
    </row>
    <row r="7" spans="1:30" s="107" customFormat="1" ht="15.95" customHeight="1" x14ac:dyDescent="0.2">
      <c r="A7" s="101" t="s">
        <v>36</v>
      </c>
      <c r="B7" s="100" t="s">
        <v>20</v>
      </c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19"/>
      <c r="O7" s="119"/>
      <c r="P7" s="119"/>
      <c r="Q7" s="98"/>
      <c r="R7" s="98"/>
      <c r="S7" s="98"/>
      <c r="T7" s="97"/>
      <c r="U7" s="97"/>
      <c r="V7" s="97"/>
      <c r="W7" s="97"/>
      <c r="X7" s="97"/>
      <c r="Y7" s="97"/>
      <c r="Z7" s="97"/>
      <c r="AA7" s="96"/>
      <c r="AB7" s="108"/>
    </row>
    <row r="8" spans="1:30" s="107" customFormat="1" ht="15.95" customHeight="1" x14ac:dyDescent="0.2">
      <c r="A8" s="92" t="s">
        <v>35</v>
      </c>
      <c r="B8" s="91" t="s">
        <v>20</v>
      </c>
      <c r="C8" s="118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90">
        <v>2.1</v>
      </c>
      <c r="R8" s="90">
        <v>3.32</v>
      </c>
      <c r="S8" s="90">
        <v>4.3099999999999996</v>
      </c>
      <c r="T8" s="95">
        <v>5.6963615476518692</v>
      </c>
      <c r="U8" s="95">
        <v>7.4128091780779943</v>
      </c>
      <c r="V8" s="95">
        <v>7.9079383022393763</v>
      </c>
      <c r="W8" s="95">
        <v>8.4030674264007583</v>
      </c>
      <c r="X8" s="95">
        <v>8.6671362926201621</v>
      </c>
      <c r="Y8" s="95">
        <v>8.9312051588395676</v>
      </c>
      <c r="Z8" s="95">
        <v>9.0632395919492694</v>
      </c>
      <c r="AA8" s="94">
        <v>9.1952740250589695</v>
      </c>
      <c r="AB8" s="108"/>
    </row>
    <row r="9" spans="1:30" s="107" customFormat="1" ht="15.95" customHeight="1" x14ac:dyDescent="0.2">
      <c r="A9" s="92" t="s">
        <v>34</v>
      </c>
      <c r="B9" s="91" t="s">
        <v>20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6"/>
      <c r="O9" s="116"/>
      <c r="P9" s="116"/>
      <c r="Q9" s="90">
        <v>1.01</v>
      </c>
      <c r="R9" s="90">
        <v>0.97</v>
      </c>
      <c r="S9" s="90">
        <v>1.01</v>
      </c>
      <c r="T9" s="89">
        <v>1.1000000000000001</v>
      </c>
      <c r="U9" s="89">
        <v>1.5</v>
      </c>
      <c r="V9" s="89">
        <v>1.5833333333333333</v>
      </c>
      <c r="W9" s="89">
        <v>1.6666666666666667</v>
      </c>
      <c r="X9" s="89">
        <v>1.75</v>
      </c>
      <c r="Y9" s="89">
        <v>1.8333333333333333</v>
      </c>
      <c r="Z9" s="89">
        <v>1.9166666666666667</v>
      </c>
      <c r="AA9" s="88">
        <v>2</v>
      </c>
      <c r="AB9" s="108"/>
    </row>
    <row r="10" spans="1:30" s="107" customFormat="1" ht="15.95" customHeight="1" x14ac:dyDescent="0.2">
      <c r="A10" s="92" t="s">
        <v>33</v>
      </c>
      <c r="B10" s="91" t="s">
        <v>20</v>
      </c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5"/>
      <c r="N10" s="89"/>
      <c r="O10" s="89"/>
      <c r="P10" s="89"/>
      <c r="Q10" s="90">
        <v>0</v>
      </c>
      <c r="R10" s="90">
        <v>0</v>
      </c>
      <c r="S10" s="90">
        <v>0</v>
      </c>
      <c r="T10" s="89">
        <v>0.01</v>
      </c>
      <c r="U10" s="89">
        <v>0.1</v>
      </c>
      <c r="V10" s="89">
        <v>0.16666666666666669</v>
      </c>
      <c r="W10" s="89">
        <v>0.23333333333333334</v>
      </c>
      <c r="X10" s="89">
        <v>0.30000000000000004</v>
      </c>
      <c r="Y10" s="89">
        <v>0.3666666666666667</v>
      </c>
      <c r="Z10" s="89">
        <v>0.43333333333333335</v>
      </c>
      <c r="AA10" s="88">
        <v>0.5</v>
      </c>
      <c r="AB10" s="108"/>
    </row>
    <row r="11" spans="1:30" s="107" customFormat="1" ht="15.95" customHeight="1" x14ac:dyDescent="0.2">
      <c r="A11" s="92" t="s">
        <v>32</v>
      </c>
      <c r="B11" s="91" t="s">
        <v>20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90">
        <v>0</v>
      </c>
      <c r="R11" s="90">
        <v>0</v>
      </c>
      <c r="S11" s="90">
        <v>0.01</v>
      </c>
      <c r="T11" s="89">
        <v>0.02</v>
      </c>
      <c r="U11" s="89">
        <v>0.02</v>
      </c>
      <c r="V11" s="89">
        <v>0.02</v>
      </c>
      <c r="W11" s="89">
        <v>0.02</v>
      </c>
      <c r="X11" s="89">
        <v>0.02</v>
      </c>
      <c r="Y11" s="89">
        <v>0.02</v>
      </c>
      <c r="Z11" s="89">
        <v>0.02</v>
      </c>
      <c r="AA11" s="88">
        <v>0.02</v>
      </c>
      <c r="AB11" s="108"/>
    </row>
    <row r="12" spans="1:30" s="107" customFormat="1" ht="15.95" customHeight="1" x14ac:dyDescent="0.2">
      <c r="A12" s="92" t="s">
        <v>31</v>
      </c>
      <c r="B12" s="91" t="s">
        <v>20</v>
      </c>
      <c r="C12" s="115"/>
      <c r="D12" s="116"/>
      <c r="E12" s="116"/>
      <c r="F12" s="116"/>
      <c r="G12" s="116"/>
      <c r="H12" s="116"/>
      <c r="I12" s="116"/>
      <c r="J12" s="116"/>
      <c r="K12" s="116"/>
      <c r="L12" s="115"/>
      <c r="M12" s="115"/>
      <c r="N12" s="115"/>
      <c r="O12" s="115"/>
      <c r="P12" s="115"/>
      <c r="Q12" s="90">
        <v>1.38</v>
      </c>
      <c r="R12" s="90">
        <v>1.61</v>
      </c>
      <c r="S12" s="90">
        <v>1.85</v>
      </c>
      <c r="T12" s="89">
        <v>2</v>
      </c>
      <c r="U12" s="89">
        <v>2.2000000000000002</v>
      </c>
      <c r="V12" s="89">
        <v>2.25</v>
      </c>
      <c r="W12" s="89">
        <v>2.3000000000000003</v>
      </c>
      <c r="X12" s="89">
        <v>2.35</v>
      </c>
      <c r="Y12" s="89">
        <v>2.4</v>
      </c>
      <c r="Z12" s="89">
        <v>2.4500000000000002</v>
      </c>
      <c r="AA12" s="88">
        <v>2.5</v>
      </c>
      <c r="AB12" s="108"/>
      <c r="AD12" s="107">
        <v>30</v>
      </c>
    </row>
    <row r="13" spans="1:30" s="107" customFormat="1" ht="15.95" customHeight="1" x14ac:dyDescent="0.2">
      <c r="A13" s="92" t="s">
        <v>30</v>
      </c>
      <c r="B13" s="91" t="s">
        <v>20</v>
      </c>
      <c r="C13" s="115"/>
      <c r="D13" s="116"/>
      <c r="E13" s="116"/>
      <c r="F13" s="116"/>
      <c r="G13" s="116"/>
      <c r="H13" s="115"/>
      <c r="I13" s="116"/>
      <c r="J13" s="116"/>
      <c r="K13" s="116"/>
      <c r="L13" s="115"/>
      <c r="M13" s="115"/>
      <c r="N13" s="115"/>
      <c r="O13" s="115"/>
      <c r="P13" s="115"/>
      <c r="Q13" s="90">
        <v>0.14000000000000001</v>
      </c>
      <c r="R13" s="90">
        <v>0.15</v>
      </c>
      <c r="S13" s="90">
        <v>0.15</v>
      </c>
      <c r="T13" s="89">
        <v>1.0409999999999999</v>
      </c>
      <c r="U13" s="89">
        <v>1.0409999999999999</v>
      </c>
      <c r="V13" s="89">
        <v>1.0409999999999999</v>
      </c>
      <c r="W13" s="89">
        <v>1.0409999999999999</v>
      </c>
      <c r="X13" s="89">
        <v>1.0409999999999999</v>
      </c>
      <c r="Y13" s="89">
        <v>1.0409999999999999</v>
      </c>
      <c r="Z13" s="89">
        <v>1.0409999999999999</v>
      </c>
      <c r="AA13" s="88">
        <v>1.0409999999999999</v>
      </c>
      <c r="AB13" s="108"/>
    </row>
    <row r="14" spans="1:30" s="107" customFormat="1" ht="15.95" customHeight="1" x14ac:dyDescent="0.2">
      <c r="A14" s="92" t="s">
        <v>29</v>
      </c>
      <c r="B14" s="91" t="s">
        <v>20</v>
      </c>
      <c r="C14" s="115"/>
      <c r="D14" s="89"/>
      <c r="E14" s="89"/>
      <c r="F14" s="89"/>
      <c r="G14" s="89"/>
      <c r="H14" s="89"/>
      <c r="I14" s="89"/>
      <c r="J14" s="89"/>
      <c r="K14" s="89"/>
      <c r="L14" s="115"/>
      <c r="M14" s="89"/>
      <c r="N14" s="115"/>
      <c r="O14" s="115"/>
      <c r="P14" s="115"/>
      <c r="Q14" s="90">
        <v>0.05</v>
      </c>
      <c r="R14" s="90">
        <v>0.05</v>
      </c>
      <c r="S14" s="90">
        <v>0.04</v>
      </c>
      <c r="T14" s="89">
        <v>0.04</v>
      </c>
      <c r="U14" s="89">
        <v>0.04</v>
      </c>
      <c r="V14" s="89">
        <v>0.04</v>
      </c>
      <c r="W14" s="89">
        <v>0.04</v>
      </c>
      <c r="X14" s="89">
        <v>0.04</v>
      </c>
      <c r="Y14" s="89">
        <v>0.04</v>
      </c>
      <c r="Z14" s="89">
        <v>0.04</v>
      </c>
      <c r="AA14" s="88">
        <v>0.04</v>
      </c>
      <c r="AB14" s="108"/>
    </row>
    <row r="15" spans="1:30" s="107" customFormat="1" ht="15.95" customHeight="1" x14ac:dyDescent="0.2">
      <c r="A15" s="92" t="s">
        <v>28</v>
      </c>
      <c r="B15" s="91" t="s">
        <v>20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90">
        <v>0.36</v>
      </c>
      <c r="R15" s="90">
        <v>0.44</v>
      </c>
      <c r="S15" s="90">
        <v>0.39</v>
      </c>
      <c r="T15" s="89">
        <v>0.4</v>
      </c>
      <c r="U15" s="89">
        <v>0.4</v>
      </c>
      <c r="V15" s="89">
        <v>0.4</v>
      </c>
      <c r="W15" s="89">
        <v>0.4</v>
      </c>
      <c r="X15" s="89">
        <v>0.4</v>
      </c>
      <c r="Y15" s="89">
        <v>0.4</v>
      </c>
      <c r="Z15" s="89">
        <v>0.4</v>
      </c>
      <c r="AA15" s="88">
        <v>0.4</v>
      </c>
      <c r="AB15" s="108"/>
    </row>
    <row r="16" spans="1:30" s="107" customFormat="1" ht="15.95" customHeight="1" thickBot="1" x14ac:dyDescent="0.25">
      <c r="A16" s="73" t="s">
        <v>27</v>
      </c>
      <c r="B16" s="33" t="s">
        <v>20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3"/>
      <c r="M16" s="113"/>
      <c r="N16" s="113"/>
      <c r="O16" s="113"/>
      <c r="P16" s="113"/>
      <c r="Q16" s="85">
        <v>0</v>
      </c>
      <c r="R16" s="85">
        <v>0</v>
      </c>
      <c r="S16" s="85">
        <v>0.01</v>
      </c>
      <c r="T16" s="112">
        <v>0.1</v>
      </c>
      <c r="U16" s="84">
        <v>0.24736842105263157</v>
      </c>
      <c r="V16" s="84">
        <v>0.45614035087719296</v>
      </c>
      <c r="W16" s="84">
        <v>0.66491228070175434</v>
      </c>
      <c r="X16" s="84">
        <v>0.87368421052631562</v>
      </c>
      <c r="Y16" s="84">
        <v>1.0824561403508772</v>
      </c>
      <c r="Z16" s="84">
        <v>1.2912280701754384</v>
      </c>
      <c r="AA16" s="83">
        <v>1.5</v>
      </c>
      <c r="AB16" s="108"/>
    </row>
    <row r="17" spans="1:40" s="107" customFormat="1" ht="15.95" customHeight="1" thickTop="1" x14ac:dyDescent="0.2">
      <c r="A17" s="82" t="s">
        <v>13</v>
      </c>
      <c r="B17" s="104" t="s">
        <v>20</v>
      </c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0">
        <v>10.68</v>
      </c>
      <c r="R17" s="110">
        <v>11.200000000000001</v>
      </c>
      <c r="S17" s="110">
        <v>13.1</v>
      </c>
      <c r="T17" s="110">
        <v>16.60551946234381</v>
      </c>
      <c r="U17" s="110">
        <v>20.173335513822565</v>
      </c>
      <c r="V17" s="110">
        <v>21.691236567808513</v>
      </c>
      <c r="W17" s="110">
        <v>23.209137621794454</v>
      </c>
      <c r="X17" s="110">
        <v>24.495978417838423</v>
      </c>
      <c r="Y17" s="110">
        <v>25.782819213882391</v>
      </c>
      <c r="Z17" s="110">
        <v>26.93762557681665</v>
      </c>
      <c r="AA17" s="109">
        <v>28.092431939750913</v>
      </c>
      <c r="AB17" s="108"/>
    </row>
    <row r="18" spans="1:40" ht="17.25" customHeight="1" x14ac:dyDescent="0.2">
      <c r="A18" s="77" t="s">
        <v>22</v>
      </c>
      <c r="B18" s="37" t="s">
        <v>20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5">
        <v>1.57</v>
      </c>
      <c r="R18" s="75">
        <v>1.81</v>
      </c>
      <c r="S18" s="75">
        <v>2.04</v>
      </c>
      <c r="T18" s="75">
        <v>3.081</v>
      </c>
      <c r="U18" s="75">
        <v>3.2810000000000001</v>
      </c>
      <c r="V18" s="75">
        <v>3.331</v>
      </c>
      <c r="W18" s="75">
        <v>3.3810000000000002</v>
      </c>
      <c r="X18" s="75">
        <v>3.431</v>
      </c>
      <c r="Y18" s="75">
        <v>3.4809999999999999</v>
      </c>
      <c r="Z18" s="75">
        <v>3.5310000000000001</v>
      </c>
      <c r="AA18" s="74">
        <v>3.581</v>
      </c>
    </row>
    <row r="19" spans="1:40" s="67" customFormat="1" ht="17.25" customHeight="1" thickBot="1" x14ac:dyDescent="0.25">
      <c r="A19" s="73" t="s">
        <v>21</v>
      </c>
      <c r="B19" s="33" t="s">
        <v>20</v>
      </c>
      <c r="C19" s="72"/>
      <c r="D19" s="72"/>
      <c r="E19" s="72"/>
      <c r="F19" s="72"/>
      <c r="G19" s="72"/>
      <c r="H19" s="71"/>
      <c r="I19" s="71"/>
      <c r="J19" s="71"/>
      <c r="K19" s="70"/>
      <c r="L19" s="70"/>
      <c r="M19" s="70"/>
      <c r="N19" s="71"/>
      <c r="O19" s="70"/>
      <c r="P19" s="70"/>
      <c r="Q19" s="69">
        <v>1.01</v>
      </c>
      <c r="R19" s="69">
        <v>0.97</v>
      </c>
      <c r="S19" s="69">
        <v>1.01</v>
      </c>
      <c r="T19" s="69">
        <v>1.1100000000000001</v>
      </c>
      <c r="U19" s="69">
        <v>1.6</v>
      </c>
      <c r="V19" s="69">
        <v>1.75</v>
      </c>
      <c r="W19" s="69">
        <v>1.9000000000000001</v>
      </c>
      <c r="X19" s="69">
        <v>2.0499999999999998</v>
      </c>
      <c r="Y19" s="69">
        <v>2.2000000000000002</v>
      </c>
      <c r="Z19" s="69">
        <v>2.35</v>
      </c>
      <c r="AA19" s="68">
        <v>2.5</v>
      </c>
    </row>
    <row r="20" spans="1:40" ht="17.25" customHeight="1" thickTop="1" x14ac:dyDescent="0.2"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</row>
    <row r="21" spans="1:40" ht="15.95" customHeight="1" thickBot="1" x14ac:dyDescent="0.25">
      <c r="A21" s="62" t="s">
        <v>26</v>
      </c>
      <c r="B21" s="61"/>
    </row>
    <row r="22" spans="1:40" ht="15.95" customHeight="1" thickTop="1" x14ac:dyDescent="0.2">
      <c r="A22" s="105"/>
      <c r="B22" s="104"/>
      <c r="C22" s="103"/>
      <c r="D22" s="103"/>
      <c r="E22" s="103"/>
      <c r="F22" s="103"/>
      <c r="G22" s="103"/>
      <c r="H22" s="103">
        <v>2000</v>
      </c>
      <c r="I22" s="103">
        <v>2001</v>
      </c>
      <c r="J22" s="103">
        <v>2002</v>
      </c>
      <c r="K22" s="103">
        <v>2003</v>
      </c>
      <c r="L22" s="103">
        <v>2004</v>
      </c>
      <c r="M22" s="103">
        <v>2005</v>
      </c>
      <c r="N22" s="103">
        <v>2006</v>
      </c>
      <c r="O22" s="103">
        <v>2007</v>
      </c>
      <c r="P22" s="103">
        <v>2008</v>
      </c>
      <c r="Q22" s="103">
        <v>2010</v>
      </c>
      <c r="R22" s="103">
        <v>2011</v>
      </c>
      <c r="S22" s="103">
        <v>2012</v>
      </c>
      <c r="T22" s="103">
        <v>2015</v>
      </c>
      <c r="U22" s="103">
        <v>2020</v>
      </c>
      <c r="V22" s="103">
        <v>2025</v>
      </c>
      <c r="W22" s="103">
        <v>2030</v>
      </c>
      <c r="X22" s="103">
        <v>2035</v>
      </c>
      <c r="Y22" s="103">
        <v>2040</v>
      </c>
      <c r="Z22" s="103">
        <v>2045</v>
      </c>
      <c r="AA22" s="102">
        <v>2050</v>
      </c>
    </row>
    <row r="23" spans="1:40" ht="15.95" customHeight="1" x14ac:dyDescent="0.2">
      <c r="A23" s="92" t="s">
        <v>39</v>
      </c>
      <c r="B23" s="91" t="s">
        <v>20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90">
        <v>5.0999999999999996</v>
      </c>
      <c r="R23" s="90">
        <v>4.08</v>
      </c>
      <c r="S23" s="90">
        <v>4.74</v>
      </c>
      <c r="T23" s="89">
        <v>5.5</v>
      </c>
      <c r="U23" s="89">
        <v>5.5</v>
      </c>
      <c r="V23" s="89">
        <v>5.583333333333333</v>
      </c>
      <c r="W23" s="89">
        <v>5.666666666666667</v>
      </c>
      <c r="X23" s="89">
        <v>5.75</v>
      </c>
      <c r="Y23" s="89">
        <v>5.833333333333333</v>
      </c>
      <c r="Z23" s="89">
        <v>5.916666666666667</v>
      </c>
      <c r="AA23" s="88">
        <v>6</v>
      </c>
    </row>
    <row r="24" spans="1:40" ht="15.95" customHeight="1" x14ac:dyDescent="0.2">
      <c r="A24" s="92" t="s">
        <v>38</v>
      </c>
      <c r="B24" s="91" t="s">
        <v>20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90">
        <v>0.54</v>
      </c>
      <c r="R24" s="90">
        <v>0.57999999999999996</v>
      </c>
      <c r="S24" s="90">
        <v>0.59</v>
      </c>
      <c r="T24" s="89">
        <v>1.75</v>
      </c>
      <c r="U24" s="89">
        <v>6.3571428571428568</v>
      </c>
      <c r="V24" s="89">
        <v>10.964285714285714</v>
      </c>
      <c r="W24" s="89">
        <v>15.571428571428571</v>
      </c>
      <c r="X24" s="89">
        <v>20.178571428571427</v>
      </c>
      <c r="Y24" s="89">
        <v>24.785714285714285</v>
      </c>
      <c r="Z24" s="89">
        <v>29.392857142857142</v>
      </c>
      <c r="AA24" s="88">
        <v>34</v>
      </c>
    </row>
    <row r="25" spans="1:40" ht="15.95" customHeight="1" x14ac:dyDescent="0.2">
      <c r="A25" s="101" t="s">
        <v>37</v>
      </c>
      <c r="B25" s="100" t="s">
        <v>20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0">
        <v>0.54</v>
      </c>
      <c r="R25" s="90">
        <v>0.57999999999999996</v>
      </c>
      <c r="S25" s="90">
        <v>0.59</v>
      </c>
      <c r="T25" s="95">
        <v>1.75</v>
      </c>
      <c r="U25" s="95">
        <v>6.3571428571428568</v>
      </c>
      <c r="V25" s="95">
        <v>10.964285714285714</v>
      </c>
      <c r="W25" s="95">
        <v>15.571428571428571</v>
      </c>
      <c r="X25" s="95">
        <v>20.178571428571427</v>
      </c>
      <c r="Y25" s="95">
        <v>24.785714285714285</v>
      </c>
      <c r="Z25" s="95">
        <v>29.392857142857142</v>
      </c>
      <c r="AA25" s="94">
        <v>34</v>
      </c>
      <c r="AC25" s="1" t="s">
        <v>23</v>
      </c>
    </row>
    <row r="26" spans="1:40" ht="15.95" customHeight="1" x14ac:dyDescent="0.2">
      <c r="A26" s="101" t="s">
        <v>36</v>
      </c>
      <c r="B26" s="100" t="s">
        <v>20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8">
        <v>0</v>
      </c>
      <c r="R26" s="98">
        <v>0</v>
      </c>
      <c r="S26" s="98">
        <v>0</v>
      </c>
      <c r="T26" s="97"/>
      <c r="U26" s="97"/>
      <c r="V26" s="97"/>
      <c r="W26" s="97"/>
      <c r="X26" s="97"/>
      <c r="Y26" s="97"/>
      <c r="Z26" s="97"/>
      <c r="AA26" s="96"/>
    </row>
    <row r="27" spans="1:40" ht="15.95" customHeight="1" x14ac:dyDescent="0.2">
      <c r="A27" s="92" t="s">
        <v>35</v>
      </c>
      <c r="B27" s="91" t="s">
        <v>20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90">
        <v>2.1</v>
      </c>
      <c r="R27" s="90">
        <v>3.32</v>
      </c>
      <c r="S27" s="90">
        <v>4.3099999999999996</v>
      </c>
      <c r="T27" s="95">
        <v>6.996361547651869</v>
      </c>
      <c r="U27" s="95">
        <v>9.9968813265587446</v>
      </c>
      <c r="V27" s="95">
        <v>12.99740110546562</v>
      </c>
      <c r="W27" s="95">
        <v>15.997920884372498</v>
      </c>
      <c r="X27" s="95">
        <v>18.998440663279375</v>
      </c>
      <c r="Y27" s="95">
        <v>21.998960442186249</v>
      </c>
      <c r="Z27" s="95">
        <v>24.999480221093123</v>
      </c>
      <c r="AA27" s="94">
        <v>28</v>
      </c>
      <c r="AC27" s="1" t="s">
        <v>23</v>
      </c>
    </row>
    <row r="28" spans="1:40" ht="15.95" customHeight="1" x14ac:dyDescent="0.2">
      <c r="A28" s="92" t="s">
        <v>34</v>
      </c>
      <c r="B28" s="91" t="s">
        <v>20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90">
        <v>1.01</v>
      </c>
      <c r="R28" s="90">
        <v>0.97</v>
      </c>
      <c r="S28" s="90">
        <v>1.01</v>
      </c>
      <c r="T28" s="95">
        <v>1.4000000000000001</v>
      </c>
      <c r="U28" s="95">
        <v>1.842857142857143</v>
      </c>
      <c r="V28" s="95">
        <v>2.2857142857142856</v>
      </c>
      <c r="W28" s="95">
        <v>2.7285714285714286</v>
      </c>
      <c r="X28" s="95">
        <v>3.1714285714285717</v>
      </c>
      <c r="Y28" s="95">
        <v>3.6142857142857139</v>
      </c>
      <c r="Z28" s="95">
        <v>4.0571428571428569</v>
      </c>
      <c r="AA28" s="94">
        <v>4.5</v>
      </c>
      <c r="AC28" s="1" t="s">
        <v>25</v>
      </c>
    </row>
    <row r="29" spans="1:40" ht="15.95" customHeight="1" x14ac:dyDescent="0.2">
      <c r="A29" s="92" t="s">
        <v>33</v>
      </c>
      <c r="B29" s="91" t="s">
        <v>20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90">
        <v>0</v>
      </c>
      <c r="R29" s="90">
        <v>0</v>
      </c>
      <c r="S29" s="90">
        <v>0</v>
      </c>
      <c r="T29" s="89">
        <v>0.6875</v>
      </c>
      <c r="U29" s="89">
        <v>0.875</v>
      </c>
      <c r="V29" s="89">
        <v>1.0625</v>
      </c>
      <c r="W29" s="89">
        <v>1.25</v>
      </c>
      <c r="X29" s="89">
        <v>1.4375</v>
      </c>
      <c r="Y29" s="89">
        <v>1.625</v>
      </c>
      <c r="Z29" s="89">
        <v>1.8125</v>
      </c>
      <c r="AA29" s="88">
        <v>2</v>
      </c>
      <c r="AB29" s="6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63"/>
    </row>
    <row r="30" spans="1:40" ht="15.95" customHeight="1" x14ac:dyDescent="0.2">
      <c r="A30" s="92" t="s">
        <v>32</v>
      </c>
      <c r="B30" s="91" t="s">
        <v>20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90">
        <v>0</v>
      </c>
      <c r="R30" s="90">
        <v>0</v>
      </c>
      <c r="S30" s="90">
        <v>0.01</v>
      </c>
      <c r="T30" s="89">
        <v>0.04</v>
      </c>
      <c r="U30" s="89">
        <v>0.8</v>
      </c>
      <c r="V30" s="89">
        <v>1.0833333333333335</v>
      </c>
      <c r="W30" s="89">
        <v>1.3666666666666667</v>
      </c>
      <c r="X30" s="89">
        <v>1.65</v>
      </c>
      <c r="Y30" s="89">
        <v>1.9333333333333333</v>
      </c>
      <c r="Z30" s="89">
        <v>2.2166666666666668</v>
      </c>
      <c r="AA30" s="88">
        <v>2.5</v>
      </c>
      <c r="AB30" s="6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63"/>
    </row>
    <row r="31" spans="1:40" ht="15.95" customHeight="1" x14ac:dyDescent="0.2">
      <c r="A31" s="92" t="s">
        <v>31</v>
      </c>
      <c r="B31" s="91" t="s">
        <v>20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90">
        <v>1.38</v>
      </c>
      <c r="R31" s="90">
        <v>1.61</v>
      </c>
      <c r="S31" s="90">
        <v>1.85</v>
      </c>
      <c r="T31" s="95">
        <v>2.5454545454545454</v>
      </c>
      <c r="U31" s="95">
        <v>2.8246753246753245</v>
      </c>
      <c r="V31" s="95">
        <v>3.1038961038961039</v>
      </c>
      <c r="W31" s="95">
        <v>3.383116883116883</v>
      </c>
      <c r="X31" s="95">
        <v>3.662337662337662</v>
      </c>
      <c r="Y31" s="95">
        <v>3.9415584415584415</v>
      </c>
      <c r="Z31" s="95">
        <v>4.220779220779221</v>
      </c>
      <c r="AA31" s="94">
        <v>4.5</v>
      </c>
      <c r="AB31" s="67"/>
      <c r="AC31" s="1" t="s">
        <v>24</v>
      </c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63"/>
    </row>
    <row r="32" spans="1:40" ht="15.95" customHeight="1" x14ac:dyDescent="0.2">
      <c r="A32" s="92" t="s">
        <v>30</v>
      </c>
      <c r="B32" s="91" t="s">
        <v>20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90">
        <v>0.14000000000000001</v>
      </c>
      <c r="R32" s="90">
        <v>0.15</v>
      </c>
      <c r="S32" s="90">
        <v>0.15</v>
      </c>
      <c r="T32" s="89">
        <v>1.1000000000000001</v>
      </c>
      <c r="U32" s="89">
        <v>1.1000000000000001</v>
      </c>
      <c r="V32" s="89">
        <v>1.1000000000000001</v>
      </c>
      <c r="W32" s="89">
        <v>1.1000000000000001</v>
      </c>
      <c r="X32" s="89">
        <v>1.1000000000000001</v>
      </c>
      <c r="Y32" s="89">
        <v>1.1000000000000001</v>
      </c>
      <c r="Z32" s="89">
        <v>1.1000000000000001</v>
      </c>
      <c r="AA32" s="88">
        <v>1.1000000000000001</v>
      </c>
      <c r="AB32" s="67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63"/>
    </row>
    <row r="33" spans="1:40" ht="15.95" customHeight="1" x14ac:dyDescent="0.2">
      <c r="A33" s="92" t="s">
        <v>29</v>
      </c>
      <c r="B33" s="91" t="s">
        <v>20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90">
        <v>0.05</v>
      </c>
      <c r="R33" s="90">
        <v>0.05</v>
      </c>
      <c r="S33" s="90">
        <v>0.04</v>
      </c>
      <c r="T33" s="89">
        <v>0.96250000000000002</v>
      </c>
      <c r="U33" s="89">
        <v>0.82499999999999996</v>
      </c>
      <c r="V33" s="89">
        <v>0.6875</v>
      </c>
      <c r="W33" s="89">
        <v>0.55000000000000004</v>
      </c>
      <c r="X33" s="89">
        <v>0.41249999999999998</v>
      </c>
      <c r="Y33" s="89">
        <v>0.27500000000000002</v>
      </c>
      <c r="Z33" s="89">
        <v>0.13750000000000001</v>
      </c>
      <c r="AA33" s="88">
        <v>0.05</v>
      </c>
      <c r="AB33" s="6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63"/>
    </row>
    <row r="34" spans="1:40" ht="15.95" customHeight="1" x14ac:dyDescent="0.2">
      <c r="A34" s="92" t="s">
        <v>28</v>
      </c>
      <c r="B34" s="91" t="s">
        <v>20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90">
        <v>0.36</v>
      </c>
      <c r="R34" s="90">
        <v>0.44</v>
      </c>
      <c r="S34" s="90">
        <v>0.39</v>
      </c>
      <c r="T34" s="89">
        <v>0.6</v>
      </c>
      <c r="U34" s="89">
        <v>0.6</v>
      </c>
      <c r="V34" s="89">
        <v>0.6</v>
      </c>
      <c r="W34" s="89">
        <v>0.6</v>
      </c>
      <c r="X34" s="89">
        <v>0.6</v>
      </c>
      <c r="Y34" s="89">
        <v>0.6</v>
      </c>
      <c r="Z34" s="89">
        <v>0.6</v>
      </c>
      <c r="AA34" s="88">
        <v>0.6</v>
      </c>
      <c r="AB34" s="6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63"/>
    </row>
    <row r="35" spans="1:40" ht="15.95" customHeight="1" thickBot="1" x14ac:dyDescent="0.25">
      <c r="A35" s="73" t="s">
        <v>27</v>
      </c>
      <c r="B35" s="86" t="s">
        <v>20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85">
        <v>0</v>
      </c>
      <c r="R35" s="85">
        <v>0</v>
      </c>
      <c r="S35" s="85">
        <v>0.01</v>
      </c>
      <c r="T35" s="84">
        <v>0.15000000000000002</v>
      </c>
      <c r="U35" s="84">
        <v>2.4714285714285715</v>
      </c>
      <c r="V35" s="84">
        <v>4.7928571428571436</v>
      </c>
      <c r="W35" s="84">
        <v>7.1142857142857148</v>
      </c>
      <c r="X35" s="84">
        <v>9.4357142857142868</v>
      </c>
      <c r="Y35" s="84">
        <v>11.757142857142858</v>
      </c>
      <c r="Z35" s="84">
        <v>14.078571428571429</v>
      </c>
      <c r="AA35" s="83">
        <v>16.399999999999999</v>
      </c>
      <c r="AB35" s="67"/>
      <c r="AC35" s="1" t="s">
        <v>23</v>
      </c>
      <c r="AD35" s="67"/>
      <c r="AE35" s="67"/>
      <c r="AF35" s="67"/>
      <c r="AG35" s="67"/>
      <c r="AH35" s="67"/>
      <c r="AI35" s="67"/>
      <c r="AJ35" s="67"/>
      <c r="AK35" s="67"/>
      <c r="AL35" s="67"/>
      <c r="AM35" s="67"/>
    </row>
    <row r="36" spans="1:40" ht="15.95" customHeight="1" thickTop="1" x14ac:dyDescent="0.2">
      <c r="A36" s="82" t="s">
        <v>13</v>
      </c>
      <c r="B36" s="81" t="s">
        <v>20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79">
        <v>10.68</v>
      </c>
      <c r="R36" s="79">
        <v>11.200000000000001</v>
      </c>
      <c r="S36" s="79">
        <v>13.1</v>
      </c>
      <c r="T36" s="79">
        <v>21.731816093106413</v>
      </c>
      <c r="U36" s="79">
        <v>33.192985222662642</v>
      </c>
      <c r="V36" s="79">
        <v>44.260821018885537</v>
      </c>
      <c r="W36" s="79">
        <v>55.328656815108431</v>
      </c>
      <c r="X36" s="79">
        <v>66.396492611331325</v>
      </c>
      <c r="Y36" s="79">
        <v>77.46432840755422</v>
      </c>
      <c r="Z36" s="79">
        <v>88.532164203777114</v>
      </c>
      <c r="AA36" s="78">
        <v>99.65</v>
      </c>
    </row>
    <row r="37" spans="1:40" ht="17.25" customHeight="1" x14ac:dyDescent="0.2">
      <c r="A37" s="77" t="s">
        <v>22</v>
      </c>
      <c r="B37" s="37" t="s">
        <v>20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5">
        <v>1.57</v>
      </c>
      <c r="R37" s="75">
        <v>1.81</v>
      </c>
      <c r="S37" s="75">
        <v>2.04</v>
      </c>
      <c r="T37" s="75">
        <v>4.6079545454545459</v>
      </c>
      <c r="U37" s="75">
        <v>4.7496753246753247</v>
      </c>
      <c r="V37" s="75">
        <v>4.8913961038961045</v>
      </c>
      <c r="W37" s="75">
        <v>5.0331168831168833</v>
      </c>
      <c r="X37" s="75">
        <v>5.1748376623376622</v>
      </c>
      <c r="Y37" s="75">
        <v>5.3165584415584419</v>
      </c>
      <c r="Z37" s="75">
        <v>5.4582792207792208</v>
      </c>
      <c r="AA37" s="74">
        <v>5.6499999999999995</v>
      </c>
    </row>
    <row r="38" spans="1:40" s="67" customFormat="1" ht="17.25" customHeight="1" thickBot="1" x14ac:dyDescent="0.25">
      <c r="A38" s="73" t="s">
        <v>21</v>
      </c>
      <c r="B38" s="33" t="s">
        <v>20</v>
      </c>
      <c r="C38" s="72"/>
      <c r="D38" s="72"/>
      <c r="E38" s="72"/>
      <c r="F38" s="72"/>
      <c r="G38" s="72"/>
      <c r="H38" s="71"/>
      <c r="I38" s="71"/>
      <c r="J38" s="71"/>
      <c r="K38" s="70"/>
      <c r="L38" s="70"/>
      <c r="M38" s="70"/>
      <c r="N38" s="71"/>
      <c r="O38" s="70"/>
      <c r="P38" s="70"/>
      <c r="Q38" s="69">
        <v>1.01</v>
      </c>
      <c r="R38" s="69">
        <v>0.97</v>
      </c>
      <c r="S38" s="69">
        <v>1.01</v>
      </c>
      <c r="T38" s="69">
        <v>2.0875000000000004</v>
      </c>
      <c r="U38" s="69">
        <v>2.717857142857143</v>
      </c>
      <c r="V38" s="69">
        <v>3.3482142857142856</v>
      </c>
      <c r="W38" s="69">
        <v>3.9785714285714286</v>
      </c>
      <c r="X38" s="69">
        <v>4.6089285714285717</v>
      </c>
      <c r="Y38" s="69">
        <v>5.2392857142857139</v>
      </c>
      <c r="Z38" s="69">
        <v>5.8696428571428569</v>
      </c>
      <c r="AA38" s="68">
        <v>6.5</v>
      </c>
    </row>
    <row r="39" spans="1:40" s="63" customFormat="1" ht="12" customHeight="1" thickTop="1" x14ac:dyDescent="0.2">
      <c r="A39" s="66"/>
      <c r="B39" s="65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40" ht="12" hidden="1" customHeight="1" x14ac:dyDescent="0.2">
      <c r="A40" s="47" t="s">
        <v>19</v>
      </c>
      <c r="B40" s="25"/>
    </row>
    <row r="41" spans="1:40" ht="12" hidden="1" customHeight="1" x14ac:dyDescent="0.2">
      <c r="A41" s="47" t="s">
        <v>18</v>
      </c>
      <c r="B41" s="25"/>
    </row>
    <row r="42" spans="1:40" ht="12" hidden="1" customHeight="1" x14ac:dyDescent="0.2">
      <c r="A42" s="47" t="s">
        <v>17</v>
      </c>
      <c r="B42" s="25"/>
    </row>
    <row r="43" spans="1:40" ht="12" hidden="1" customHeight="1" x14ac:dyDescent="0.2">
      <c r="A43" s="47" t="s">
        <v>16</v>
      </c>
      <c r="B43" s="25"/>
    </row>
    <row r="45" spans="1:40" ht="15.95" customHeight="1" x14ac:dyDescent="0.2">
      <c r="A45" s="62" t="s">
        <v>40</v>
      </c>
      <c r="B45" s="61"/>
    </row>
    <row r="46" spans="1:40" ht="15.95" customHeight="1" x14ac:dyDescent="0.2">
      <c r="A46" s="60"/>
      <c r="B46" s="59"/>
      <c r="C46" s="58">
        <v>0</v>
      </c>
      <c r="D46" s="58">
        <v>0</v>
      </c>
      <c r="E46" s="58">
        <v>0</v>
      </c>
      <c r="F46" s="58">
        <v>0</v>
      </c>
      <c r="G46" s="58">
        <v>0</v>
      </c>
      <c r="H46" s="58">
        <v>2000</v>
      </c>
      <c r="I46" s="58">
        <v>2001</v>
      </c>
      <c r="J46" s="58">
        <v>2002</v>
      </c>
      <c r="K46" s="58">
        <v>2003</v>
      </c>
      <c r="L46" s="58">
        <v>2004</v>
      </c>
      <c r="M46" s="58">
        <v>2005</v>
      </c>
      <c r="N46" s="58">
        <v>2006</v>
      </c>
      <c r="O46" s="58">
        <v>2007</v>
      </c>
      <c r="P46" s="58"/>
      <c r="Q46" s="58">
        <v>2010</v>
      </c>
      <c r="R46" s="58"/>
      <c r="S46" s="58"/>
      <c r="T46" s="58">
        <v>2015</v>
      </c>
      <c r="U46" s="58">
        <v>2020</v>
      </c>
      <c r="V46" s="58">
        <v>2025</v>
      </c>
      <c r="W46" s="58">
        <v>2030</v>
      </c>
      <c r="X46" s="58">
        <v>2035</v>
      </c>
      <c r="Y46" s="58">
        <v>2040</v>
      </c>
      <c r="Z46" s="58">
        <v>2045</v>
      </c>
      <c r="AA46" s="58">
        <v>2050</v>
      </c>
    </row>
    <row r="47" spans="1:40" ht="15.95" customHeight="1" x14ac:dyDescent="0.2">
      <c r="A47" s="54" t="s">
        <v>39</v>
      </c>
      <c r="B47" s="37" t="s">
        <v>15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/>
      <c r="Q47" s="57">
        <v>18.36</v>
      </c>
      <c r="R47" s="57"/>
      <c r="S47" s="57"/>
      <c r="T47" s="57">
        <v>18.36</v>
      </c>
      <c r="U47" s="57">
        <v>19.8</v>
      </c>
      <c r="V47" s="57">
        <v>19.8</v>
      </c>
      <c r="W47" s="57">
        <v>19.8</v>
      </c>
      <c r="X47" s="57">
        <v>19.8</v>
      </c>
      <c r="Y47" s="57">
        <v>19.8</v>
      </c>
      <c r="Z47" s="57">
        <v>19.8</v>
      </c>
      <c r="AA47" s="57">
        <v>19.8</v>
      </c>
    </row>
    <row r="48" spans="1:40" ht="15.95" customHeight="1" x14ac:dyDescent="0.2">
      <c r="A48" s="54" t="s">
        <v>38</v>
      </c>
      <c r="B48" s="37" t="s">
        <v>15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/>
      <c r="Q48" s="53">
        <v>1.9440000000000002</v>
      </c>
      <c r="R48" s="53"/>
      <c r="S48" s="53"/>
      <c r="T48" s="53">
        <v>3.9533684928909953</v>
      </c>
      <c r="U48" s="53">
        <v>6.1637684928909957</v>
      </c>
      <c r="V48" s="53">
        <v>8.3741684928909947</v>
      </c>
      <c r="W48" s="53">
        <v>10.584568492890996</v>
      </c>
      <c r="X48" s="53">
        <v>12.794968492890996</v>
      </c>
      <c r="Y48" s="53">
        <v>15.005368492891</v>
      </c>
      <c r="Z48" s="53">
        <v>17.215768492890998</v>
      </c>
      <c r="AA48" s="53">
        <v>19.426168492890998</v>
      </c>
    </row>
    <row r="49" spans="1:27" ht="15.95" customHeight="1" x14ac:dyDescent="0.2">
      <c r="A49" s="56" t="s">
        <v>37</v>
      </c>
      <c r="B49" s="41" t="s">
        <v>15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/>
      <c r="Q49" s="55">
        <v>1.9440000000000002</v>
      </c>
      <c r="R49" s="55"/>
      <c r="S49" s="55"/>
      <c r="T49" s="55">
        <v>3.9533684928909953</v>
      </c>
      <c r="U49" s="55">
        <v>6.1637684928909957</v>
      </c>
      <c r="V49" s="55">
        <v>8.3741684928909947</v>
      </c>
      <c r="W49" s="55">
        <v>10.584568492890996</v>
      </c>
      <c r="X49" s="55">
        <v>12.794968492890996</v>
      </c>
      <c r="Y49" s="55">
        <v>15.005368492891</v>
      </c>
      <c r="Z49" s="55">
        <v>17.215768492890998</v>
      </c>
      <c r="AA49" s="55">
        <v>19.426168492890998</v>
      </c>
    </row>
    <row r="50" spans="1:27" ht="15.95" customHeight="1" x14ac:dyDescent="0.2">
      <c r="A50" s="56" t="s">
        <v>36</v>
      </c>
      <c r="B50" s="41" t="s">
        <v>15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/>
      <c r="Q50" s="55">
        <v>0</v>
      </c>
      <c r="R50" s="55"/>
      <c r="S50" s="55"/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</row>
    <row r="51" spans="1:27" ht="15.95" customHeight="1" x14ac:dyDescent="0.2">
      <c r="A51" s="54" t="s">
        <v>35</v>
      </c>
      <c r="B51" s="37" t="s">
        <v>15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/>
      <c r="Q51" s="53">
        <v>7.5600000000000005</v>
      </c>
      <c r="R51" s="53"/>
      <c r="S51" s="53"/>
      <c r="T51" s="53">
        <v>20.506901571546731</v>
      </c>
      <c r="U51" s="53">
        <v>26.68611304108078</v>
      </c>
      <c r="V51" s="53">
        <v>28.468577888061755</v>
      </c>
      <c r="W51" s="53">
        <v>30.251042735042731</v>
      </c>
      <c r="X51" s="53">
        <v>31.201690653432586</v>
      </c>
      <c r="Y51" s="53">
        <v>32.152338571822447</v>
      </c>
      <c r="Z51" s="53">
        <v>32.627662531017371</v>
      </c>
      <c r="AA51" s="53">
        <v>33.102986490212288</v>
      </c>
    </row>
    <row r="52" spans="1:27" ht="15.95" customHeight="1" x14ac:dyDescent="0.2">
      <c r="A52" s="54" t="s">
        <v>34</v>
      </c>
      <c r="B52" s="37" t="s">
        <v>15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/>
      <c r="Q52" s="53">
        <v>3.6360000000000001</v>
      </c>
      <c r="R52" s="53"/>
      <c r="S52" s="53"/>
      <c r="T52" s="53">
        <v>3.9600000000000004</v>
      </c>
      <c r="U52" s="53">
        <v>5.4</v>
      </c>
      <c r="V52" s="53">
        <v>5.7</v>
      </c>
      <c r="W52" s="53">
        <v>6</v>
      </c>
      <c r="X52" s="53">
        <v>6.3</v>
      </c>
      <c r="Y52" s="53">
        <v>6.6</v>
      </c>
      <c r="Z52" s="53">
        <v>6.9</v>
      </c>
      <c r="AA52" s="53">
        <v>7.2</v>
      </c>
    </row>
    <row r="53" spans="1:27" ht="15.95" customHeight="1" x14ac:dyDescent="0.2">
      <c r="A53" s="54" t="s">
        <v>33</v>
      </c>
      <c r="B53" s="37" t="s">
        <v>15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/>
      <c r="Q53" s="53">
        <v>0</v>
      </c>
      <c r="R53" s="53"/>
      <c r="S53" s="53"/>
      <c r="T53" s="53">
        <v>3.6000000000000004E-2</v>
      </c>
      <c r="U53" s="53">
        <v>0.36000000000000004</v>
      </c>
      <c r="V53" s="53">
        <v>0.60000000000000009</v>
      </c>
      <c r="W53" s="53">
        <v>0.84000000000000008</v>
      </c>
      <c r="X53" s="53">
        <v>1.0800000000000003</v>
      </c>
      <c r="Y53" s="53">
        <v>1.32</v>
      </c>
      <c r="Z53" s="53">
        <v>1.56</v>
      </c>
      <c r="AA53" s="53">
        <v>1.8</v>
      </c>
    </row>
    <row r="54" spans="1:27" ht="15.95" customHeight="1" x14ac:dyDescent="0.2">
      <c r="A54" s="54" t="s">
        <v>32</v>
      </c>
      <c r="B54" s="37" t="s">
        <v>15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/>
      <c r="Q54" s="53">
        <v>0</v>
      </c>
      <c r="R54" s="53"/>
      <c r="S54" s="53"/>
      <c r="T54" s="53">
        <v>7.2000000000000008E-2</v>
      </c>
      <c r="U54" s="53">
        <v>7.2000000000000008E-2</v>
      </c>
      <c r="V54" s="53">
        <v>7.2000000000000008E-2</v>
      </c>
      <c r="W54" s="53">
        <v>7.2000000000000008E-2</v>
      </c>
      <c r="X54" s="53">
        <v>7.2000000000000008E-2</v>
      </c>
      <c r="Y54" s="53">
        <v>7.2000000000000008E-2</v>
      </c>
      <c r="Z54" s="53">
        <v>7.2000000000000008E-2</v>
      </c>
      <c r="AA54" s="53">
        <v>7.2000000000000008E-2</v>
      </c>
    </row>
    <row r="55" spans="1:27" ht="15.95" customHeight="1" x14ac:dyDescent="0.2">
      <c r="A55" s="54" t="s">
        <v>31</v>
      </c>
      <c r="B55" s="37" t="s">
        <v>15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/>
      <c r="Q55" s="53">
        <v>4.968</v>
      </c>
      <c r="R55" s="53"/>
      <c r="S55" s="53"/>
      <c r="T55" s="53">
        <v>7.2</v>
      </c>
      <c r="U55" s="53">
        <v>7.9200000000000008</v>
      </c>
      <c r="V55" s="53">
        <v>8.1</v>
      </c>
      <c r="W55" s="53">
        <v>8.2800000000000011</v>
      </c>
      <c r="X55" s="53">
        <v>8.4600000000000009</v>
      </c>
      <c r="Y55" s="53">
        <v>8.64</v>
      </c>
      <c r="Z55" s="53">
        <v>8.82</v>
      </c>
      <c r="AA55" s="53">
        <v>9</v>
      </c>
    </row>
    <row r="56" spans="1:27" ht="15.95" customHeight="1" x14ac:dyDescent="0.2">
      <c r="A56" s="54" t="s">
        <v>30</v>
      </c>
      <c r="B56" s="37" t="s">
        <v>15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/>
      <c r="Q56" s="53">
        <v>0.50400000000000011</v>
      </c>
      <c r="R56" s="53"/>
      <c r="S56" s="53"/>
      <c r="T56" s="53">
        <v>3.7475999999999998</v>
      </c>
      <c r="U56" s="53">
        <v>3.7475999999999998</v>
      </c>
      <c r="V56" s="53">
        <v>3.7475999999999998</v>
      </c>
      <c r="W56" s="53">
        <v>3.7475999999999998</v>
      </c>
      <c r="X56" s="53">
        <v>3.7475999999999998</v>
      </c>
      <c r="Y56" s="53">
        <v>3.7475999999999998</v>
      </c>
      <c r="Z56" s="53">
        <v>3.7475999999999998</v>
      </c>
      <c r="AA56" s="53">
        <v>3.7475999999999998</v>
      </c>
    </row>
    <row r="57" spans="1:27" ht="15.95" customHeight="1" x14ac:dyDescent="0.2">
      <c r="A57" s="54" t="s">
        <v>29</v>
      </c>
      <c r="B57" s="37" t="s">
        <v>15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/>
      <c r="Q57" s="53">
        <v>0.18000000000000002</v>
      </c>
      <c r="R57" s="53"/>
      <c r="S57" s="53"/>
      <c r="T57" s="53">
        <v>0.14400000000000002</v>
      </c>
      <c r="U57" s="53">
        <v>0.14400000000000002</v>
      </c>
      <c r="V57" s="53">
        <v>0.14400000000000002</v>
      </c>
      <c r="W57" s="53">
        <v>0.14400000000000002</v>
      </c>
      <c r="X57" s="53">
        <v>0.14400000000000002</v>
      </c>
      <c r="Y57" s="53">
        <v>0.14400000000000002</v>
      </c>
      <c r="Z57" s="53">
        <v>0.14400000000000002</v>
      </c>
      <c r="AA57" s="53">
        <v>0.14400000000000002</v>
      </c>
    </row>
    <row r="58" spans="1:27" ht="15.95" customHeight="1" x14ac:dyDescent="0.2">
      <c r="A58" s="54" t="s">
        <v>28</v>
      </c>
      <c r="B58" s="37" t="s">
        <v>15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/>
      <c r="Q58" s="53">
        <v>1.296</v>
      </c>
      <c r="R58" s="53"/>
      <c r="S58" s="53"/>
      <c r="T58" s="53">
        <v>1.4400000000000002</v>
      </c>
      <c r="U58" s="53">
        <v>1.4400000000000002</v>
      </c>
      <c r="V58" s="53">
        <v>1.4400000000000002</v>
      </c>
      <c r="W58" s="53">
        <v>1.4400000000000002</v>
      </c>
      <c r="X58" s="53">
        <v>1.4400000000000002</v>
      </c>
      <c r="Y58" s="53">
        <v>1.4400000000000002</v>
      </c>
      <c r="Z58" s="53">
        <v>1.4400000000000002</v>
      </c>
      <c r="AA58" s="53">
        <v>1.4400000000000002</v>
      </c>
    </row>
    <row r="59" spans="1:27" ht="15.95" customHeight="1" thickBot="1" x14ac:dyDescent="0.25">
      <c r="A59" s="52" t="s">
        <v>27</v>
      </c>
      <c r="B59" s="33" t="s">
        <v>15</v>
      </c>
      <c r="C59" s="51">
        <v>0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/>
      <c r="Q59" s="51">
        <v>0</v>
      </c>
      <c r="R59" s="51"/>
      <c r="S59" s="51"/>
      <c r="T59" s="51">
        <v>0.36000000000000004</v>
      </c>
      <c r="U59" s="51">
        <v>0.89052631578947372</v>
      </c>
      <c r="V59" s="51">
        <v>1.6421052631578947</v>
      </c>
      <c r="W59" s="51">
        <v>2.3936842105263159</v>
      </c>
      <c r="X59" s="51">
        <v>3.1452631578947363</v>
      </c>
      <c r="Y59" s="51">
        <v>3.8968421052631581</v>
      </c>
      <c r="Z59" s="51">
        <v>4.6484210526315781</v>
      </c>
      <c r="AA59" s="51">
        <v>5.4</v>
      </c>
    </row>
    <row r="60" spans="1:27" ht="15.95" customHeight="1" thickTop="1" x14ac:dyDescent="0.2">
      <c r="A60" s="50" t="s">
        <v>13</v>
      </c>
      <c r="B60" s="49" t="s">
        <v>15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/>
      <c r="Q60" s="48">
        <v>38.448</v>
      </c>
      <c r="R60" s="48"/>
      <c r="S60" s="48"/>
      <c r="T60" s="48">
        <v>59.779870064437731</v>
      </c>
      <c r="U60" s="48">
        <v>72.62400784976127</v>
      </c>
      <c r="V60" s="48">
        <v>78.088451644110648</v>
      </c>
      <c r="W60" s="48">
        <v>83.552895438460055</v>
      </c>
      <c r="X60" s="48">
        <v>88.185522304218324</v>
      </c>
      <c r="Y60" s="48">
        <v>92.818149169976607</v>
      </c>
      <c r="Z60" s="48">
        <v>96.975452076539966</v>
      </c>
      <c r="AA60" s="48">
        <v>101.13275498310331</v>
      </c>
    </row>
    <row r="63" spans="1:27" ht="15.95" customHeight="1" x14ac:dyDescent="0.2">
      <c r="A63" s="62" t="s">
        <v>26</v>
      </c>
      <c r="B63" s="61"/>
    </row>
    <row r="64" spans="1:27" ht="15.95" customHeight="1" x14ac:dyDescent="0.2">
      <c r="A64" s="60"/>
      <c r="B64" s="59"/>
      <c r="C64" s="58">
        <v>0</v>
      </c>
      <c r="D64" s="58">
        <v>0</v>
      </c>
      <c r="E64" s="58">
        <v>0</v>
      </c>
      <c r="F64" s="58">
        <v>0</v>
      </c>
      <c r="G64" s="58">
        <v>0</v>
      </c>
      <c r="H64" s="58">
        <v>2000</v>
      </c>
      <c r="I64" s="58">
        <v>2001</v>
      </c>
      <c r="J64" s="58">
        <v>2002</v>
      </c>
      <c r="K64" s="58">
        <v>2003</v>
      </c>
      <c r="L64" s="58">
        <v>2004</v>
      </c>
      <c r="M64" s="58">
        <v>2005</v>
      </c>
      <c r="N64" s="58">
        <v>2006</v>
      </c>
      <c r="O64" s="58">
        <v>2007</v>
      </c>
      <c r="P64" s="58"/>
      <c r="Q64" s="58">
        <v>2010</v>
      </c>
      <c r="R64" s="58"/>
      <c r="S64" s="58"/>
      <c r="T64" s="58">
        <v>2015</v>
      </c>
      <c r="U64" s="58">
        <v>2020</v>
      </c>
      <c r="V64" s="58">
        <v>2025</v>
      </c>
      <c r="W64" s="58">
        <v>2030</v>
      </c>
      <c r="X64" s="58">
        <v>2035</v>
      </c>
      <c r="Y64" s="58">
        <v>2040</v>
      </c>
      <c r="Z64" s="58">
        <v>2045</v>
      </c>
      <c r="AA64" s="58">
        <v>2050</v>
      </c>
    </row>
    <row r="65" spans="1:27" ht="15.95" customHeight="1" x14ac:dyDescent="0.2">
      <c r="A65" s="54" t="s">
        <v>39</v>
      </c>
      <c r="B65" s="37" t="s">
        <v>15</v>
      </c>
      <c r="C65" s="57">
        <v>0</v>
      </c>
      <c r="D65" s="57">
        <v>0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/>
      <c r="Q65" s="57">
        <v>18.36</v>
      </c>
      <c r="R65" s="57"/>
      <c r="S65" s="57"/>
      <c r="T65" s="57">
        <v>19.8</v>
      </c>
      <c r="U65" s="57">
        <v>19.8</v>
      </c>
      <c r="V65" s="57">
        <v>20.099999999999998</v>
      </c>
      <c r="W65" s="57">
        <v>20.400000000000002</v>
      </c>
      <c r="X65" s="57">
        <v>20.7</v>
      </c>
      <c r="Y65" s="57">
        <v>21</v>
      </c>
      <c r="Z65" s="57">
        <v>21.3</v>
      </c>
      <c r="AA65" s="57">
        <v>21.6</v>
      </c>
    </row>
    <row r="66" spans="1:27" ht="15.95" customHeight="1" x14ac:dyDescent="0.2">
      <c r="A66" s="54" t="s">
        <v>38</v>
      </c>
      <c r="B66" s="37" t="s">
        <v>15</v>
      </c>
      <c r="C66" s="53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/>
      <c r="Q66" s="53">
        <v>1.9440000000000002</v>
      </c>
      <c r="R66" s="53"/>
      <c r="S66" s="53"/>
      <c r="T66" s="53">
        <v>6.3</v>
      </c>
      <c r="U66" s="53">
        <v>22.885714285714286</v>
      </c>
      <c r="V66" s="53">
        <v>39.471428571428568</v>
      </c>
      <c r="W66" s="53">
        <v>56.057142857142857</v>
      </c>
      <c r="X66" s="53">
        <v>72.642857142857139</v>
      </c>
      <c r="Y66" s="53">
        <v>89.228571428571428</v>
      </c>
      <c r="Z66" s="53">
        <v>105.81428571428572</v>
      </c>
      <c r="AA66" s="53">
        <v>122.4</v>
      </c>
    </row>
    <row r="67" spans="1:27" ht="15.95" customHeight="1" x14ac:dyDescent="0.2">
      <c r="A67" s="56" t="s">
        <v>37</v>
      </c>
      <c r="B67" s="41" t="s">
        <v>15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/>
      <c r="Q67" s="55">
        <v>1.9440000000000002</v>
      </c>
      <c r="R67" s="55"/>
      <c r="S67" s="55"/>
      <c r="T67" s="55">
        <v>6.3</v>
      </c>
      <c r="U67" s="55">
        <v>22.885714285714286</v>
      </c>
      <c r="V67" s="55">
        <v>39.471428571428568</v>
      </c>
      <c r="W67" s="55">
        <v>56.057142857142857</v>
      </c>
      <c r="X67" s="55">
        <v>72.642857142857139</v>
      </c>
      <c r="Y67" s="55">
        <v>89.228571428571428</v>
      </c>
      <c r="Z67" s="55">
        <v>105.81428571428572</v>
      </c>
      <c r="AA67" s="55">
        <v>122.4</v>
      </c>
    </row>
    <row r="68" spans="1:27" ht="15.95" customHeight="1" x14ac:dyDescent="0.2">
      <c r="A68" s="56" t="s">
        <v>36</v>
      </c>
      <c r="B68" s="41" t="s">
        <v>15</v>
      </c>
      <c r="C68" s="55">
        <v>0</v>
      </c>
      <c r="D68" s="55">
        <v>0</v>
      </c>
      <c r="E68" s="55">
        <v>0</v>
      </c>
      <c r="F68" s="55">
        <v>0</v>
      </c>
      <c r="G68" s="55">
        <v>0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  <c r="P68" s="55"/>
      <c r="Q68" s="55">
        <v>0</v>
      </c>
      <c r="R68" s="55"/>
      <c r="S68" s="55"/>
      <c r="T68" s="55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5">
        <v>0</v>
      </c>
      <c r="AA68" s="55">
        <v>0</v>
      </c>
    </row>
    <row r="69" spans="1:27" ht="15.95" customHeight="1" x14ac:dyDescent="0.2">
      <c r="A69" s="54" t="s">
        <v>35</v>
      </c>
      <c r="B69" s="37" t="s">
        <v>15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/>
      <c r="Q69" s="53">
        <v>7.5600000000000005</v>
      </c>
      <c r="R69" s="53"/>
      <c r="S69" s="53"/>
      <c r="T69" s="53">
        <v>25.186901571546731</v>
      </c>
      <c r="U69" s="53">
        <v>35.98877277561148</v>
      </c>
      <c r="V69" s="53">
        <v>46.790643979676233</v>
      </c>
      <c r="W69" s="53">
        <v>57.592515183740993</v>
      </c>
      <c r="X69" s="53">
        <v>68.394386387805753</v>
      </c>
      <c r="Y69" s="53">
        <v>79.196257591870491</v>
      </c>
      <c r="Z69" s="53">
        <v>89.998128795935244</v>
      </c>
      <c r="AA69" s="53">
        <v>100.8</v>
      </c>
    </row>
    <row r="70" spans="1:27" ht="16.5" customHeight="1" x14ac:dyDescent="0.2">
      <c r="A70" s="54" t="s">
        <v>34</v>
      </c>
      <c r="B70" s="37" t="s">
        <v>15</v>
      </c>
      <c r="C70" s="53">
        <v>0</v>
      </c>
      <c r="D70" s="53">
        <v>0</v>
      </c>
      <c r="E70" s="53">
        <v>0</v>
      </c>
      <c r="F70" s="53">
        <v>0</v>
      </c>
      <c r="G70" s="53">
        <v>0</v>
      </c>
      <c r="H70" s="53">
        <v>0</v>
      </c>
      <c r="I70" s="53">
        <v>0</v>
      </c>
      <c r="J70" s="53">
        <v>0</v>
      </c>
      <c r="K70" s="53">
        <v>0</v>
      </c>
      <c r="L70" s="53">
        <v>0</v>
      </c>
      <c r="M70" s="53">
        <v>0</v>
      </c>
      <c r="N70" s="53">
        <v>0</v>
      </c>
      <c r="O70" s="53">
        <v>0</v>
      </c>
      <c r="P70" s="53"/>
      <c r="Q70" s="53">
        <v>3.6360000000000001</v>
      </c>
      <c r="R70" s="53"/>
      <c r="S70" s="53"/>
      <c r="T70" s="53">
        <v>5.0400000000000009</v>
      </c>
      <c r="U70" s="53">
        <v>6.6342857142857152</v>
      </c>
      <c r="V70" s="53">
        <v>8.2285714285714278</v>
      </c>
      <c r="W70" s="53">
        <v>9.8228571428571438</v>
      </c>
      <c r="X70" s="53">
        <v>11.417142857142858</v>
      </c>
      <c r="Y70" s="53">
        <v>13.011428571428571</v>
      </c>
      <c r="Z70" s="53">
        <v>14.605714285714285</v>
      </c>
      <c r="AA70" s="53">
        <v>16.2</v>
      </c>
    </row>
    <row r="71" spans="1:27" ht="15.95" customHeight="1" x14ac:dyDescent="0.2">
      <c r="A71" s="54" t="s">
        <v>33</v>
      </c>
      <c r="B71" s="37" t="s">
        <v>15</v>
      </c>
      <c r="C71" s="53">
        <v>0</v>
      </c>
      <c r="D71" s="53">
        <v>0</v>
      </c>
      <c r="E71" s="53">
        <v>0</v>
      </c>
      <c r="F71" s="53">
        <v>0</v>
      </c>
      <c r="G71" s="53">
        <v>0</v>
      </c>
      <c r="H71" s="53">
        <v>0</v>
      </c>
      <c r="I71" s="53">
        <v>0</v>
      </c>
      <c r="J71" s="53">
        <v>0</v>
      </c>
      <c r="K71" s="53">
        <v>0</v>
      </c>
      <c r="L71" s="53">
        <v>0</v>
      </c>
      <c r="M71" s="53">
        <v>0</v>
      </c>
      <c r="N71" s="53">
        <v>0</v>
      </c>
      <c r="O71" s="53">
        <v>0</v>
      </c>
      <c r="P71" s="53"/>
      <c r="Q71" s="53">
        <v>0</v>
      </c>
      <c r="R71" s="53"/>
      <c r="S71" s="53"/>
      <c r="T71" s="53">
        <v>2.4750000000000001</v>
      </c>
      <c r="U71" s="53">
        <v>3.15</v>
      </c>
      <c r="V71" s="53">
        <v>3.8250000000000002</v>
      </c>
      <c r="W71" s="53">
        <v>4.5</v>
      </c>
      <c r="X71" s="53">
        <v>5.1749999999999998</v>
      </c>
      <c r="Y71" s="53">
        <v>5.8500000000000005</v>
      </c>
      <c r="Z71" s="53">
        <v>6.5250000000000004</v>
      </c>
      <c r="AA71" s="53">
        <v>7.2</v>
      </c>
    </row>
    <row r="72" spans="1:27" ht="15.95" customHeight="1" x14ac:dyDescent="0.2">
      <c r="A72" s="54" t="s">
        <v>32</v>
      </c>
      <c r="B72" s="37" t="s">
        <v>15</v>
      </c>
      <c r="C72" s="53">
        <v>0</v>
      </c>
      <c r="D72" s="53">
        <v>0</v>
      </c>
      <c r="E72" s="53">
        <v>0</v>
      </c>
      <c r="F72" s="53">
        <v>0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/>
      <c r="Q72" s="53">
        <v>0</v>
      </c>
      <c r="R72" s="53"/>
      <c r="S72" s="53"/>
      <c r="T72" s="53">
        <v>0.14400000000000002</v>
      </c>
      <c r="U72" s="53">
        <v>2.8800000000000003</v>
      </c>
      <c r="V72" s="53">
        <v>3.9000000000000008</v>
      </c>
      <c r="W72" s="53">
        <v>4.92</v>
      </c>
      <c r="X72" s="53">
        <v>5.9399999999999995</v>
      </c>
      <c r="Y72" s="53">
        <v>6.96</v>
      </c>
      <c r="Z72" s="53">
        <v>7.98</v>
      </c>
      <c r="AA72" s="53">
        <v>9</v>
      </c>
    </row>
    <row r="73" spans="1:27" ht="15.95" customHeight="1" x14ac:dyDescent="0.2">
      <c r="A73" s="54" t="s">
        <v>31</v>
      </c>
      <c r="B73" s="37" t="s">
        <v>15</v>
      </c>
      <c r="C73" s="53">
        <v>0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0</v>
      </c>
      <c r="J73" s="53">
        <v>0</v>
      </c>
      <c r="K73" s="53">
        <v>0</v>
      </c>
      <c r="L73" s="53">
        <v>0</v>
      </c>
      <c r="M73" s="53">
        <v>0</v>
      </c>
      <c r="N73" s="53">
        <v>0</v>
      </c>
      <c r="O73" s="53">
        <v>0</v>
      </c>
      <c r="P73" s="53"/>
      <c r="Q73" s="53">
        <v>4.968</v>
      </c>
      <c r="R73" s="53"/>
      <c r="S73" s="53"/>
      <c r="T73" s="53">
        <v>9.163636363636364</v>
      </c>
      <c r="U73" s="53">
        <v>10.168831168831169</v>
      </c>
      <c r="V73" s="53">
        <v>11.174025974025975</v>
      </c>
      <c r="W73" s="53">
        <v>12.179220779220779</v>
      </c>
      <c r="X73" s="53">
        <v>13.184415584415584</v>
      </c>
      <c r="Y73" s="53">
        <v>14.18961038961039</v>
      </c>
      <c r="Z73" s="53">
        <v>15.194805194805197</v>
      </c>
      <c r="AA73" s="53">
        <v>16.2</v>
      </c>
    </row>
    <row r="74" spans="1:27" ht="15.95" customHeight="1" x14ac:dyDescent="0.2">
      <c r="A74" s="54" t="s">
        <v>30</v>
      </c>
      <c r="B74" s="37" t="s">
        <v>15</v>
      </c>
      <c r="C74" s="53">
        <v>0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53">
        <v>0</v>
      </c>
      <c r="O74" s="53">
        <v>0</v>
      </c>
      <c r="P74" s="53"/>
      <c r="Q74" s="53">
        <v>0.50400000000000011</v>
      </c>
      <c r="R74" s="53"/>
      <c r="S74" s="53"/>
      <c r="T74" s="53">
        <v>3.9600000000000004</v>
      </c>
      <c r="U74" s="53">
        <v>3.9600000000000004</v>
      </c>
      <c r="V74" s="53">
        <v>3.9600000000000004</v>
      </c>
      <c r="W74" s="53">
        <v>3.9600000000000004</v>
      </c>
      <c r="X74" s="53">
        <v>3.9600000000000004</v>
      </c>
      <c r="Y74" s="53">
        <v>3.9600000000000004</v>
      </c>
      <c r="Z74" s="53">
        <v>3.9600000000000004</v>
      </c>
      <c r="AA74" s="53">
        <v>3.9600000000000004</v>
      </c>
    </row>
    <row r="75" spans="1:27" ht="15.95" customHeight="1" x14ac:dyDescent="0.2">
      <c r="A75" s="54" t="s">
        <v>29</v>
      </c>
      <c r="B75" s="37" t="s">
        <v>15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/>
      <c r="Q75" s="53">
        <v>0.18000000000000002</v>
      </c>
      <c r="R75" s="53"/>
      <c r="S75" s="53"/>
      <c r="T75" s="53">
        <v>3.4650000000000003</v>
      </c>
      <c r="U75" s="53">
        <v>2.9699999999999998</v>
      </c>
      <c r="V75" s="53">
        <v>2.4750000000000001</v>
      </c>
      <c r="W75" s="53">
        <v>1.9800000000000002</v>
      </c>
      <c r="X75" s="53">
        <v>1.4849999999999999</v>
      </c>
      <c r="Y75" s="53">
        <v>0.9900000000000001</v>
      </c>
      <c r="Z75" s="53">
        <v>0.49500000000000005</v>
      </c>
      <c r="AA75" s="53">
        <v>0.18000000000000002</v>
      </c>
    </row>
    <row r="76" spans="1:27" ht="15.95" customHeight="1" x14ac:dyDescent="0.2">
      <c r="A76" s="54" t="s">
        <v>28</v>
      </c>
      <c r="B76" s="37" t="s">
        <v>15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/>
      <c r="Q76" s="53">
        <v>1.296</v>
      </c>
      <c r="R76" s="53"/>
      <c r="S76" s="53"/>
      <c r="T76" s="53">
        <v>2.16</v>
      </c>
      <c r="U76" s="53">
        <v>2.16</v>
      </c>
      <c r="V76" s="53">
        <v>2.16</v>
      </c>
      <c r="W76" s="53">
        <v>2.16</v>
      </c>
      <c r="X76" s="53">
        <v>2.16</v>
      </c>
      <c r="Y76" s="53">
        <v>2.16</v>
      </c>
      <c r="Z76" s="53">
        <v>2.16</v>
      </c>
      <c r="AA76" s="53">
        <v>2.16</v>
      </c>
    </row>
    <row r="77" spans="1:27" ht="15.95" customHeight="1" thickBot="1" x14ac:dyDescent="0.25">
      <c r="A77" s="52" t="s">
        <v>27</v>
      </c>
      <c r="B77" s="33" t="s">
        <v>15</v>
      </c>
      <c r="C77" s="51">
        <v>0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/>
      <c r="Q77" s="51">
        <v>0</v>
      </c>
      <c r="R77" s="51"/>
      <c r="S77" s="51"/>
      <c r="T77" s="51">
        <v>0.54000000000000015</v>
      </c>
      <c r="U77" s="51">
        <v>8.8971428571428586</v>
      </c>
      <c r="V77" s="51">
        <v>17.254285714285718</v>
      </c>
      <c r="W77" s="51">
        <v>25.611428571428572</v>
      </c>
      <c r="X77" s="51">
        <v>33.968571428571437</v>
      </c>
      <c r="Y77" s="51">
        <v>42.325714285714291</v>
      </c>
      <c r="Z77" s="51">
        <v>50.682857142857145</v>
      </c>
      <c r="AA77" s="51">
        <v>59.04</v>
      </c>
    </row>
    <row r="78" spans="1:27" ht="15.95" customHeight="1" thickTop="1" x14ac:dyDescent="0.2">
      <c r="A78" s="50" t="s">
        <v>13</v>
      </c>
      <c r="B78" s="49" t="s">
        <v>15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/>
      <c r="Q78" s="48">
        <v>38.448</v>
      </c>
      <c r="R78" s="48"/>
      <c r="S78" s="48"/>
      <c r="T78" s="48">
        <v>78.234537935183099</v>
      </c>
      <c r="U78" s="48">
        <v>119.49474680158549</v>
      </c>
      <c r="V78" s="48">
        <v>159.33895566798793</v>
      </c>
      <c r="W78" s="48">
        <v>199.18316453439033</v>
      </c>
      <c r="X78" s="48">
        <v>239.02737340079281</v>
      </c>
      <c r="Y78" s="48">
        <v>278.87158226719521</v>
      </c>
      <c r="Z78" s="48">
        <v>318.71579113359758</v>
      </c>
      <c r="AA78" s="48">
        <v>358.74</v>
      </c>
    </row>
    <row r="80" spans="1:27" s="47" customFormat="1" ht="12" customHeight="1" x14ac:dyDescent="0.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 s="47" customFormat="1" ht="12" customHeight="1" x14ac:dyDescent="0.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3" spans="1:27" ht="12" customHeight="1" thickBot="1" x14ac:dyDescent="0.25"/>
    <row r="84" spans="1:27" ht="15.95" customHeight="1" x14ac:dyDescent="0.2">
      <c r="A84" s="46" t="s">
        <v>14</v>
      </c>
      <c r="B84" s="45"/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2000</v>
      </c>
      <c r="I84" s="44">
        <v>2001</v>
      </c>
      <c r="J84" s="44">
        <v>2002</v>
      </c>
      <c r="K84" s="44">
        <v>2003</v>
      </c>
      <c r="L84" s="44">
        <v>2004</v>
      </c>
      <c r="M84" s="44">
        <v>2005</v>
      </c>
      <c r="N84" s="44">
        <v>2006</v>
      </c>
      <c r="O84" s="44">
        <v>2007</v>
      </c>
      <c r="P84" s="44"/>
      <c r="Q84" s="44">
        <v>2010</v>
      </c>
      <c r="R84" s="44"/>
      <c r="S84" s="44"/>
      <c r="T84" s="44">
        <v>2015</v>
      </c>
      <c r="U84" s="44">
        <v>2020</v>
      </c>
      <c r="V84" s="44">
        <v>2025</v>
      </c>
      <c r="W84" s="44">
        <v>2030</v>
      </c>
      <c r="X84" s="44">
        <v>2035</v>
      </c>
      <c r="Y84" s="44">
        <v>2040</v>
      </c>
      <c r="Z84" s="44">
        <v>2045</v>
      </c>
      <c r="AA84" s="43">
        <v>2050</v>
      </c>
    </row>
    <row r="85" spans="1:27" ht="15.95" customHeight="1" x14ac:dyDescent="0.2">
      <c r="A85" s="38" t="s">
        <v>39</v>
      </c>
      <c r="B85" s="37"/>
      <c r="C85" s="36" t="s">
        <v>42</v>
      </c>
      <c r="D85" s="36" t="s">
        <v>42</v>
      </c>
      <c r="E85" s="36" t="s">
        <v>42</v>
      </c>
      <c r="F85" s="36" t="s">
        <v>42</v>
      </c>
      <c r="G85" s="36" t="s">
        <v>42</v>
      </c>
      <c r="H85" s="36" t="s">
        <v>42</v>
      </c>
      <c r="I85" s="36" t="s">
        <v>42</v>
      </c>
      <c r="J85" s="36" t="s">
        <v>42</v>
      </c>
      <c r="K85" s="36" t="s">
        <v>42</v>
      </c>
      <c r="L85" s="36" t="s">
        <v>42</v>
      </c>
      <c r="M85" s="36" t="s">
        <v>42</v>
      </c>
      <c r="N85" s="36" t="s">
        <v>42</v>
      </c>
      <c r="O85" s="36" t="s">
        <v>42</v>
      </c>
      <c r="P85" s="36"/>
      <c r="Q85" s="36" t="s">
        <v>42</v>
      </c>
      <c r="R85" s="36"/>
      <c r="S85" s="36"/>
      <c r="T85" s="36" t="s">
        <v>42</v>
      </c>
      <c r="U85" s="36" t="s">
        <v>42</v>
      </c>
      <c r="V85" s="36" t="s">
        <v>42</v>
      </c>
      <c r="W85" s="36" t="s">
        <v>42</v>
      </c>
      <c r="X85" s="36" t="s">
        <v>42</v>
      </c>
      <c r="Y85" s="36" t="s">
        <v>42</v>
      </c>
      <c r="Z85" s="36" t="s">
        <v>42</v>
      </c>
      <c r="AA85" s="35" t="s">
        <v>42</v>
      </c>
    </row>
    <row r="86" spans="1:27" ht="15.95" customHeight="1" x14ac:dyDescent="0.2">
      <c r="A86" s="38" t="s">
        <v>38</v>
      </c>
      <c r="B86" s="37"/>
      <c r="C86" s="36" t="s">
        <v>42</v>
      </c>
      <c r="D86" s="36" t="s">
        <v>42</v>
      </c>
      <c r="E86" s="36" t="s">
        <v>42</v>
      </c>
      <c r="F86" s="36" t="s">
        <v>42</v>
      </c>
      <c r="G86" s="36" t="s">
        <v>42</v>
      </c>
      <c r="H86" s="36" t="s">
        <v>42</v>
      </c>
      <c r="I86" s="36" t="s">
        <v>42</v>
      </c>
      <c r="J86" s="36" t="s">
        <v>42</v>
      </c>
      <c r="K86" s="36" t="s">
        <v>42</v>
      </c>
      <c r="L86" s="36" t="s">
        <v>42</v>
      </c>
      <c r="M86" s="36" t="s">
        <v>42</v>
      </c>
      <c r="N86" s="36" t="s">
        <v>42</v>
      </c>
      <c r="O86" s="36" t="s">
        <v>42</v>
      </c>
      <c r="P86" s="36"/>
      <c r="Q86" s="36" t="s">
        <v>42</v>
      </c>
      <c r="R86" s="36"/>
      <c r="S86" s="36"/>
      <c r="T86" s="36" t="s">
        <v>42</v>
      </c>
      <c r="U86" s="36" t="s">
        <v>42</v>
      </c>
      <c r="V86" s="36" t="s">
        <v>42</v>
      </c>
      <c r="W86" s="36" t="s">
        <v>42</v>
      </c>
      <c r="X86" s="36" t="s">
        <v>42</v>
      </c>
      <c r="Y86" s="36" t="s">
        <v>42</v>
      </c>
      <c r="Z86" s="36" t="s">
        <v>42</v>
      </c>
      <c r="AA86" s="35" t="s">
        <v>42</v>
      </c>
    </row>
    <row r="87" spans="1:27" ht="15.95" customHeight="1" x14ac:dyDescent="0.2">
      <c r="A87" s="42" t="s">
        <v>37</v>
      </c>
      <c r="B87" s="41"/>
      <c r="C87" s="40" t="s">
        <v>42</v>
      </c>
      <c r="D87" s="40" t="s">
        <v>42</v>
      </c>
      <c r="E87" s="40" t="s">
        <v>42</v>
      </c>
      <c r="F87" s="40" t="s">
        <v>42</v>
      </c>
      <c r="G87" s="40" t="s">
        <v>42</v>
      </c>
      <c r="H87" s="40" t="s">
        <v>42</v>
      </c>
      <c r="I87" s="40" t="s">
        <v>42</v>
      </c>
      <c r="J87" s="40" t="s">
        <v>42</v>
      </c>
      <c r="K87" s="40" t="s">
        <v>42</v>
      </c>
      <c r="L87" s="40" t="s">
        <v>42</v>
      </c>
      <c r="M87" s="40" t="s">
        <v>42</v>
      </c>
      <c r="N87" s="40" t="s">
        <v>42</v>
      </c>
      <c r="O87" s="40" t="s">
        <v>42</v>
      </c>
      <c r="P87" s="40"/>
      <c r="Q87" s="40" t="s">
        <v>42</v>
      </c>
      <c r="R87" s="40"/>
      <c r="S87" s="40"/>
      <c r="T87" s="40" t="s">
        <v>42</v>
      </c>
      <c r="U87" s="40" t="s">
        <v>42</v>
      </c>
      <c r="V87" s="40" t="s">
        <v>42</v>
      </c>
      <c r="W87" s="40" t="s">
        <v>42</v>
      </c>
      <c r="X87" s="40" t="s">
        <v>42</v>
      </c>
      <c r="Y87" s="40" t="s">
        <v>42</v>
      </c>
      <c r="Z87" s="40" t="s">
        <v>42</v>
      </c>
      <c r="AA87" s="39" t="s">
        <v>42</v>
      </c>
    </row>
    <row r="88" spans="1:27" ht="15.95" customHeight="1" x14ac:dyDescent="0.2">
      <c r="A88" s="42" t="s">
        <v>36</v>
      </c>
      <c r="B88" s="41"/>
      <c r="C88" s="40" t="s">
        <v>42</v>
      </c>
      <c r="D88" s="40" t="s">
        <v>42</v>
      </c>
      <c r="E88" s="40" t="s">
        <v>42</v>
      </c>
      <c r="F88" s="40" t="s">
        <v>42</v>
      </c>
      <c r="G88" s="40" t="s">
        <v>42</v>
      </c>
      <c r="H88" s="40" t="s">
        <v>42</v>
      </c>
      <c r="I88" s="40" t="s">
        <v>42</v>
      </c>
      <c r="J88" s="40" t="s">
        <v>42</v>
      </c>
      <c r="K88" s="40" t="s">
        <v>42</v>
      </c>
      <c r="L88" s="40" t="s">
        <v>42</v>
      </c>
      <c r="M88" s="40" t="s">
        <v>42</v>
      </c>
      <c r="N88" s="40" t="s">
        <v>42</v>
      </c>
      <c r="O88" s="40" t="s">
        <v>42</v>
      </c>
      <c r="P88" s="40"/>
      <c r="Q88" s="40" t="s">
        <v>42</v>
      </c>
      <c r="R88" s="40"/>
      <c r="S88" s="40"/>
      <c r="T88" s="40" t="s">
        <v>42</v>
      </c>
      <c r="U88" s="40" t="s">
        <v>42</v>
      </c>
      <c r="V88" s="40" t="s">
        <v>42</v>
      </c>
      <c r="W88" s="40" t="s">
        <v>42</v>
      </c>
      <c r="X88" s="40" t="s">
        <v>42</v>
      </c>
      <c r="Y88" s="40" t="s">
        <v>42</v>
      </c>
      <c r="Z88" s="40" t="s">
        <v>42</v>
      </c>
      <c r="AA88" s="39" t="s">
        <v>42</v>
      </c>
    </row>
    <row r="89" spans="1:27" ht="15.95" customHeight="1" x14ac:dyDescent="0.2">
      <c r="A89" s="38" t="s">
        <v>35</v>
      </c>
      <c r="B89" s="37"/>
      <c r="C89" s="36" t="s">
        <v>42</v>
      </c>
      <c r="D89" s="36" t="s">
        <v>42</v>
      </c>
      <c r="E89" s="36" t="s">
        <v>42</v>
      </c>
      <c r="F89" s="36" t="s">
        <v>42</v>
      </c>
      <c r="G89" s="36" t="s">
        <v>42</v>
      </c>
      <c r="H89" s="36" t="s">
        <v>42</v>
      </c>
      <c r="I89" s="36" t="s">
        <v>42</v>
      </c>
      <c r="J89" s="36" t="s">
        <v>42</v>
      </c>
      <c r="K89" s="36" t="s">
        <v>42</v>
      </c>
      <c r="L89" s="36" t="s">
        <v>42</v>
      </c>
      <c r="M89" s="36" t="s">
        <v>42</v>
      </c>
      <c r="N89" s="36" t="s">
        <v>42</v>
      </c>
      <c r="O89" s="36" t="s">
        <v>42</v>
      </c>
      <c r="P89" s="36"/>
      <c r="Q89" s="36" t="s">
        <v>42</v>
      </c>
      <c r="R89" s="36"/>
      <c r="S89" s="36"/>
      <c r="T89" s="36" t="s">
        <v>42</v>
      </c>
      <c r="U89" s="36" t="s">
        <v>42</v>
      </c>
      <c r="V89" s="36" t="s">
        <v>42</v>
      </c>
      <c r="W89" s="36" t="s">
        <v>42</v>
      </c>
      <c r="X89" s="36" t="s">
        <v>42</v>
      </c>
      <c r="Y89" s="36" t="s">
        <v>42</v>
      </c>
      <c r="Z89" s="36" t="s">
        <v>42</v>
      </c>
      <c r="AA89" s="35" t="s">
        <v>42</v>
      </c>
    </row>
    <row r="90" spans="1:27" ht="15.95" customHeight="1" x14ac:dyDescent="0.2">
      <c r="A90" s="38" t="s">
        <v>34</v>
      </c>
      <c r="B90" s="37"/>
      <c r="C90" s="36" t="s">
        <v>42</v>
      </c>
      <c r="D90" s="36" t="s">
        <v>42</v>
      </c>
      <c r="E90" s="36" t="s">
        <v>42</v>
      </c>
      <c r="F90" s="36" t="s">
        <v>42</v>
      </c>
      <c r="G90" s="36" t="s">
        <v>42</v>
      </c>
      <c r="H90" s="36" t="s">
        <v>42</v>
      </c>
      <c r="I90" s="36" t="s">
        <v>42</v>
      </c>
      <c r="J90" s="36" t="s">
        <v>42</v>
      </c>
      <c r="K90" s="36" t="s">
        <v>42</v>
      </c>
      <c r="L90" s="36" t="s">
        <v>42</v>
      </c>
      <c r="M90" s="36" t="s">
        <v>42</v>
      </c>
      <c r="N90" s="36" t="s">
        <v>42</v>
      </c>
      <c r="O90" s="36" t="s">
        <v>42</v>
      </c>
      <c r="P90" s="36"/>
      <c r="Q90" s="36" t="s">
        <v>42</v>
      </c>
      <c r="R90" s="36"/>
      <c r="S90" s="36"/>
      <c r="T90" s="36" t="s">
        <v>42</v>
      </c>
      <c r="U90" s="36" t="s">
        <v>42</v>
      </c>
      <c r="V90" s="36" t="s">
        <v>42</v>
      </c>
      <c r="W90" s="36" t="s">
        <v>42</v>
      </c>
      <c r="X90" s="36" t="s">
        <v>42</v>
      </c>
      <c r="Y90" s="36" t="s">
        <v>42</v>
      </c>
      <c r="Z90" s="36" t="s">
        <v>42</v>
      </c>
      <c r="AA90" s="35" t="s">
        <v>42</v>
      </c>
    </row>
    <row r="91" spans="1:27" ht="15.95" customHeight="1" x14ac:dyDescent="0.2">
      <c r="A91" s="38" t="s">
        <v>33</v>
      </c>
      <c r="B91" s="37"/>
      <c r="C91" s="36" t="s">
        <v>42</v>
      </c>
      <c r="D91" s="36" t="s">
        <v>42</v>
      </c>
      <c r="E91" s="36" t="s">
        <v>42</v>
      </c>
      <c r="F91" s="36" t="s">
        <v>42</v>
      </c>
      <c r="G91" s="36" t="s">
        <v>42</v>
      </c>
      <c r="H91" s="36" t="s">
        <v>42</v>
      </c>
      <c r="I91" s="36" t="s">
        <v>42</v>
      </c>
      <c r="J91" s="36" t="s">
        <v>42</v>
      </c>
      <c r="K91" s="36" t="s">
        <v>42</v>
      </c>
      <c r="L91" s="36" t="s">
        <v>42</v>
      </c>
      <c r="M91" s="36" t="s">
        <v>42</v>
      </c>
      <c r="N91" s="36" t="s">
        <v>42</v>
      </c>
      <c r="O91" s="36" t="s">
        <v>42</v>
      </c>
      <c r="P91" s="36"/>
      <c r="Q91" s="36" t="s">
        <v>42</v>
      </c>
      <c r="R91" s="36"/>
      <c r="S91" s="36"/>
      <c r="T91" s="36" t="s">
        <v>42</v>
      </c>
      <c r="U91" s="36" t="s">
        <v>42</v>
      </c>
      <c r="V91" s="36" t="s">
        <v>42</v>
      </c>
      <c r="W91" s="36" t="s">
        <v>42</v>
      </c>
      <c r="X91" s="36" t="s">
        <v>42</v>
      </c>
      <c r="Y91" s="36" t="s">
        <v>42</v>
      </c>
      <c r="Z91" s="36" t="s">
        <v>42</v>
      </c>
      <c r="AA91" s="35" t="s">
        <v>42</v>
      </c>
    </row>
    <row r="92" spans="1:27" ht="15.95" customHeight="1" x14ac:dyDescent="0.2">
      <c r="A92" s="38" t="s">
        <v>32</v>
      </c>
      <c r="B92" s="37"/>
      <c r="C92" s="36" t="s">
        <v>42</v>
      </c>
      <c r="D92" s="36" t="s">
        <v>42</v>
      </c>
      <c r="E92" s="36" t="s">
        <v>42</v>
      </c>
      <c r="F92" s="36" t="s">
        <v>42</v>
      </c>
      <c r="G92" s="36" t="s">
        <v>42</v>
      </c>
      <c r="H92" s="36" t="s">
        <v>42</v>
      </c>
      <c r="I92" s="36" t="s">
        <v>42</v>
      </c>
      <c r="J92" s="36" t="s">
        <v>42</v>
      </c>
      <c r="K92" s="36" t="s">
        <v>42</v>
      </c>
      <c r="L92" s="36" t="s">
        <v>42</v>
      </c>
      <c r="M92" s="36" t="s">
        <v>42</v>
      </c>
      <c r="N92" s="36" t="s">
        <v>42</v>
      </c>
      <c r="O92" s="36" t="s">
        <v>42</v>
      </c>
      <c r="P92" s="36"/>
      <c r="Q92" s="36" t="s">
        <v>42</v>
      </c>
      <c r="R92" s="36"/>
      <c r="S92" s="36"/>
      <c r="T92" s="36" t="s">
        <v>42</v>
      </c>
      <c r="U92" s="36" t="s">
        <v>42</v>
      </c>
      <c r="V92" s="36" t="s">
        <v>42</v>
      </c>
      <c r="W92" s="36" t="s">
        <v>42</v>
      </c>
      <c r="X92" s="36" t="s">
        <v>42</v>
      </c>
      <c r="Y92" s="36" t="s">
        <v>42</v>
      </c>
      <c r="Z92" s="36" t="s">
        <v>42</v>
      </c>
      <c r="AA92" s="35" t="s">
        <v>42</v>
      </c>
    </row>
    <row r="93" spans="1:27" ht="15.95" customHeight="1" x14ac:dyDescent="0.2">
      <c r="A93" s="38" t="s">
        <v>31</v>
      </c>
      <c r="B93" s="37"/>
      <c r="C93" s="36" t="s">
        <v>42</v>
      </c>
      <c r="D93" s="36" t="s">
        <v>42</v>
      </c>
      <c r="E93" s="36" t="s">
        <v>42</v>
      </c>
      <c r="F93" s="36" t="s">
        <v>42</v>
      </c>
      <c r="G93" s="36" t="s">
        <v>42</v>
      </c>
      <c r="H93" s="36" t="s">
        <v>42</v>
      </c>
      <c r="I93" s="36" t="s">
        <v>42</v>
      </c>
      <c r="J93" s="36" t="s">
        <v>42</v>
      </c>
      <c r="K93" s="36" t="s">
        <v>42</v>
      </c>
      <c r="L93" s="36" t="s">
        <v>42</v>
      </c>
      <c r="M93" s="36" t="s">
        <v>42</v>
      </c>
      <c r="N93" s="36" t="s">
        <v>42</v>
      </c>
      <c r="O93" s="36" t="s">
        <v>42</v>
      </c>
      <c r="P93" s="36"/>
      <c r="Q93" s="36" t="s">
        <v>42</v>
      </c>
      <c r="R93" s="36"/>
      <c r="S93" s="36"/>
      <c r="T93" s="36" t="s">
        <v>42</v>
      </c>
      <c r="U93" s="36" t="s">
        <v>42</v>
      </c>
      <c r="V93" s="36" t="s">
        <v>42</v>
      </c>
      <c r="W93" s="36" t="s">
        <v>42</v>
      </c>
      <c r="X93" s="36" t="s">
        <v>42</v>
      </c>
      <c r="Y93" s="36" t="s">
        <v>42</v>
      </c>
      <c r="Z93" s="36" t="s">
        <v>42</v>
      </c>
      <c r="AA93" s="35" t="s">
        <v>42</v>
      </c>
    </row>
    <row r="94" spans="1:27" ht="15.95" customHeight="1" x14ac:dyDescent="0.2">
      <c r="A94" s="38" t="s">
        <v>30</v>
      </c>
      <c r="B94" s="37"/>
      <c r="C94" s="36" t="s">
        <v>42</v>
      </c>
      <c r="D94" s="36" t="s">
        <v>42</v>
      </c>
      <c r="E94" s="36" t="s">
        <v>42</v>
      </c>
      <c r="F94" s="36" t="s">
        <v>42</v>
      </c>
      <c r="G94" s="36" t="s">
        <v>42</v>
      </c>
      <c r="H94" s="36" t="s">
        <v>42</v>
      </c>
      <c r="I94" s="36" t="s">
        <v>42</v>
      </c>
      <c r="J94" s="36" t="s">
        <v>42</v>
      </c>
      <c r="K94" s="36" t="s">
        <v>42</v>
      </c>
      <c r="L94" s="36" t="s">
        <v>42</v>
      </c>
      <c r="M94" s="36" t="s">
        <v>42</v>
      </c>
      <c r="N94" s="36" t="s">
        <v>42</v>
      </c>
      <c r="O94" s="36" t="s">
        <v>42</v>
      </c>
      <c r="P94" s="36"/>
      <c r="Q94" s="36" t="s">
        <v>42</v>
      </c>
      <c r="R94" s="36"/>
      <c r="S94" s="36"/>
      <c r="T94" s="36" t="s">
        <v>42</v>
      </c>
      <c r="U94" s="36" t="s">
        <v>42</v>
      </c>
      <c r="V94" s="36" t="s">
        <v>42</v>
      </c>
      <c r="W94" s="36" t="s">
        <v>42</v>
      </c>
      <c r="X94" s="36" t="s">
        <v>42</v>
      </c>
      <c r="Y94" s="36" t="s">
        <v>42</v>
      </c>
      <c r="Z94" s="36" t="s">
        <v>42</v>
      </c>
      <c r="AA94" s="35" t="s">
        <v>42</v>
      </c>
    </row>
    <row r="95" spans="1:27" ht="15.95" customHeight="1" x14ac:dyDescent="0.2">
      <c r="A95" s="38" t="s">
        <v>29</v>
      </c>
      <c r="B95" s="37"/>
      <c r="C95" s="36" t="s">
        <v>42</v>
      </c>
      <c r="D95" s="36" t="s">
        <v>42</v>
      </c>
      <c r="E95" s="36" t="s">
        <v>42</v>
      </c>
      <c r="F95" s="36" t="s">
        <v>42</v>
      </c>
      <c r="G95" s="36" t="s">
        <v>42</v>
      </c>
      <c r="H95" s="36" t="s">
        <v>42</v>
      </c>
      <c r="I95" s="36" t="s">
        <v>42</v>
      </c>
      <c r="J95" s="36" t="s">
        <v>42</v>
      </c>
      <c r="K95" s="36" t="s">
        <v>42</v>
      </c>
      <c r="L95" s="36" t="s">
        <v>42</v>
      </c>
      <c r="M95" s="36" t="s">
        <v>42</v>
      </c>
      <c r="N95" s="36" t="s">
        <v>42</v>
      </c>
      <c r="O95" s="36" t="s">
        <v>42</v>
      </c>
      <c r="P95" s="36"/>
      <c r="Q95" s="36" t="s">
        <v>42</v>
      </c>
      <c r="R95" s="36"/>
      <c r="S95" s="36"/>
      <c r="T95" s="36" t="s">
        <v>42</v>
      </c>
      <c r="U95" s="36" t="s">
        <v>42</v>
      </c>
      <c r="V95" s="36" t="s">
        <v>42</v>
      </c>
      <c r="W95" s="36" t="s">
        <v>42</v>
      </c>
      <c r="X95" s="36" t="s">
        <v>42</v>
      </c>
      <c r="Y95" s="36" t="s">
        <v>42</v>
      </c>
      <c r="Z95" s="36" t="s">
        <v>42</v>
      </c>
      <c r="AA95" s="35" t="s">
        <v>42</v>
      </c>
    </row>
    <row r="96" spans="1:27" ht="15.95" customHeight="1" x14ac:dyDescent="0.2">
      <c r="A96" s="38" t="s">
        <v>28</v>
      </c>
      <c r="B96" s="37"/>
      <c r="C96" s="36" t="s">
        <v>42</v>
      </c>
      <c r="D96" s="36" t="s">
        <v>42</v>
      </c>
      <c r="E96" s="36" t="s">
        <v>42</v>
      </c>
      <c r="F96" s="36" t="s">
        <v>42</v>
      </c>
      <c r="G96" s="36" t="s">
        <v>42</v>
      </c>
      <c r="H96" s="36" t="s">
        <v>42</v>
      </c>
      <c r="I96" s="36" t="s">
        <v>42</v>
      </c>
      <c r="J96" s="36" t="s">
        <v>42</v>
      </c>
      <c r="K96" s="36" t="s">
        <v>42</v>
      </c>
      <c r="L96" s="36" t="s">
        <v>42</v>
      </c>
      <c r="M96" s="36" t="s">
        <v>42</v>
      </c>
      <c r="N96" s="36" t="s">
        <v>42</v>
      </c>
      <c r="O96" s="36" t="s">
        <v>42</v>
      </c>
      <c r="P96" s="36"/>
      <c r="Q96" s="36" t="s">
        <v>42</v>
      </c>
      <c r="R96" s="36"/>
      <c r="S96" s="36"/>
      <c r="T96" s="36" t="s">
        <v>42</v>
      </c>
      <c r="U96" s="36" t="s">
        <v>42</v>
      </c>
      <c r="V96" s="36" t="s">
        <v>42</v>
      </c>
      <c r="W96" s="36" t="s">
        <v>42</v>
      </c>
      <c r="X96" s="36" t="s">
        <v>42</v>
      </c>
      <c r="Y96" s="36" t="s">
        <v>42</v>
      </c>
      <c r="Z96" s="36" t="s">
        <v>42</v>
      </c>
      <c r="AA96" s="35" t="s">
        <v>42</v>
      </c>
    </row>
    <row r="97" spans="1:27" ht="15.95" customHeight="1" thickBot="1" x14ac:dyDescent="0.25">
      <c r="A97" s="34" t="s">
        <v>27</v>
      </c>
      <c r="B97" s="33"/>
      <c r="C97" s="32" t="s">
        <v>42</v>
      </c>
      <c r="D97" s="32" t="s">
        <v>42</v>
      </c>
      <c r="E97" s="32" t="s">
        <v>42</v>
      </c>
      <c r="F97" s="32" t="s">
        <v>42</v>
      </c>
      <c r="G97" s="32" t="s">
        <v>42</v>
      </c>
      <c r="H97" s="32" t="s">
        <v>42</v>
      </c>
      <c r="I97" s="32" t="s">
        <v>42</v>
      </c>
      <c r="J97" s="32" t="s">
        <v>42</v>
      </c>
      <c r="K97" s="32" t="s">
        <v>42</v>
      </c>
      <c r="L97" s="32" t="s">
        <v>42</v>
      </c>
      <c r="M97" s="32" t="s">
        <v>42</v>
      </c>
      <c r="N97" s="32" t="s">
        <v>42</v>
      </c>
      <c r="O97" s="32" t="s">
        <v>42</v>
      </c>
      <c r="P97" s="32"/>
      <c r="Q97" s="32" t="s">
        <v>42</v>
      </c>
      <c r="R97" s="32"/>
      <c r="S97" s="32"/>
      <c r="T97" s="32" t="s">
        <v>42</v>
      </c>
      <c r="U97" s="32" t="s">
        <v>42</v>
      </c>
      <c r="V97" s="32" t="s">
        <v>42</v>
      </c>
      <c r="W97" s="32" t="s">
        <v>42</v>
      </c>
      <c r="X97" s="32" t="s">
        <v>42</v>
      </c>
      <c r="Y97" s="32" t="s">
        <v>42</v>
      </c>
      <c r="Z97" s="32" t="s">
        <v>42</v>
      </c>
      <c r="AA97" s="31" t="s">
        <v>42</v>
      </c>
    </row>
    <row r="98" spans="1:27" ht="15.95" customHeight="1" thickTop="1" thickBot="1" x14ac:dyDescent="0.25">
      <c r="A98" s="30" t="s">
        <v>13</v>
      </c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7"/>
    </row>
    <row r="102" spans="1:27" ht="18" customHeight="1" x14ac:dyDescent="0.2">
      <c r="A102" s="1" t="s">
        <v>12</v>
      </c>
    </row>
    <row r="103" spans="1:27" ht="18.75" customHeight="1" x14ac:dyDescent="0.2">
      <c r="A103" s="26" t="s">
        <v>11</v>
      </c>
      <c r="B103" s="25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7" ht="12" customHeight="1" x14ac:dyDescent="0.2">
      <c r="A104"/>
      <c r="B104" s="25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7" ht="17.25" customHeight="1" x14ac:dyDescent="0.2">
      <c r="A105" s="24"/>
      <c r="B105" s="14"/>
      <c r="H105" s="15">
        <v>2000</v>
      </c>
      <c r="I105" s="23"/>
      <c r="J105" s="23"/>
      <c r="K105" s="23"/>
      <c r="M105" s="15">
        <v>2005</v>
      </c>
      <c r="N105" s="15"/>
      <c r="O105" s="15"/>
      <c r="P105" s="15"/>
      <c r="Q105" s="15">
        <v>2010</v>
      </c>
      <c r="R105" s="15"/>
      <c r="S105" s="15"/>
      <c r="T105" s="15">
        <v>2015</v>
      </c>
      <c r="U105" s="15">
        <v>2020</v>
      </c>
      <c r="V105" s="15">
        <v>2025</v>
      </c>
      <c r="W105" s="15">
        <v>2030</v>
      </c>
    </row>
    <row r="106" spans="1:27" ht="17.25" customHeight="1" x14ac:dyDescent="0.2">
      <c r="A106" s="9" t="s">
        <v>10</v>
      </c>
      <c r="B106" s="8"/>
      <c r="H106" s="21">
        <v>6225.3379999999997</v>
      </c>
      <c r="I106" s="22"/>
      <c r="J106" s="22"/>
      <c r="K106" s="22"/>
      <c r="M106" s="21">
        <v>7488.4105907363928</v>
      </c>
      <c r="N106" s="21"/>
      <c r="O106" s="21"/>
      <c r="P106" s="21"/>
      <c r="Q106" s="21">
        <v>8299.5650509498391</v>
      </c>
      <c r="R106" s="21"/>
      <c r="S106" s="21"/>
      <c r="T106" s="21">
        <v>8299.5650509498391</v>
      </c>
      <c r="U106" s="21">
        <v>8299.5650509498391</v>
      </c>
      <c r="V106" s="21">
        <v>8299.5650509498391</v>
      </c>
      <c r="W106" s="21">
        <v>8299.5650509498391</v>
      </c>
    </row>
    <row r="107" spans="1:27" ht="17.25" customHeight="1" x14ac:dyDescent="0.2">
      <c r="A107" s="9" t="s">
        <v>9</v>
      </c>
      <c r="B107" s="8"/>
      <c r="H107" s="21">
        <v>0</v>
      </c>
      <c r="I107" s="22"/>
      <c r="J107" s="22"/>
      <c r="K107" s="22"/>
      <c r="M107" s="21">
        <v>341</v>
      </c>
      <c r="N107" s="21"/>
      <c r="O107" s="21"/>
      <c r="P107" s="21"/>
      <c r="Q107" s="21">
        <v>1303.5</v>
      </c>
      <c r="R107" s="21"/>
      <c r="S107" s="21"/>
      <c r="T107" s="21">
        <v>1303.5</v>
      </c>
      <c r="U107" s="21">
        <v>1303.5</v>
      </c>
      <c r="V107" s="21">
        <v>1303.5</v>
      </c>
      <c r="W107" s="21">
        <v>1303.5</v>
      </c>
    </row>
    <row r="108" spans="1:27" ht="17.25" customHeight="1" x14ac:dyDescent="0.2">
      <c r="A108" s="9" t="s">
        <v>8</v>
      </c>
      <c r="B108" s="8"/>
      <c r="H108" s="21">
        <v>57</v>
      </c>
      <c r="I108" s="22"/>
      <c r="J108" s="22"/>
      <c r="K108" s="22"/>
      <c r="M108" s="21">
        <v>114</v>
      </c>
      <c r="N108" s="21"/>
      <c r="O108" s="21"/>
      <c r="P108" s="21"/>
      <c r="Q108" s="21">
        <v>142.5</v>
      </c>
      <c r="R108" s="21"/>
      <c r="S108" s="21"/>
      <c r="T108" s="21">
        <v>199.5</v>
      </c>
      <c r="U108" s="21">
        <v>199.5</v>
      </c>
      <c r="V108" s="21">
        <v>199.5</v>
      </c>
      <c r="W108" s="21">
        <v>1140</v>
      </c>
    </row>
    <row r="109" spans="1:27" ht="17.25" customHeight="1" x14ac:dyDescent="0.2">
      <c r="A109" s="20" t="s">
        <v>7</v>
      </c>
      <c r="B109" s="19"/>
      <c r="C109" s="18"/>
      <c r="D109" s="18"/>
      <c r="H109" s="16">
        <v>945</v>
      </c>
      <c r="I109" s="17"/>
      <c r="J109" s="17"/>
      <c r="K109" s="17"/>
      <c r="M109" s="16">
        <v>2559.6</v>
      </c>
      <c r="N109" s="16"/>
      <c r="O109" s="16"/>
      <c r="P109" s="16"/>
      <c r="Q109" s="16">
        <v>2980.8</v>
      </c>
      <c r="R109" s="16"/>
      <c r="S109" s="16"/>
      <c r="T109" s="16">
        <v>2980.8</v>
      </c>
      <c r="U109" s="16">
        <v>2980.8</v>
      </c>
      <c r="V109" s="16">
        <v>2980.8</v>
      </c>
      <c r="W109" s="16">
        <v>2980.8</v>
      </c>
    </row>
    <row r="110" spans="1:27" ht="17.25" customHeight="1" x14ac:dyDescent="0.2">
      <c r="A110" s="15" t="s">
        <v>6</v>
      </c>
      <c r="B110" s="14"/>
      <c r="C110" s="13"/>
      <c r="D110" s="13"/>
      <c r="H110" s="11">
        <v>7227.3379999999997</v>
      </c>
      <c r="I110" s="12"/>
      <c r="J110" s="12"/>
      <c r="K110" s="12"/>
      <c r="M110" s="11">
        <v>10503.010590736392</v>
      </c>
      <c r="N110" s="11"/>
      <c r="O110" s="11"/>
      <c r="P110" s="11"/>
      <c r="Q110" s="11">
        <v>12726.36505094984</v>
      </c>
      <c r="R110" s="11"/>
      <c r="S110" s="11"/>
      <c r="T110" s="11">
        <v>12783.36505094984</v>
      </c>
      <c r="U110" s="11">
        <v>12783.36505094984</v>
      </c>
      <c r="V110" s="11">
        <v>12783.36505094984</v>
      </c>
      <c r="W110" s="11">
        <v>13723.86505094984</v>
      </c>
    </row>
    <row r="111" spans="1:27" ht="17.25" customHeight="1" x14ac:dyDescent="0.2">
      <c r="A111" s="9"/>
      <c r="B111" s="8"/>
      <c r="H111" s="9"/>
      <c r="I111" s="10"/>
      <c r="J111" s="10"/>
      <c r="K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7" ht="17.25" customHeight="1" x14ac:dyDescent="0.2">
      <c r="A112" s="9" t="s">
        <v>5</v>
      </c>
      <c r="B112" s="8"/>
      <c r="H112" s="5">
        <v>26.018416800000001</v>
      </c>
      <c r="I112" s="7"/>
      <c r="J112" s="7"/>
      <c r="K112" s="7"/>
      <c r="L112" s="6"/>
      <c r="M112" s="5">
        <v>37.810838126651014</v>
      </c>
      <c r="N112" s="5"/>
      <c r="O112" s="5"/>
      <c r="P112" s="5"/>
      <c r="Q112" s="5">
        <v>45.814914183419425</v>
      </c>
      <c r="R112" s="5"/>
      <c r="S112" s="5"/>
      <c r="T112" s="5">
        <v>46.02011418341943</v>
      </c>
      <c r="U112" s="5">
        <v>46.02011418341943</v>
      </c>
      <c r="V112" s="5">
        <v>46.02011418341943</v>
      </c>
      <c r="W112" s="5">
        <v>49.405914183419426</v>
      </c>
    </row>
    <row r="113" spans="1:23" ht="12" customHeight="1" x14ac:dyDescent="0.2">
      <c r="E113" s="1"/>
      <c r="F113" s="1"/>
      <c r="G113" s="1"/>
      <c r="L113" s="1"/>
    </row>
    <row r="114" spans="1:23" ht="12" customHeight="1" x14ac:dyDescent="0.2">
      <c r="E114" s="1"/>
      <c r="F114" s="1"/>
      <c r="G114" s="1"/>
      <c r="L114" s="1"/>
    </row>
    <row r="115" spans="1:23" ht="12" customHeight="1" x14ac:dyDescent="0.2">
      <c r="A115" s="2" t="s">
        <v>4</v>
      </c>
      <c r="H115" s="4">
        <v>0</v>
      </c>
      <c r="I115" s="4"/>
      <c r="J115" s="4"/>
      <c r="K115" s="4"/>
      <c r="L115" s="4">
        <v>0</v>
      </c>
      <c r="M115" s="4">
        <v>0</v>
      </c>
      <c r="N115" s="4"/>
      <c r="O115" s="4"/>
      <c r="P115" s="4"/>
      <c r="Q115" s="4">
        <v>2.44</v>
      </c>
      <c r="R115" s="4"/>
      <c r="S115" s="4"/>
      <c r="T115" s="4">
        <v>3.1500000000000004</v>
      </c>
      <c r="U115" s="4">
        <v>3.8400000000000003</v>
      </c>
      <c r="V115" s="4">
        <v>4.04</v>
      </c>
      <c r="W115" s="4">
        <v>4.24</v>
      </c>
    </row>
    <row r="116" spans="1:23" ht="12" customHeight="1" x14ac:dyDescent="0.2">
      <c r="A116" s="2" t="s">
        <v>3</v>
      </c>
      <c r="H116" s="4">
        <v>0</v>
      </c>
      <c r="I116" s="4"/>
      <c r="J116" s="4"/>
      <c r="K116" s="4"/>
      <c r="L116" s="4">
        <v>0</v>
      </c>
      <c r="M116" s="4">
        <v>0</v>
      </c>
      <c r="N116" s="4"/>
      <c r="O116" s="4"/>
      <c r="P116" s="4"/>
      <c r="Q116" s="4">
        <v>2.44</v>
      </c>
      <c r="R116" s="4"/>
      <c r="S116" s="4"/>
      <c r="T116" s="4">
        <v>5.5954545454545457</v>
      </c>
      <c r="U116" s="4">
        <v>6.3675324675324667</v>
      </c>
      <c r="V116" s="4">
        <v>7.1396103896103895</v>
      </c>
      <c r="W116" s="4">
        <v>7.9116883116883114</v>
      </c>
    </row>
    <row r="117" spans="1:23" ht="12" customHeight="1" x14ac:dyDescent="0.2">
      <c r="A117" s="2"/>
    </row>
    <row r="118" spans="1:23" ht="12" customHeight="1" x14ac:dyDescent="0.2">
      <c r="A118" s="2" t="s">
        <v>2</v>
      </c>
      <c r="H118" s="4">
        <v>7.2273379999999996</v>
      </c>
      <c r="I118" s="4"/>
      <c r="J118" s="4"/>
      <c r="K118" s="4"/>
      <c r="L118" s="4">
        <v>0</v>
      </c>
      <c r="M118" s="4">
        <v>10.503010590736393</v>
      </c>
      <c r="N118" s="4"/>
      <c r="O118" s="4"/>
      <c r="P118" s="4"/>
      <c r="Q118" s="4">
        <v>12.726365050949839</v>
      </c>
      <c r="R118" s="4"/>
      <c r="S118" s="4"/>
      <c r="T118" s="4">
        <v>12.78336505094984</v>
      </c>
      <c r="U118" s="4">
        <v>12.78336505094984</v>
      </c>
      <c r="V118" s="4">
        <v>12.78336505094984</v>
      </c>
      <c r="W118" s="4">
        <v>13.72386505094984</v>
      </c>
    </row>
    <row r="119" spans="1:23" ht="12" customHeight="1" x14ac:dyDescent="0.2">
      <c r="A119" s="2"/>
    </row>
    <row r="120" spans="1:23" ht="18" customHeight="1" x14ac:dyDescent="0.2">
      <c r="A120" s="2" t="s">
        <v>1</v>
      </c>
      <c r="H120" s="2">
        <v>0.94499999999999995</v>
      </c>
      <c r="L120" s="2">
        <v>0</v>
      </c>
      <c r="M120" s="2">
        <v>2.5596000000000001</v>
      </c>
      <c r="Q120" s="2">
        <v>2.9808000000000003</v>
      </c>
      <c r="T120" s="2">
        <v>2.9808000000000003</v>
      </c>
      <c r="U120" s="2">
        <v>2.9808000000000003</v>
      </c>
      <c r="V120" s="2">
        <v>2.9808000000000003</v>
      </c>
      <c r="W120" s="2">
        <v>2.9808000000000003</v>
      </c>
    </row>
    <row r="121" spans="1:23" ht="18" customHeight="1" x14ac:dyDescent="0.2">
      <c r="A121" s="2" t="s">
        <v>0</v>
      </c>
      <c r="H121" s="3">
        <v>3.4019999999999997</v>
      </c>
      <c r="I121" s="3"/>
      <c r="J121" s="3"/>
      <c r="K121" s="3"/>
      <c r="L121" s="3">
        <v>0</v>
      </c>
      <c r="M121" s="3">
        <v>9.2145600000000005</v>
      </c>
      <c r="N121" s="3"/>
      <c r="O121" s="3"/>
      <c r="P121" s="3"/>
      <c r="Q121" s="3">
        <v>10.730880000000001</v>
      </c>
      <c r="R121" s="3"/>
      <c r="S121" s="3"/>
      <c r="T121" s="3">
        <v>10.730880000000001</v>
      </c>
      <c r="U121" s="3">
        <v>10.730880000000001</v>
      </c>
      <c r="V121" s="3">
        <v>10.730880000000001</v>
      </c>
      <c r="W121" s="3">
        <v>10.730880000000001</v>
      </c>
    </row>
  </sheetData>
  <conditionalFormatting sqref="C85:AA98 C47:AA60 C65:AA78 C23:P35 C13:P16 U16:AA16 C4:AA12">
    <cfRule type="cellIs" dxfId="33" priority="30" stopIfTrue="1" operator="lessThan">
      <formula>0</formula>
    </cfRule>
  </conditionalFormatting>
  <conditionalFormatting sqref="Q26:AA26 T27:AA28 T31:AA31 Q24:S24 T35:AA35 T25:AA25">
    <cfRule type="cellIs" dxfId="32" priority="29" stopIfTrue="1" operator="lessThan">
      <formula>0</formula>
    </cfRule>
  </conditionalFormatting>
  <conditionalFormatting sqref="AC32:AM32">
    <cfRule type="cellIs" dxfId="31" priority="28" stopIfTrue="1" operator="lessThan">
      <formula>0</formula>
    </cfRule>
  </conditionalFormatting>
  <conditionalFormatting sqref="Q13:S13">
    <cfRule type="cellIs" dxfId="30" priority="27" stopIfTrue="1" operator="lessThan">
      <formula>0</formula>
    </cfRule>
  </conditionalFormatting>
  <conditionalFormatting sqref="Q14:S14">
    <cfRule type="cellIs" dxfId="29" priority="26" stopIfTrue="1" operator="lessThan">
      <formula>0</formula>
    </cfRule>
  </conditionalFormatting>
  <conditionalFormatting sqref="Q15:S15">
    <cfRule type="cellIs" dxfId="28" priority="25" stopIfTrue="1" operator="lessThan">
      <formula>0</formula>
    </cfRule>
  </conditionalFormatting>
  <conditionalFormatting sqref="Q16:S16">
    <cfRule type="cellIs" dxfId="27" priority="24" stopIfTrue="1" operator="lessThan">
      <formula>0</formula>
    </cfRule>
  </conditionalFormatting>
  <conditionalFormatting sqref="T13:AA13">
    <cfRule type="cellIs" dxfId="26" priority="23" stopIfTrue="1" operator="lessThan">
      <formula>0</formula>
    </cfRule>
  </conditionalFormatting>
  <conditionalFormatting sqref="T14:AA14">
    <cfRule type="cellIs" dxfId="25" priority="22" stopIfTrue="1" operator="lessThan">
      <formula>0</formula>
    </cfRule>
  </conditionalFormatting>
  <conditionalFormatting sqref="T15:AA15">
    <cfRule type="cellIs" dxfId="24" priority="21" stopIfTrue="1" operator="lessThan">
      <formula>0</formula>
    </cfRule>
  </conditionalFormatting>
  <conditionalFormatting sqref="Q23:AA23">
    <cfRule type="cellIs" dxfId="23" priority="20" stopIfTrue="1" operator="lessThan">
      <formula>0</formula>
    </cfRule>
  </conditionalFormatting>
  <conditionalFormatting sqref="Q29:AA29">
    <cfRule type="cellIs" dxfId="22" priority="19" stopIfTrue="1" operator="lessThan">
      <formula>0</formula>
    </cfRule>
  </conditionalFormatting>
  <conditionalFormatting sqref="Q30:AA30">
    <cfRule type="cellIs" dxfId="21" priority="18" stopIfTrue="1" operator="lessThan">
      <formula>0</formula>
    </cfRule>
  </conditionalFormatting>
  <conditionalFormatting sqref="Q32:AA32">
    <cfRule type="cellIs" dxfId="20" priority="17" stopIfTrue="1" operator="lessThan">
      <formula>0</formula>
    </cfRule>
  </conditionalFormatting>
  <conditionalFormatting sqref="Q33:AA33">
    <cfRule type="cellIs" dxfId="19" priority="16" stopIfTrue="1" operator="lessThan">
      <formula>0</formula>
    </cfRule>
  </conditionalFormatting>
  <conditionalFormatting sqref="Q34:AA34">
    <cfRule type="cellIs" dxfId="18" priority="15" stopIfTrue="1" operator="lessThan">
      <formula>0</formula>
    </cfRule>
  </conditionalFormatting>
  <conditionalFormatting sqref="Q25:S25">
    <cfRule type="cellIs" dxfId="17" priority="14" stopIfTrue="1" operator="lessThan">
      <formula>0</formula>
    </cfRule>
  </conditionalFormatting>
  <conditionalFormatting sqref="Q27:S27">
    <cfRule type="cellIs" dxfId="16" priority="13" stopIfTrue="1" operator="lessThan">
      <formula>0</formula>
    </cfRule>
  </conditionalFormatting>
  <conditionalFormatting sqref="Q28:S28">
    <cfRule type="cellIs" dxfId="15" priority="12" stopIfTrue="1" operator="lessThan">
      <formula>0</formula>
    </cfRule>
  </conditionalFormatting>
  <conditionalFormatting sqref="Q31:S31">
    <cfRule type="cellIs" dxfId="14" priority="11" stopIfTrue="1" operator="lessThan">
      <formula>0</formula>
    </cfRule>
  </conditionalFormatting>
  <conditionalFormatting sqref="Q35:S35">
    <cfRule type="cellIs" dxfId="13" priority="10" stopIfTrue="1" operator="lessThan">
      <formula>0</formula>
    </cfRule>
  </conditionalFormatting>
  <conditionalFormatting sqref="T16">
    <cfRule type="cellIs" dxfId="12" priority="9" stopIfTrue="1" operator="lessThan">
      <formula>0</formula>
    </cfRule>
  </conditionalFormatting>
  <conditionalFormatting sqref="T24">
    <cfRule type="cellIs" dxfId="11" priority="8" stopIfTrue="1" operator="lessThan">
      <formula>0</formula>
    </cfRule>
  </conditionalFormatting>
  <conditionalFormatting sqref="U24">
    <cfRule type="cellIs" dxfId="10" priority="7" stopIfTrue="1" operator="lessThan">
      <formula>0</formula>
    </cfRule>
  </conditionalFormatting>
  <conditionalFormatting sqref="V24">
    <cfRule type="cellIs" dxfId="9" priority="6" stopIfTrue="1" operator="lessThan">
      <formula>0</formula>
    </cfRule>
  </conditionalFormatting>
  <conditionalFormatting sqref="W24">
    <cfRule type="cellIs" dxfId="8" priority="5" stopIfTrue="1" operator="lessThan">
      <formula>0</formula>
    </cfRule>
  </conditionalFormatting>
  <conditionalFormatting sqref="X24">
    <cfRule type="cellIs" dxfId="7" priority="4" stopIfTrue="1" operator="lessThan">
      <formula>0</formula>
    </cfRule>
  </conditionalFormatting>
  <conditionalFormatting sqref="Y24">
    <cfRule type="cellIs" dxfId="6" priority="3" stopIfTrue="1" operator="lessThan">
      <formula>0</formula>
    </cfRule>
  </conditionalFormatting>
  <conditionalFormatting sqref="Z24">
    <cfRule type="cellIs" dxfId="5" priority="2" stopIfTrue="1" operator="lessThan">
      <formula>0</formula>
    </cfRule>
  </conditionalFormatting>
  <conditionalFormatting sqref="AA24">
    <cfRule type="cellIs" dxfId="4" priority="1" stopIfTrue="1" operator="lessThan">
      <formula>0</formula>
    </cfRule>
  </conditionalFormatting>
  <printOptions horizontalCentered="1"/>
  <pageMargins left="0.59055118110236227" right="0.59055118110236227" top="0.78740157480314965" bottom="0.9055118110236221" header="0.51181102362204722" footer="0.51181102362204722"/>
  <pageSetup paperSize="9" scale="42" orientation="landscape" r:id="rId1"/>
  <headerFooter alignWithMargins="0">
    <oddHeader>&amp;L&amp;Z&amp;F&amp;R&amp;A</oddHeader>
    <oddFooter>&amp;C&amp;P von &amp;N&amp;R&amp;D</oddFooter>
  </headerFooter>
  <rowBreaks count="1" manualBreakCount="1">
    <brk id="44" max="14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selection activeCell="C21" sqref="C21"/>
    </sheetView>
  </sheetViews>
  <sheetFormatPr defaultColWidth="11.42578125" defaultRowHeight="12.75" x14ac:dyDescent="0.2"/>
  <sheetData>
    <row r="2" spans="1:14" x14ac:dyDescent="0.2">
      <c r="A2" s="128" t="s">
        <v>49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4" spans="1:14" x14ac:dyDescent="0.2">
      <c r="A4" s="132" t="str">
        <f>'Reg_Strom BW'!A2</f>
        <v>MINIMALE STROMERZEUGUNG AUS ERNEUERBAREN ENERGIEQUELLEN Baden-Württemberg</v>
      </c>
      <c r="B4" s="132"/>
      <c r="C4" s="132"/>
      <c r="D4" s="132"/>
      <c r="E4" s="132"/>
      <c r="F4" s="132"/>
      <c r="G4" s="132"/>
      <c r="H4" s="132"/>
    </row>
    <row r="5" spans="1:14" x14ac:dyDescent="0.2">
      <c r="B5" s="127">
        <v>2007</v>
      </c>
      <c r="C5" s="26">
        <v>2010</v>
      </c>
      <c r="D5" s="26">
        <v>2015</v>
      </c>
      <c r="E5" s="26">
        <f>D5+5</f>
        <v>2020</v>
      </c>
      <c r="F5" s="26">
        <f t="shared" ref="F5:K5" si="0">E5+5</f>
        <v>2025</v>
      </c>
      <c r="G5" s="26">
        <f t="shared" si="0"/>
        <v>2030</v>
      </c>
      <c r="H5" s="26">
        <f t="shared" si="0"/>
        <v>2035</v>
      </c>
      <c r="I5" s="26">
        <f t="shared" si="0"/>
        <v>2040</v>
      </c>
      <c r="J5" s="26">
        <f t="shared" si="0"/>
        <v>2045</v>
      </c>
      <c r="K5" s="26">
        <f t="shared" si="0"/>
        <v>2050</v>
      </c>
    </row>
    <row r="6" spans="1:14" x14ac:dyDescent="0.2">
      <c r="A6" s="26" t="s">
        <v>43</v>
      </c>
      <c r="B6" s="126">
        <f>C6</f>
        <v>5.0999999999999996</v>
      </c>
      <c r="C6" s="125">
        <f>'Reg_Strom BW'!Q4</f>
        <v>5.0999999999999996</v>
      </c>
      <c r="D6" s="125">
        <f>'Reg_Strom BW'!T4</f>
        <v>5.0999999999999996</v>
      </c>
      <c r="E6" s="125">
        <f>'Reg_Strom BW'!U4</f>
        <v>5.5</v>
      </c>
      <c r="F6" s="125">
        <f>'Reg_Strom BW'!V4</f>
        <v>5.5</v>
      </c>
      <c r="G6" s="125">
        <f>'Reg_Strom BW'!W4</f>
        <v>5.5</v>
      </c>
      <c r="H6" s="125">
        <f>'Reg_Strom BW'!X4</f>
        <v>5.5</v>
      </c>
      <c r="I6" s="125">
        <f>'Reg_Strom BW'!Y4</f>
        <v>5.5</v>
      </c>
      <c r="J6" s="125">
        <f>'Reg_Strom BW'!Z4</f>
        <v>5.5</v>
      </c>
      <c r="K6" s="125">
        <f>'Reg_Strom BW'!AA4</f>
        <v>5.5</v>
      </c>
      <c r="N6" s="125"/>
    </row>
    <row r="7" spans="1:14" x14ac:dyDescent="0.2">
      <c r="A7" s="26" t="s">
        <v>45</v>
      </c>
      <c r="B7" s="126">
        <f>C7</f>
        <v>0.54</v>
      </c>
      <c r="C7" s="125">
        <f>'Reg_Strom BW'!Q5</f>
        <v>0.54</v>
      </c>
      <c r="D7" s="125">
        <f>'Reg_Strom BW'!T5</f>
        <v>1.0981579146919431</v>
      </c>
      <c r="E7" s="125">
        <f>'Reg_Strom BW'!U5</f>
        <v>1.7121579146919432</v>
      </c>
      <c r="F7" s="125">
        <f>'Reg_Strom BW'!V5</f>
        <v>2.3261579146919429</v>
      </c>
      <c r="G7" s="125">
        <f>'Reg_Strom BW'!W5</f>
        <v>2.9401579146919432</v>
      </c>
      <c r="H7" s="125">
        <f>'Reg_Strom BW'!X5</f>
        <v>3.5541579146919435</v>
      </c>
      <c r="I7" s="125">
        <f>'Reg_Strom BW'!Y5</f>
        <v>4.1681579146919443</v>
      </c>
      <c r="J7" s="125">
        <f>'Reg_Strom BW'!Z5</f>
        <v>4.7821579146919442</v>
      </c>
      <c r="K7" s="125">
        <f>'Reg_Strom BW'!AA5</f>
        <v>5.3961579146919441</v>
      </c>
      <c r="N7" s="125"/>
    </row>
    <row r="8" spans="1:14" x14ac:dyDescent="0.2">
      <c r="A8" s="26" t="s">
        <v>44</v>
      </c>
      <c r="B8" s="126">
        <f>C8</f>
        <v>2.1</v>
      </c>
      <c r="C8" s="125">
        <f>'Reg_Strom BW'!Q8</f>
        <v>2.1</v>
      </c>
      <c r="D8" s="125">
        <f>'Reg_Strom BW'!T8</f>
        <v>5.6963615476518692</v>
      </c>
      <c r="E8" s="125">
        <f>'Reg_Strom BW'!U8</f>
        <v>7.4128091780779943</v>
      </c>
      <c r="F8" s="125">
        <f>'Reg_Strom BW'!V8</f>
        <v>7.9079383022393763</v>
      </c>
      <c r="G8" s="125">
        <f>'Reg_Strom BW'!W8</f>
        <v>8.4030674264007583</v>
      </c>
      <c r="H8" s="125">
        <f>'Reg_Strom BW'!X8</f>
        <v>8.6671362926201621</v>
      </c>
      <c r="I8" s="125">
        <f>'Reg_Strom BW'!Y8</f>
        <v>8.9312051588395676</v>
      </c>
      <c r="J8" s="125">
        <f>'Reg_Strom BW'!Z8</f>
        <v>9.0632395919492694</v>
      </c>
      <c r="K8" s="125">
        <f>'Reg_Strom BW'!AA8</f>
        <v>9.1952740250589695</v>
      </c>
      <c r="N8" s="125"/>
    </row>
    <row r="9" spans="1:14" x14ac:dyDescent="0.2">
      <c r="A9" s="26" t="s">
        <v>46</v>
      </c>
      <c r="B9" s="126">
        <f>C9</f>
        <v>2.9399999999999995</v>
      </c>
      <c r="C9" s="125">
        <f>SUM('Reg_Strom BW'!Q9:Q15)</f>
        <v>2.9399999999999995</v>
      </c>
      <c r="D9" s="125">
        <f>SUM('Reg_Strom BW'!T9:T15)</f>
        <v>4.6109999999999998</v>
      </c>
      <c r="E9" s="125">
        <f>SUM('Reg_Strom BW'!U9:U15)</f>
        <v>5.301000000000001</v>
      </c>
      <c r="F9" s="125">
        <f>SUM('Reg_Strom BW'!V9:V15)</f>
        <v>5.5010000000000003</v>
      </c>
      <c r="G9" s="125">
        <f>SUM('Reg_Strom BW'!W9:W15)</f>
        <v>5.7010000000000014</v>
      </c>
      <c r="H9" s="125">
        <f>SUM('Reg_Strom BW'!X9:X15)</f>
        <v>5.9010000000000007</v>
      </c>
      <c r="I9" s="125">
        <f>SUM('Reg_Strom BW'!Y9:Y15)</f>
        <v>6.101</v>
      </c>
      <c r="J9" s="125">
        <f>SUM('Reg_Strom BW'!Z9:Z15)</f>
        <v>6.301000000000001</v>
      </c>
      <c r="K9" s="125">
        <f>SUM('Reg_Strom BW'!AA9:AA15)</f>
        <v>6.5010000000000003</v>
      </c>
      <c r="N9" s="125"/>
    </row>
    <row r="10" spans="1:14" x14ac:dyDescent="0.2">
      <c r="A10" s="26" t="s">
        <v>47</v>
      </c>
      <c r="B10" s="126">
        <f>C10</f>
        <v>0</v>
      </c>
      <c r="C10" s="125">
        <f>'Reg_Strom BW'!Q16</f>
        <v>0</v>
      </c>
      <c r="D10" s="125">
        <f>'Reg_Strom BW'!T16</f>
        <v>0.1</v>
      </c>
      <c r="E10" s="125">
        <f>'Reg_Strom BW'!U16</f>
        <v>0.24736842105263157</v>
      </c>
      <c r="F10" s="125">
        <f>'Reg_Strom BW'!V16</f>
        <v>0.45614035087719296</v>
      </c>
      <c r="G10" s="125">
        <f>'Reg_Strom BW'!W16</f>
        <v>0.66491228070175434</v>
      </c>
      <c r="H10" s="125">
        <f>'Reg_Strom BW'!X16</f>
        <v>0.87368421052631562</v>
      </c>
      <c r="I10" s="125">
        <f>'Reg_Strom BW'!Y16</f>
        <v>1.0824561403508772</v>
      </c>
      <c r="J10" s="125">
        <f>'Reg_Strom BW'!Z16</f>
        <v>1.2912280701754384</v>
      </c>
      <c r="K10" s="125">
        <f>'Reg_Strom BW'!AA16</f>
        <v>1.5</v>
      </c>
      <c r="N10" s="125"/>
    </row>
    <row r="13" spans="1:14" x14ac:dyDescent="0.2">
      <c r="A13" s="133" t="str">
        <f>'Reg_Strom BW'!A21</f>
        <v>MAXIMALE STROMERZEUGUNG AUS ERNEUERBAREN ENERGIEQUELLEN in Baden-Württemberg</v>
      </c>
      <c r="B13" s="133"/>
      <c r="C13" s="133"/>
      <c r="D13" s="133"/>
      <c r="E13" s="133"/>
      <c r="F13" s="133"/>
      <c r="G13" s="133"/>
      <c r="H13" s="133"/>
    </row>
    <row r="14" spans="1:14" x14ac:dyDescent="0.2">
      <c r="B14" s="127">
        <v>2007</v>
      </c>
      <c r="C14" s="26">
        <v>2010</v>
      </c>
      <c r="D14" s="26">
        <v>2015</v>
      </c>
      <c r="E14" s="26">
        <f>D14+5</f>
        <v>2020</v>
      </c>
      <c r="F14" s="26">
        <f t="shared" ref="F14:K14" si="1">E14+5</f>
        <v>2025</v>
      </c>
      <c r="G14" s="26">
        <f t="shared" si="1"/>
        <v>2030</v>
      </c>
      <c r="H14" s="26">
        <f t="shared" si="1"/>
        <v>2035</v>
      </c>
      <c r="I14" s="26">
        <f t="shared" si="1"/>
        <v>2040</v>
      </c>
      <c r="J14" s="26">
        <f t="shared" si="1"/>
        <v>2045</v>
      </c>
      <c r="K14" s="26">
        <f t="shared" si="1"/>
        <v>2050</v>
      </c>
    </row>
    <row r="15" spans="1:14" x14ac:dyDescent="0.2">
      <c r="A15" s="26" t="s">
        <v>43</v>
      </c>
      <c r="B15" s="126">
        <f>C15</f>
        <v>5.0999999999999996</v>
      </c>
      <c r="C15" s="125">
        <f>'Reg_Strom BW'!Q23</f>
        <v>5.0999999999999996</v>
      </c>
      <c r="D15" s="125">
        <f>'Reg_Strom BW'!T23</f>
        <v>5.5</v>
      </c>
      <c r="E15" s="125">
        <f>'Reg_Strom BW'!U23</f>
        <v>5.5</v>
      </c>
      <c r="F15" s="125">
        <f>'Reg_Strom BW'!V23</f>
        <v>5.583333333333333</v>
      </c>
      <c r="G15" s="125">
        <f>'Reg_Strom BW'!W23</f>
        <v>5.666666666666667</v>
      </c>
      <c r="H15" s="125">
        <f>'Reg_Strom BW'!X23</f>
        <v>5.75</v>
      </c>
      <c r="I15" s="125">
        <f>'Reg_Strom BW'!Y23</f>
        <v>5.833333333333333</v>
      </c>
      <c r="J15" s="125">
        <f>'Reg_Strom BW'!Z23</f>
        <v>5.916666666666667</v>
      </c>
      <c r="K15" s="125">
        <f>'Reg_Strom BW'!AA23</f>
        <v>6</v>
      </c>
      <c r="N15" s="125"/>
    </row>
    <row r="16" spans="1:14" x14ac:dyDescent="0.2">
      <c r="A16" s="26" t="s">
        <v>45</v>
      </c>
      <c r="B16" s="126">
        <f>C16</f>
        <v>0.54</v>
      </c>
      <c r="C16" s="125">
        <f>'Reg_Strom BW'!Q24</f>
        <v>0.54</v>
      </c>
      <c r="D16" s="125">
        <f>'Reg_Strom BW'!T24</f>
        <v>1.75</v>
      </c>
      <c r="E16" s="125">
        <f>'Reg_Strom BW'!U24</f>
        <v>6.3571428571428568</v>
      </c>
      <c r="F16" s="125">
        <f>'Reg_Strom BW'!V24</f>
        <v>10.964285714285714</v>
      </c>
      <c r="G16" s="125">
        <f>'Reg_Strom BW'!W24</f>
        <v>15.571428571428571</v>
      </c>
      <c r="H16" s="125">
        <f>'Reg_Strom BW'!X24</f>
        <v>20.178571428571427</v>
      </c>
      <c r="I16" s="125">
        <f>'Reg_Strom BW'!Y24</f>
        <v>24.785714285714285</v>
      </c>
      <c r="J16" s="125">
        <f>'Reg_Strom BW'!Z24</f>
        <v>29.392857142857142</v>
      </c>
      <c r="K16" s="125">
        <f>'Reg_Strom BW'!AA24</f>
        <v>34</v>
      </c>
      <c r="N16" s="125"/>
    </row>
    <row r="17" spans="1:14" x14ac:dyDescent="0.2">
      <c r="A17" s="26" t="s">
        <v>44</v>
      </c>
      <c r="B17" s="126">
        <f>C17</f>
        <v>2.1</v>
      </c>
      <c r="C17" s="125">
        <f>'Reg_Strom BW'!Q27</f>
        <v>2.1</v>
      </c>
      <c r="D17" s="125">
        <f>'Reg_Strom BW'!T27</f>
        <v>6.996361547651869</v>
      </c>
      <c r="E17" s="125">
        <f>'Reg_Strom BW'!U27</f>
        <v>9.9968813265587446</v>
      </c>
      <c r="F17" s="125">
        <f>'Reg_Strom BW'!V27</f>
        <v>12.99740110546562</v>
      </c>
      <c r="G17" s="125">
        <f>'Reg_Strom BW'!W27</f>
        <v>15.997920884372498</v>
      </c>
      <c r="H17" s="125">
        <f>'Reg_Strom BW'!X27</f>
        <v>18.998440663279375</v>
      </c>
      <c r="I17" s="125">
        <f>'Reg_Strom BW'!Y27</f>
        <v>21.998960442186249</v>
      </c>
      <c r="J17" s="125">
        <f>'Reg_Strom BW'!Z27</f>
        <v>24.999480221093123</v>
      </c>
      <c r="K17" s="125">
        <f>'Reg_Strom BW'!AA27</f>
        <v>28</v>
      </c>
      <c r="N17" s="125"/>
    </row>
    <row r="18" spans="1:14" x14ac:dyDescent="0.2">
      <c r="A18" s="26" t="s">
        <v>46</v>
      </c>
      <c r="B18" s="126">
        <f>C18</f>
        <v>2.9399999999999995</v>
      </c>
      <c r="C18" s="125">
        <f>SUM('Reg_Strom BW'!Q28:Q34)</f>
        <v>2.9399999999999995</v>
      </c>
      <c r="D18" s="125">
        <f>SUM('Reg_Strom BW'!T28:T34)</f>
        <v>7.3354545454545459</v>
      </c>
      <c r="E18" s="125">
        <f>SUM('Reg_Strom BW'!U28:U34)</f>
        <v>8.8675324675324667</v>
      </c>
      <c r="F18" s="125">
        <f>SUM('Reg_Strom BW'!V28:V34)</f>
        <v>9.9229437229437227</v>
      </c>
      <c r="G18" s="125">
        <f>SUM('Reg_Strom BW'!W28:W34)</f>
        <v>10.978354978354979</v>
      </c>
      <c r="H18" s="125">
        <f>SUM('Reg_Strom BW'!X28:X34)</f>
        <v>12.033766233766231</v>
      </c>
      <c r="I18" s="125">
        <f>SUM('Reg_Strom BW'!Y28:Y34)</f>
        <v>13.089177489177489</v>
      </c>
      <c r="J18" s="125">
        <f>SUM('Reg_Strom BW'!Z28:Z34)</f>
        <v>14.144588744588743</v>
      </c>
      <c r="K18" s="125">
        <f>SUM('Reg_Strom BW'!AA28:AA34)</f>
        <v>15.25</v>
      </c>
      <c r="N18" s="125"/>
    </row>
    <row r="19" spans="1:14" x14ac:dyDescent="0.2">
      <c r="A19" s="26" t="s">
        <v>47</v>
      </c>
      <c r="B19" s="126">
        <f>C19</f>
        <v>0</v>
      </c>
      <c r="C19" s="125">
        <f>'Reg_Strom BW'!Q35</f>
        <v>0</v>
      </c>
      <c r="D19" s="125">
        <f>'Reg_Strom BW'!T35</f>
        <v>0.15000000000000002</v>
      </c>
      <c r="E19" s="125">
        <f>'Reg_Strom BW'!U35</f>
        <v>2.4714285714285715</v>
      </c>
      <c r="F19" s="125">
        <f>'Reg_Strom BW'!V35</f>
        <v>4.7928571428571436</v>
      </c>
      <c r="G19" s="125">
        <f>'Reg_Strom BW'!W35</f>
        <v>7.1142857142857148</v>
      </c>
      <c r="H19" s="125">
        <f>'Reg_Strom BW'!X35</f>
        <v>9.4357142857142868</v>
      </c>
      <c r="I19" s="125">
        <f>'Reg_Strom BW'!Y35</f>
        <v>11.757142857142858</v>
      </c>
      <c r="J19" s="125">
        <f>'Reg_Strom BW'!Z35</f>
        <v>14.078571428571429</v>
      </c>
      <c r="K19" s="125">
        <f>'Reg_Strom BW'!AA35</f>
        <v>16.399999999999999</v>
      </c>
      <c r="N19" s="125"/>
    </row>
    <row r="23" spans="1:14" x14ac:dyDescent="0.2">
      <c r="A23" s="128" t="s">
        <v>48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</row>
    <row r="25" spans="1:14" x14ac:dyDescent="0.2">
      <c r="A25" s="132" t="str">
        <f>A4</f>
        <v>MINIMALE STROMERZEUGUNG AUS ERNEUERBAREN ENERGIEQUELLEN Baden-Württemberg</v>
      </c>
      <c r="B25" s="132"/>
      <c r="C25" s="132"/>
      <c r="D25" s="132"/>
      <c r="E25" s="132"/>
      <c r="F25" s="132"/>
      <c r="G25" s="132"/>
      <c r="H25" s="132"/>
    </row>
    <row r="26" spans="1:14" x14ac:dyDescent="0.2">
      <c r="B26" s="127">
        <f t="shared" ref="B26:K26" si="2">B5</f>
        <v>2007</v>
      </c>
      <c r="C26" s="26">
        <f t="shared" si="2"/>
        <v>2010</v>
      </c>
      <c r="D26" s="26">
        <f t="shared" si="2"/>
        <v>2015</v>
      </c>
      <c r="E26" s="26">
        <f t="shared" si="2"/>
        <v>2020</v>
      </c>
      <c r="F26" s="26">
        <f t="shared" si="2"/>
        <v>2025</v>
      </c>
      <c r="G26" s="26">
        <f t="shared" si="2"/>
        <v>2030</v>
      </c>
      <c r="H26" s="26">
        <f t="shared" si="2"/>
        <v>2035</v>
      </c>
      <c r="I26" s="26">
        <f t="shared" si="2"/>
        <v>2040</v>
      </c>
      <c r="J26" s="26">
        <f t="shared" si="2"/>
        <v>2045</v>
      </c>
      <c r="K26" s="26">
        <f t="shared" si="2"/>
        <v>2050</v>
      </c>
    </row>
    <row r="27" spans="1:14" x14ac:dyDescent="0.2">
      <c r="A27" s="26" t="str">
        <f>A6</f>
        <v>bHydro</v>
      </c>
      <c r="B27" s="126">
        <f t="shared" ref="B27:K27" si="3">B6/$C6</f>
        <v>1</v>
      </c>
      <c r="C27" s="125">
        <f t="shared" si="3"/>
        <v>1</v>
      </c>
      <c r="D27" s="125">
        <f t="shared" si="3"/>
        <v>1</v>
      </c>
      <c r="E27" s="125">
        <f t="shared" si="3"/>
        <v>1.0784313725490198</v>
      </c>
      <c r="F27" s="125">
        <f t="shared" si="3"/>
        <v>1.0784313725490198</v>
      </c>
      <c r="G27" s="125">
        <f t="shared" si="3"/>
        <v>1.0784313725490198</v>
      </c>
      <c r="H27" s="125">
        <f t="shared" si="3"/>
        <v>1.0784313725490198</v>
      </c>
      <c r="I27" s="125">
        <f t="shared" si="3"/>
        <v>1.0784313725490198</v>
      </c>
      <c r="J27" s="125">
        <f t="shared" si="3"/>
        <v>1.0784313725490198</v>
      </c>
      <c r="K27" s="125">
        <f t="shared" si="3"/>
        <v>1.0784313725490198</v>
      </c>
    </row>
    <row r="28" spans="1:14" x14ac:dyDescent="0.2">
      <c r="A28" s="26" t="str">
        <f>A7</f>
        <v>mWind</v>
      </c>
      <c r="B28" s="126">
        <f t="shared" ref="B28:K28" si="4">B7/$C7</f>
        <v>1</v>
      </c>
      <c r="C28" s="125">
        <f t="shared" si="4"/>
        <v>1</v>
      </c>
      <c r="D28" s="125">
        <f t="shared" si="4"/>
        <v>2.0336257679480427</v>
      </c>
      <c r="E28" s="125">
        <f t="shared" si="4"/>
        <v>3.17066280498508</v>
      </c>
      <c r="F28" s="125">
        <f t="shared" si="4"/>
        <v>4.3076998420221164</v>
      </c>
      <c r="G28" s="125">
        <f t="shared" si="4"/>
        <v>5.4447368790591542</v>
      </c>
      <c r="H28" s="125">
        <f t="shared" si="4"/>
        <v>6.581773916096191</v>
      </c>
      <c r="I28" s="125">
        <f t="shared" si="4"/>
        <v>7.7188109531332296</v>
      </c>
      <c r="J28" s="125">
        <f t="shared" si="4"/>
        <v>8.8558479901702665</v>
      </c>
      <c r="K28" s="125">
        <f t="shared" si="4"/>
        <v>9.9928850272073024</v>
      </c>
    </row>
    <row r="29" spans="1:14" x14ac:dyDescent="0.2">
      <c r="A29" s="26" t="str">
        <f>A8</f>
        <v>mSolar</v>
      </c>
      <c r="B29" s="126">
        <f t="shared" ref="B29:K29" si="5">B8/$C8</f>
        <v>1</v>
      </c>
      <c r="C29" s="125">
        <f t="shared" si="5"/>
        <v>1</v>
      </c>
      <c r="D29" s="125">
        <f t="shared" si="5"/>
        <v>2.7125531179294615</v>
      </c>
      <c r="E29" s="125">
        <f t="shared" si="5"/>
        <v>3.5299091324180925</v>
      </c>
      <c r="F29" s="125">
        <f t="shared" si="5"/>
        <v>3.7656849058282744</v>
      </c>
      <c r="G29" s="125">
        <f t="shared" si="5"/>
        <v>4.0014606792384564</v>
      </c>
      <c r="H29" s="125">
        <f t="shared" si="5"/>
        <v>4.1272077583905533</v>
      </c>
      <c r="I29" s="125">
        <f t="shared" si="5"/>
        <v>4.2529548375426511</v>
      </c>
      <c r="J29" s="125">
        <f t="shared" si="5"/>
        <v>4.3158283771186996</v>
      </c>
      <c r="K29" s="125">
        <f t="shared" si="5"/>
        <v>4.3787019166947472</v>
      </c>
    </row>
    <row r="30" spans="1:14" x14ac:dyDescent="0.2">
      <c r="A30" s="26" t="str">
        <f>A9</f>
        <v>bBio</v>
      </c>
      <c r="B30" s="126">
        <f t="shared" ref="B30:K30" si="6">B9/$C9</f>
        <v>1</v>
      </c>
      <c r="C30" s="125">
        <f t="shared" si="6"/>
        <v>1</v>
      </c>
      <c r="D30" s="125">
        <f t="shared" si="6"/>
        <v>1.5683673469387758</v>
      </c>
      <c r="E30" s="125">
        <f t="shared" si="6"/>
        <v>1.8030612244897966</v>
      </c>
      <c r="F30" s="125">
        <f t="shared" si="6"/>
        <v>1.8710884353741501</v>
      </c>
      <c r="G30" s="125">
        <f t="shared" si="6"/>
        <v>1.9391156462585042</v>
      </c>
      <c r="H30" s="125">
        <f t="shared" si="6"/>
        <v>2.0071428571428576</v>
      </c>
      <c r="I30" s="125">
        <f t="shared" si="6"/>
        <v>2.0751700680272114</v>
      </c>
      <c r="J30" s="125">
        <f t="shared" si="6"/>
        <v>2.1431972789115652</v>
      </c>
      <c r="K30" s="125">
        <f t="shared" si="6"/>
        <v>2.211224489795919</v>
      </c>
    </row>
    <row r="31" spans="1:14" x14ac:dyDescent="0.2">
      <c r="A31" s="26" t="str">
        <f>A10</f>
        <v>bGeo</v>
      </c>
      <c r="B31" s="130">
        <v>1</v>
      </c>
      <c r="C31" s="130">
        <v>1</v>
      </c>
      <c r="D31" s="129">
        <f t="shared" ref="D31:K31" si="7">D10/$D10</f>
        <v>1</v>
      </c>
      <c r="E31" s="129">
        <f t="shared" si="7"/>
        <v>2.4736842105263155</v>
      </c>
      <c r="F31" s="129">
        <f t="shared" si="7"/>
        <v>4.5614035087719289</v>
      </c>
      <c r="G31" s="129">
        <f t="shared" si="7"/>
        <v>6.6491228070175428</v>
      </c>
      <c r="H31" s="129">
        <f t="shared" si="7"/>
        <v>8.7368421052631557</v>
      </c>
      <c r="I31" s="129">
        <f t="shared" si="7"/>
        <v>10.824561403508772</v>
      </c>
      <c r="J31" s="129">
        <f t="shared" si="7"/>
        <v>12.912280701754383</v>
      </c>
      <c r="K31" s="129">
        <f t="shared" si="7"/>
        <v>15</v>
      </c>
    </row>
    <row r="32" spans="1:14" x14ac:dyDescent="0.2">
      <c r="B32" s="131" t="s">
        <v>50</v>
      </c>
      <c r="C32" s="131" t="s">
        <v>50</v>
      </c>
    </row>
    <row r="34" spans="1:11" x14ac:dyDescent="0.2">
      <c r="A34" s="133" t="str">
        <f>A13</f>
        <v>MAXIMALE STROMERZEUGUNG AUS ERNEUERBAREN ENERGIEQUELLEN in Baden-Württemberg</v>
      </c>
      <c r="B34" s="133"/>
      <c r="C34" s="133"/>
      <c r="D34" s="133"/>
      <c r="E34" s="133"/>
      <c r="F34" s="133"/>
      <c r="G34" s="133"/>
      <c r="H34" s="133"/>
    </row>
    <row r="35" spans="1:11" x14ac:dyDescent="0.2">
      <c r="B35" s="127">
        <f t="shared" ref="B35:K35" si="8">B14</f>
        <v>2007</v>
      </c>
      <c r="C35" s="26">
        <f t="shared" si="8"/>
        <v>2010</v>
      </c>
      <c r="D35" s="26">
        <f t="shared" si="8"/>
        <v>2015</v>
      </c>
      <c r="E35" s="26">
        <f t="shared" si="8"/>
        <v>2020</v>
      </c>
      <c r="F35" s="26">
        <f t="shared" si="8"/>
        <v>2025</v>
      </c>
      <c r="G35" s="26">
        <f t="shared" si="8"/>
        <v>2030</v>
      </c>
      <c r="H35" s="26">
        <f t="shared" si="8"/>
        <v>2035</v>
      </c>
      <c r="I35" s="26">
        <f t="shared" si="8"/>
        <v>2040</v>
      </c>
      <c r="J35" s="26">
        <f t="shared" si="8"/>
        <v>2045</v>
      </c>
      <c r="K35" s="26">
        <f t="shared" si="8"/>
        <v>2050</v>
      </c>
    </row>
    <row r="36" spans="1:11" x14ac:dyDescent="0.2">
      <c r="A36" s="26" t="str">
        <f>A15</f>
        <v>bHydro</v>
      </c>
      <c r="B36" s="126">
        <f t="shared" ref="B36:C39" si="9">B15/$C15</f>
        <v>1</v>
      </c>
      <c r="C36" s="125">
        <f t="shared" si="9"/>
        <v>1</v>
      </c>
      <c r="D36" s="125">
        <f t="shared" ref="D36:J36" si="10">D15/$C15</f>
        <v>1.0784313725490198</v>
      </c>
      <c r="E36" s="125">
        <f t="shared" si="10"/>
        <v>1.0784313725490198</v>
      </c>
      <c r="F36" s="125">
        <f t="shared" si="10"/>
        <v>1.0947712418300655</v>
      </c>
      <c r="G36" s="125">
        <f t="shared" si="10"/>
        <v>1.1111111111111112</v>
      </c>
      <c r="H36" s="125">
        <f t="shared" si="10"/>
        <v>1.1274509803921569</v>
      </c>
      <c r="I36" s="125">
        <f t="shared" si="10"/>
        <v>1.1437908496732025</v>
      </c>
      <c r="J36" s="125">
        <f t="shared" si="10"/>
        <v>1.1601307189542485</v>
      </c>
      <c r="K36" s="125">
        <f>K15/$C15</f>
        <v>1.1764705882352942</v>
      </c>
    </row>
    <row r="37" spans="1:11" x14ac:dyDescent="0.2">
      <c r="A37" s="26" t="str">
        <f>A16</f>
        <v>mWind</v>
      </c>
      <c r="B37" s="126">
        <f t="shared" si="9"/>
        <v>1</v>
      </c>
      <c r="C37" s="125">
        <f t="shared" si="9"/>
        <v>1</v>
      </c>
      <c r="D37" s="125">
        <f>D16/$C16</f>
        <v>3.2407407407407405</v>
      </c>
      <c r="E37" s="125">
        <f t="shared" ref="E37:K37" si="11">E16/$C16</f>
        <v>11.77248677248677</v>
      </c>
      <c r="F37" s="125">
        <f t="shared" si="11"/>
        <v>20.3042328042328</v>
      </c>
      <c r="G37" s="125">
        <f t="shared" si="11"/>
        <v>28.835978835978835</v>
      </c>
      <c r="H37" s="125">
        <f t="shared" si="11"/>
        <v>37.36772486772486</v>
      </c>
      <c r="I37" s="125">
        <f t="shared" si="11"/>
        <v>45.899470899470892</v>
      </c>
      <c r="J37" s="125">
        <f t="shared" si="11"/>
        <v>54.431216931216923</v>
      </c>
      <c r="K37" s="125">
        <f t="shared" si="11"/>
        <v>62.962962962962962</v>
      </c>
    </row>
    <row r="38" spans="1:11" x14ac:dyDescent="0.2">
      <c r="A38" s="26" t="str">
        <f>A17</f>
        <v>mSolar</v>
      </c>
      <c r="B38" s="126">
        <f t="shared" si="9"/>
        <v>1</v>
      </c>
      <c r="C38" s="125">
        <f t="shared" si="9"/>
        <v>1</v>
      </c>
      <c r="D38" s="125">
        <f>D17/$C17</f>
        <v>3.3316007369770801</v>
      </c>
      <c r="E38" s="125">
        <f t="shared" ref="E38:K38" si="12">E17/$C17</f>
        <v>4.7604196793136877</v>
      </c>
      <c r="F38" s="125">
        <f t="shared" si="12"/>
        <v>6.1892386216502953</v>
      </c>
      <c r="G38" s="125">
        <f t="shared" si="12"/>
        <v>7.6180575639869037</v>
      </c>
      <c r="H38" s="125">
        <f t="shared" si="12"/>
        <v>9.0468765063235121</v>
      </c>
      <c r="I38" s="125">
        <f t="shared" si="12"/>
        <v>10.475695448660119</v>
      </c>
      <c r="J38" s="125">
        <f t="shared" si="12"/>
        <v>11.904514390996724</v>
      </c>
      <c r="K38" s="125">
        <f t="shared" si="12"/>
        <v>13.333333333333332</v>
      </c>
    </row>
    <row r="39" spans="1:11" x14ac:dyDescent="0.2">
      <c r="A39" s="26" t="str">
        <f>A18</f>
        <v>bBio</v>
      </c>
      <c r="B39" s="126">
        <f t="shared" si="9"/>
        <v>1</v>
      </c>
      <c r="C39" s="125">
        <f t="shared" si="9"/>
        <v>1</v>
      </c>
      <c r="D39" s="125">
        <f>D18/$C18</f>
        <v>2.4950525664811383</v>
      </c>
      <c r="E39" s="125">
        <f t="shared" ref="E39:K39" si="13">E18/$C18</f>
        <v>3.0161675059634248</v>
      </c>
      <c r="F39" s="125">
        <f t="shared" si="13"/>
        <v>3.3751509261713348</v>
      </c>
      <c r="G39" s="125">
        <f t="shared" si="13"/>
        <v>3.7341343463792449</v>
      </c>
      <c r="H39" s="125">
        <f t="shared" si="13"/>
        <v>4.0931177665871541</v>
      </c>
      <c r="I39" s="125">
        <f t="shared" si="13"/>
        <v>4.4521011867950646</v>
      </c>
      <c r="J39" s="125">
        <f t="shared" si="13"/>
        <v>4.8110846070029751</v>
      </c>
      <c r="K39" s="125">
        <f t="shared" si="13"/>
        <v>5.1870748299319738</v>
      </c>
    </row>
    <row r="40" spans="1:11" x14ac:dyDescent="0.2">
      <c r="A40" s="26" t="str">
        <f>A19</f>
        <v>bGeo</v>
      </c>
      <c r="B40" s="130">
        <v>1</v>
      </c>
      <c r="C40" s="130">
        <v>1</v>
      </c>
      <c r="D40" s="129">
        <f>D19/$D19</f>
        <v>1</v>
      </c>
      <c r="E40" s="129">
        <f t="shared" ref="E40:K40" si="14">E19/$D19</f>
        <v>16.476190476190474</v>
      </c>
      <c r="F40" s="129">
        <f t="shared" si="14"/>
        <v>31.952380952380953</v>
      </c>
      <c r="G40" s="129">
        <f t="shared" si="14"/>
        <v>47.428571428571423</v>
      </c>
      <c r="H40" s="129">
        <f t="shared" si="14"/>
        <v>62.904761904761905</v>
      </c>
      <c r="I40" s="129">
        <f t="shared" si="14"/>
        <v>78.38095238095238</v>
      </c>
      <c r="J40" s="129">
        <f t="shared" si="14"/>
        <v>93.857142857142847</v>
      </c>
      <c r="K40" s="129">
        <f t="shared" si="14"/>
        <v>109.33333333333331</v>
      </c>
    </row>
    <row r="44" spans="1:11" x14ac:dyDescent="0.2">
      <c r="A44" s="128" t="s">
        <v>48</v>
      </c>
      <c r="B44" s="128"/>
      <c r="C44" s="128"/>
      <c r="D44" s="128"/>
      <c r="E44" s="128"/>
      <c r="F44" s="128"/>
      <c r="G44" s="128"/>
      <c r="H44" s="128"/>
      <c r="I44" s="128"/>
      <c r="J44" s="128"/>
      <c r="K44" s="128"/>
    </row>
    <row r="46" spans="1:11" x14ac:dyDescent="0.2">
      <c r="A46" s="132" t="str">
        <f>A25</f>
        <v>MINIMALE STROMERZEUGUNG AUS ERNEUERBAREN ENERGIEQUELLEN Baden-Württemberg</v>
      </c>
      <c r="B46" s="132"/>
      <c r="C46" s="132"/>
      <c r="D46" s="132"/>
      <c r="E46" s="132"/>
      <c r="F46" s="132"/>
      <c r="G46" s="132"/>
      <c r="H46" s="132"/>
    </row>
    <row r="47" spans="1:11" x14ac:dyDescent="0.2">
      <c r="B47" s="127">
        <f t="shared" ref="B47:K47" si="15">B26</f>
        <v>2007</v>
      </c>
      <c r="C47" s="26">
        <f t="shared" si="15"/>
        <v>2010</v>
      </c>
      <c r="D47" s="26">
        <f t="shared" si="15"/>
        <v>2015</v>
      </c>
      <c r="E47" s="26">
        <f t="shared" si="15"/>
        <v>2020</v>
      </c>
      <c r="F47" s="26">
        <f t="shared" si="15"/>
        <v>2025</v>
      </c>
      <c r="G47" s="26">
        <f t="shared" si="15"/>
        <v>2030</v>
      </c>
      <c r="H47" s="26">
        <f t="shared" si="15"/>
        <v>2035</v>
      </c>
      <c r="I47" s="26">
        <f t="shared" si="15"/>
        <v>2040</v>
      </c>
      <c r="J47" s="26">
        <f t="shared" si="15"/>
        <v>2045</v>
      </c>
      <c r="K47" s="26">
        <f t="shared" si="15"/>
        <v>2050</v>
      </c>
    </row>
    <row r="48" spans="1:11" x14ac:dyDescent="0.2">
      <c r="A48" s="26" t="str">
        <f>A27</f>
        <v>bHydro</v>
      </c>
      <c r="B48" s="134">
        <f>B6/B6</f>
        <v>1</v>
      </c>
      <c r="C48" s="125">
        <f>C6/B6</f>
        <v>1</v>
      </c>
      <c r="D48" s="125">
        <f>D6/C6</f>
        <v>1</v>
      </c>
      <c r="E48" s="125">
        <f t="shared" ref="E48:K48" si="16">E6/D6</f>
        <v>1.0784313725490198</v>
      </c>
      <c r="F48" s="125">
        <f t="shared" si="16"/>
        <v>1</v>
      </c>
      <c r="G48" s="125">
        <f t="shared" si="16"/>
        <v>1</v>
      </c>
      <c r="H48" s="125">
        <f t="shared" si="16"/>
        <v>1</v>
      </c>
      <c r="I48" s="125">
        <f t="shared" si="16"/>
        <v>1</v>
      </c>
      <c r="J48" s="125">
        <f t="shared" si="16"/>
        <v>1</v>
      </c>
      <c r="K48" s="125">
        <f t="shared" si="16"/>
        <v>1</v>
      </c>
    </row>
    <row r="49" spans="1:11" x14ac:dyDescent="0.2">
      <c r="A49" s="26" t="str">
        <f>A28</f>
        <v>mWind</v>
      </c>
      <c r="B49" s="134">
        <f>B28/$C28</f>
        <v>1</v>
      </c>
      <c r="C49" s="125">
        <f t="shared" ref="C49:D51" si="17">C7/B7</f>
        <v>1</v>
      </c>
      <c r="D49" s="125">
        <f t="shared" si="17"/>
        <v>2.0336257679480427</v>
      </c>
      <c r="E49" s="125">
        <f t="shared" ref="E49:K49" si="18">E7/D7</f>
        <v>1.5591181302665749</v>
      </c>
      <c r="F49" s="125">
        <f t="shared" si="18"/>
        <v>1.3586117815017504</v>
      </c>
      <c r="G49" s="125">
        <f t="shared" si="18"/>
        <v>1.2639545647877106</v>
      </c>
      <c r="H49" s="125">
        <f t="shared" si="18"/>
        <v>1.2088323205130744</v>
      </c>
      <c r="I49" s="125">
        <f t="shared" si="18"/>
        <v>1.1727554078173872</v>
      </c>
      <c r="J49" s="125">
        <f t="shared" si="18"/>
        <v>1.1473072787947332</v>
      </c>
      <c r="K49" s="125">
        <f t="shared" si="18"/>
        <v>1.1283939198481179</v>
      </c>
    </row>
    <row r="50" spans="1:11" x14ac:dyDescent="0.2">
      <c r="A50" s="26" t="str">
        <f>A29</f>
        <v>mSolar</v>
      </c>
      <c r="B50" s="134">
        <f>B29/$C29</f>
        <v>1</v>
      </c>
      <c r="C50" s="125">
        <f t="shared" si="17"/>
        <v>1</v>
      </c>
      <c r="D50" s="125">
        <f t="shared" si="17"/>
        <v>2.7125531179294615</v>
      </c>
      <c r="E50" s="125">
        <f t="shared" ref="E50:K50" si="19">E8/D8</f>
        <v>1.3013235055513062</v>
      </c>
      <c r="F50" s="125">
        <f t="shared" si="19"/>
        <v>1.0667937231711879</v>
      </c>
      <c r="G50" s="125">
        <f t="shared" si="19"/>
        <v>1.0626116574557962</v>
      </c>
      <c r="H50" s="125">
        <f t="shared" si="19"/>
        <v>1.0314252942193172</v>
      </c>
      <c r="I50" s="125">
        <f t="shared" si="19"/>
        <v>1.0304678335846931</v>
      </c>
      <c r="J50" s="125">
        <f t="shared" si="19"/>
        <v>1.0147834957053945</v>
      </c>
      <c r="K50" s="125">
        <f t="shared" si="19"/>
        <v>1.0145681278498897</v>
      </c>
    </row>
    <row r="51" spans="1:11" x14ac:dyDescent="0.2">
      <c r="A51" s="26" t="str">
        <f>A30</f>
        <v>bBio</v>
      </c>
      <c r="B51" s="134">
        <f>B30/$C30</f>
        <v>1</v>
      </c>
      <c r="C51" s="125">
        <f t="shared" si="17"/>
        <v>1</v>
      </c>
      <c r="D51" s="125">
        <f t="shared" si="17"/>
        <v>1.5683673469387758</v>
      </c>
      <c r="E51" s="125">
        <f t="shared" ref="E51:K51" si="20">E9/D9</f>
        <v>1.1496421600520497</v>
      </c>
      <c r="F51" s="125">
        <f t="shared" si="20"/>
        <v>1.037728730428221</v>
      </c>
      <c r="G51" s="125">
        <f t="shared" si="20"/>
        <v>1.0363570259952737</v>
      </c>
      <c r="H51" s="125">
        <f t="shared" si="20"/>
        <v>1.0350815646377827</v>
      </c>
      <c r="I51" s="125">
        <f t="shared" si="20"/>
        <v>1.0338925605829519</v>
      </c>
      <c r="J51" s="125">
        <f t="shared" si="20"/>
        <v>1.0327815112276677</v>
      </c>
      <c r="K51" s="125">
        <f t="shared" si="20"/>
        <v>1.0317409934930961</v>
      </c>
    </row>
    <row r="52" spans="1:11" x14ac:dyDescent="0.2">
      <c r="A52" s="26" t="str">
        <f>A31</f>
        <v>bGeo</v>
      </c>
      <c r="B52" s="135">
        <v>1</v>
      </c>
      <c r="C52" s="135">
        <v>1</v>
      </c>
      <c r="D52" s="135">
        <v>1</v>
      </c>
      <c r="E52" s="125">
        <f t="shared" ref="E52:K52" si="21">E10/D10</f>
        <v>2.4736842105263155</v>
      </c>
      <c r="F52" s="125">
        <f t="shared" si="21"/>
        <v>1.8439716312056738</v>
      </c>
      <c r="G52" s="125">
        <f t="shared" si="21"/>
        <v>1.4576923076923076</v>
      </c>
      <c r="H52" s="125">
        <f t="shared" si="21"/>
        <v>1.3139841688654352</v>
      </c>
      <c r="I52" s="125">
        <f t="shared" si="21"/>
        <v>1.238955823293173</v>
      </c>
      <c r="J52" s="125">
        <f t="shared" si="21"/>
        <v>1.1928687196110208</v>
      </c>
      <c r="K52" s="125">
        <f t="shared" si="21"/>
        <v>1.1616847826086958</v>
      </c>
    </row>
    <row r="53" spans="1:11" x14ac:dyDescent="0.2">
      <c r="B53" s="131" t="s">
        <v>50</v>
      </c>
      <c r="C53" s="131" t="s">
        <v>50</v>
      </c>
      <c r="F53" s="125"/>
    </row>
    <row r="55" spans="1:11" x14ac:dyDescent="0.2">
      <c r="A55" s="133" t="str">
        <f>A34</f>
        <v>MAXIMALE STROMERZEUGUNG AUS ERNEUERBAREN ENERGIEQUELLEN in Baden-Württemberg</v>
      </c>
      <c r="B55" s="133"/>
      <c r="C55" s="133"/>
      <c r="D55" s="133"/>
      <c r="E55" s="133"/>
      <c r="F55" s="133"/>
      <c r="G55" s="133"/>
      <c r="H55" s="133"/>
    </row>
    <row r="56" spans="1:11" x14ac:dyDescent="0.2">
      <c r="B56" s="127">
        <f t="shared" ref="B56:K56" si="22">B35</f>
        <v>2007</v>
      </c>
      <c r="C56" s="26">
        <f t="shared" si="22"/>
        <v>2010</v>
      </c>
      <c r="D56" s="26">
        <f t="shared" si="22"/>
        <v>2015</v>
      </c>
      <c r="E56" s="26">
        <f t="shared" si="22"/>
        <v>2020</v>
      </c>
      <c r="F56" s="26">
        <f t="shared" si="22"/>
        <v>2025</v>
      </c>
      <c r="G56" s="26">
        <f t="shared" si="22"/>
        <v>2030</v>
      </c>
      <c r="H56" s="26">
        <f t="shared" si="22"/>
        <v>2035</v>
      </c>
      <c r="I56" s="26">
        <f t="shared" si="22"/>
        <v>2040</v>
      </c>
      <c r="J56" s="26">
        <f t="shared" si="22"/>
        <v>2045</v>
      </c>
      <c r="K56" s="26">
        <f t="shared" si="22"/>
        <v>2050</v>
      </c>
    </row>
    <row r="57" spans="1:11" x14ac:dyDescent="0.2">
      <c r="A57" s="26" t="str">
        <f>A36</f>
        <v>bHydro</v>
      </c>
      <c r="B57" s="134">
        <f>B15/B15</f>
        <v>1</v>
      </c>
      <c r="C57" s="125">
        <f>C15/B15</f>
        <v>1</v>
      </c>
      <c r="D57" s="125">
        <f>D15/C15</f>
        <v>1.0784313725490198</v>
      </c>
      <c r="E57" s="125">
        <f t="shared" ref="E57:K57" si="23">E15/D15</f>
        <v>1</v>
      </c>
      <c r="F57" s="125">
        <f t="shared" si="23"/>
        <v>1.0151515151515151</v>
      </c>
      <c r="G57" s="125">
        <f t="shared" si="23"/>
        <v>1.0149253731343284</v>
      </c>
      <c r="H57" s="125">
        <f t="shared" si="23"/>
        <v>1.0147058823529411</v>
      </c>
      <c r="I57" s="125">
        <f t="shared" si="23"/>
        <v>1.0144927536231882</v>
      </c>
      <c r="J57" s="125">
        <f t="shared" si="23"/>
        <v>1.0142857142857145</v>
      </c>
      <c r="K57" s="125">
        <f t="shared" si="23"/>
        <v>1.0140845070422535</v>
      </c>
    </row>
    <row r="58" spans="1:11" x14ac:dyDescent="0.2">
      <c r="A58" s="26" t="str">
        <f>A37</f>
        <v>mWind</v>
      </c>
      <c r="B58" s="134">
        <f>B37/$C37</f>
        <v>1</v>
      </c>
      <c r="C58" s="125">
        <f>C16/B16</f>
        <v>1</v>
      </c>
      <c r="D58" s="125">
        <f t="shared" ref="D58:K58" si="24">D16/C16</f>
        <v>3.2407407407407405</v>
      </c>
      <c r="E58" s="125">
        <f t="shared" si="24"/>
        <v>3.6326530612244894</v>
      </c>
      <c r="F58" s="125">
        <f t="shared" si="24"/>
        <v>1.7247191011235954</v>
      </c>
      <c r="G58" s="125">
        <f t="shared" si="24"/>
        <v>1.4201954397394136</v>
      </c>
      <c r="H58" s="125">
        <f t="shared" si="24"/>
        <v>1.2958715596330275</v>
      </c>
      <c r="I58" s="125">
        <f t="shared" si="24"/>
        <v>1.2283185840707964</v>
      </c>
      <c r="J58" s="125">
        <f t="shared" si="24"/>
        <v>1.1858789625360231</v>
      </c>
      <c r="K58" s="125">
        <f t="shared" si="24"/>
        <v>1.1567436208991495</v>
      </c>
    </row>
    <row r="59" spans="1:11" x14ac:dyDescent="0.2">
      <c r="A59" s="26" t="str">
        <f>A38</f>
        <v>mSolar</v>
      </c>
      <c r="B59" s="134">
        <f>B38/$C38</f>
        <v>1</v>
      </c>
      <c r="C59" s="125">
        <f>C17/B17</f>
        <v>1</v>
      </c>
      <c r="D59" s="125">
        <f t="shared" ref="D59:K59" si="25">D17/C17</f>
        <v>3.3316007369770801</v>
      </c>
      <c r="E59" s="125">
        <f t="shared" si="25"/>
        <v>1.4288685995528512</v>
      </c>
      <c r="F59" s="125">
        <f t="shared" si="25"/>
        <v>1.3001455834966638</v>
      </c>
      <c r="G59" s="125">
        <f t="shared" si="25"/>
        <v>1.2308553652041336</v>
      </c>
      <c r="H59" s="125">
        <f t="shared" si="25"/>
        <v>1.1875568582063638</v>
      </c>
      <c r="I59" s="125">
        <f t="shared" si="25"/>
        <v>1.1579350554125396</v>
      </c>
      <c r="J59" s="125">
        <f t="shared" si="25"/>
        <v>1.1363937076386998</v>
      </c>
      <c r="K59" s="125">
        <f t="shared" si="25"/>
        <v>1.120023286579183</v>
      </c>
    </row>
    <row r="60" spans="1:11" x14ac:dyDescent="0.2">
      <c r="A60" s="26" t="str">
        <f>A39</f>
        <v>bBio</v>
      </c>
      <c r="B60" s="134">
        <f>B39/$C39</f>
        <v>1</v>
      </c>
      <c r="C60" s="125">
        <f>C18/B18</f>
        <v>1</v>
      </c>
      <c r="D60" s="125">
        <f t="shared" ref="D60:K61" si="26">D18/C18</f>
        <v>2.4950525664811383</v>
      </c>
      <c r="E60" s="125">
        <f t="shared" si="26"/>
        <v>1.2088593027990722</v>
      </c>
      <c r="F60" s="125">
        <f t="shared" si="26"/>
        <v>1.1190197227104082</v>
      </c>
      <c r="G60" s="125">
        <f t="shared" si="26"/>
        <v>1.106360701509467</v>
      </c>
      <c r="H60" s="125">
        <f t="shared" si="26"/>
        <v>1.0961356466876968</v>
      </c>
      <c r="I60" s="125">
        <f t="shared" si="26"/>
        <v>1.0877041513777972</v>
      </c>
      <c r="J60" s="125">
        <f t="shared" si="26"/>
        <v>1.0806323587776161</v>
      </c>
      <c r="K60" s="125">
        <f t="shared" si="26"/>
        <v>1.0781508232845689</v>
      </c>
    </row>
    <row r="61" spans="1:11" x14ac:dyDescent="0.2">
      <c r="A61" s="26" t="str">
        <f>A40</f>
        <v>bGeo</v>
      </c>
      <c r="B61" s="135">
        <v>1</v>
      </c>
      <c r="C61" s="135">
        <v>1</v>
      </c>
      <c r="D61" s="135">
        <f>E61/2</f>
        <v>8.2380952380952372</v>
      </c>
      <c r="E61" s="125">
        <f>E19/D19</f>
        <v>16.476190476190474</v>
      </c>
      <c r="F61" s="125">
        <f t="shared" si="26"/>
        <v>1.9393063583815031</v>
      </c>
      <c r="G61" s="125">
        <f t="shared" si="26"/>
        <v>1.4843517138599105</v>
      </c>
      <c r="H61" s="125">
        <f t="shared" si="26"/>
        <v>1.3263052208835342</v>
      </c>
      <c r="I61" s="125">
        <f t="shared" si="26"/>
        <v>1.2460257380772142</v>
      </c>
      <c r="J61" s="125">
        <f t="shared" si="26"/>
        <v>1.1974483596597814</v>
      </c>
      <c r="K61" s="125">
        <f t="shared" si="26"/>
        <v>1.1648909183155758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opLeftCell="A37" zoomScale="85" zoomScaleNormal="85" workbookViewId="0">
      <selection activeCell="A52" sqref="A52:XFD52"/>
    </sheetView>
  </sheetViews>
  <sheetFormatPr defaultColWidth="11.42578125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16384" width="11.42578125" style="175"/>
  </cols>
  <sheetData>
    <row r="1" spans="1:19" x14ac:dyDescent="0.25">
      <c r="A1" s="300" t="s">
        <v>108</v>
      </c>
      <c r="B1" s="300"/>
      <c r="C1" s="300"/>
      <c r="D1" s="300"/>
      <c r="E1" s="300"/>
      <c r="F1" s="300"/>
      <c r="G1" s="300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300"/>
      <c r="B2" s="300"/>
      <c r="C2" s="300"/>
      <c r="D2" s="300"/>
      <c r="E2" s="300"/>
      <c r="F2" s="300"/>
      <c r="G2" s="300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>
        <f>C28</f>
        <v>2.4875234999999996</v>
      </c>
      <c r="D6" s="186">
        <f>D28</f>
        <v>2.4875234999999996</v>
      </c>
      <c r="E6" s="186">
        <f>E28</f>
        <v>2.4875234999999996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SUM([2]PlantInv_REF!Q3)</f>
        <v>0</v>
      </c>
      <c r="D7" s="189">
        <f>C7</f>
        <v>0</v>
      </c>
      <c r="E7" s="189">
        <f>SUM(C4:C7)</f>
        <v>2.4875234999999996</v>
      </c>
      <c r="F7" s="189">
        <f>G7-E7</f>
        <v>20506.412476500002</v>
      </c>
      <c r="G7" s="188">
        <f>[2]Powerall_REF!$BD29*1000</f>
        <v>20508.900000000001</v>
      </c>
      <c r="J7" s="189">
        <f t="array" ref="J7:Q7">TRANSPOSE(F7:F14)</f>
        <v>20506.412476500002</v>
      </c>
      <c r="K7" s="189">
        <v>18932.212476500001</v>
      </c>
      <c r="L7" s="189">
        <v>16412.212476500001</v>
      </c>
      <c r="M7" s="189">
        <v>16551.7</v>
      </c>
      <c r="N7" s="189">
        <v>16703</v>
      </c>
      <c r="O7" s="189">
        <v>13730.7</v>
      </c>
      <c r="P7" s="189">
        <v>17000.73</v>
      </c>
      <c r="Q7" s="189">
        <v>19479.32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SUM([2]PlantInv_REF!Q4)</f>
        <v>0</v>
      </c>
      <c r="D8" s="189">
        <f t="shared" ref="D8:D14" si="2">C8+D7</f>
        <v>0</v>
      </c>
      <c r="E8" s="189">
        <f>SUM(C5:C8)</f>
        <v>2.4875234999999996</v>
      </c>
      <c r="F8" s="189">
        <f t="shared" ref="F8:F14" si="3">G8-E8</f>
        <v>18932.212476500001</v>
      </c>
      <c r="G8" s="188">
        <f>[2]Powerall_REF!$BD30*1000</f>
        <v>18934.7</v>
      </c>
    </row>
    <row r="9" spans="1:19" x14ac:dyDescent="0.25">
      <c r="A9" s="178"/>
      <c r="B9" s="175">
        <f t="shared" ref="B9:B14" si="4">B8+5</f>
        <v>2025</v>
      </c>
      <c r="C9" s="188">
        <f>SUM([2]PlantInv_REF!Q5)</f>
        <v>2520</v>
      </c>
      <c r="D9" s="189">
        <f t="shared" si="2"/>
        <v>2520</v>
      </c>
      <c r="E9" s="189">
        <f>SUM(C5:C9)</f>
        <v>2522.4875235</v>
      </c>
      <c r="F9" s="189">
        <f t="shared" si="3"/>
        <v>16412.212476500001</v>
      </c>
      <c r="G9" s="188">
        <f>[2]Powerall_REF!$BD31*1000</f>
        <v>18934.7</v>
      </c>
    </row>
    <row r="10" spans="1:19" x14ac:dyDescent="0.25">
      <c r="A10" s="178"/>
      <c r="B10" s="175">
        <f t="shared" si="4"/>
        <v>2030</v>
      </c>
      <c r="C10" s="188">
        <f>SUM([2]PlantInv_REF!Q6)</f>
        <v>1800</v>
      </c>
      <c r="D10" s="189">
        <f t="shared" si="2"/>
        <v>4320</v>
      </c>
      <c r="E10" s="189">
        <f>SUM(C7:C10)</f>
        <v>4320</v>
      </c>
      <c r="F10" s="189">
        <f t="shared" si="3"/>
        <v>16551.7</v>
      </c>
      <c r="G10" s="188">
        <f>[2]Powerall_REF!$BD32*1000</f>
        <v>20871.7</v>
      </c>
    </row>
    <row r="11" spans="1:19" x14ac:dyDescent="0.25">
      <c r="A11" s="178"/>
      <c r="B11" s="175">
        <f t="shared" si="4"/>
        <v>2035</v>
      </c>
      <c r="C11" s="188">
        <f>SUM([2]PlantInv_REF!Q7)</f>
        <v>0</v>
      </c>
      <c r="D11" s="189">
        <f t="shared" si="2"/>
        <v>4320</v>
      </c>
      <c r="E11" s="189">
        <f>SUM(C8:C11)</f>
        <v>4320</v>
      </c>
      <c r="F11" s="189">
        <f t="shared" si="3"/>
        <v>16703</v>
      </c>
      <c r="G11" s="188">
        <f>[2]Powerall_REF!$BD33*1000</f>
        <v>21023</v>
      </c>
    </row>
    <row r="12" spans="1:19" x14ac:dyDescent="0.25">
      <c r="A12" s="178"/>
      <c r="B12" s="175">
        <f t="shared" si="4"/>
        <v>2040</v>
      </c>
      <c r="C12" s="188">
        <f>SUM([2]PlantInv_REF!Q8)</f>
        <v>0</v>
      </c>
      <c r="D12" s="189">
        <f t="shared" si="2"/>
        <v>4320</v>
      </c>
      <c r="E12" s="189">
        <f>SUM(C9:C12)</f>
        <v>4320</v>
      </c>
      <c r="F12" s="189">
        <f t="shared" si="3"/>
        <v>13730.7</v>
      </c>
      <c r="G12" s="188">
        <f>[2]Powerall_REF!$BD34*1000</f>
        <v>18050.7</v>
      </c>
    </row>
    <row r="13" spans="1:19" x14ac:dyDescent="0.25">
      <c r="A13" s="178"/>
      <c r="B13" s="175">
        <f t="shared" si="4"/>
        <v>2045</v>
      </c>
      <c r="C13" s="188">
        <f>SUM([2]PlantInv_REF!Q9)</f>
        <v>0</v>
      </c>
      <c r="D13" s="189">
        <f t="shared" si="2"/>
        <v>4320</v>
      </c>
      <c r="E13" s="189">
        <f>SUM(C10:C13)</f>
        <v>1800</v>
      </c>
      <c r="F13" s="189">
        <f t="shared" si="3"/>
        <v>17000.73</v>
      </c>
      <c r="G13" s="188">
        <f>[2]Powerall_REF!$BD35*1000</f>
        <v>18800.73</v>
      </c>
    </row>
    <row r="14" spans="1:19" x14ac:dyDescent="0.25">
      <c r="A14" s="178"/>
      <c r="B14" s="175">
        <f t="shared" si="4"/>
        <v>2050</v>
      </c>
      <c r="C14" s="188">
        <f>SUM([2]PlantInv_REF!Q10)</f>
        <v>0</v>
      </c>
      <c r="D14" s="189">
        <f t="shared" si="2"/>
        <v>4320</v>
      </c>
      <c r="E14" s="189">
        <f>SUM(C11:C14)</f>
        <v>0</v>
      </c>
      <c r="F14" s="189">
        <f t="shared" si="3"/>
        <v>19479.32</v>
      </c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</row>
    <row r="17" spans="1:17" x14ac:dyDescent="0.25">
      <c r="A17" s="178"/>
      <c r="B17" s="175">
        <f t="shared" ref="B17:B24" si="5">B7</f>
        <v>2015</v>
      </c>
      <c r="C17" s="194">
        <f>C7*$H17/1000000</f>
        <v>0</v>
      </c>
      <c r="D17" s="194">
        <f>C17+D16</f>
        <v>0</v>
      </c>
      <c r="E17" s="194">
        <f>E7*$H17/1000000</f>
        <v>1.7910169199999996E-2</v>
      </c>
      <c r="F17" s="194">
        <f>G17-E17</f>
        <v>134.06208983080001</v>
      </c>
      <c r="G17" s="274">
        <f>[2]ProdDE_REF!$F16</f>
        <v>134.08000000000001</v>
      </c>
      <c r="H17" s="182">
        <v>7200</v>
      </c>
    </row>
    <row r="18" spans="1:17" x14ac:dyDescent="0.25">
      <c r="A18" s="178"/>
      <c r="B18" s="175">
        <f t="shared" si="5"/>
        <v>2020</v>
      </c>
      <c r="C18" s="206">
        <f>$E$28</f>
        <v>2.4875234999999996</v>
      </c>
      <c r="D18" s="194">
        <f t="shared" ref="D18:D24" si="6">C18+D17</f>
        <v>2.4875234999999996</v>
      </c>
      <c r="E18" s="273">
        <f t="shared" ref="E18:E23" si="7">SUM(C15:C18)</f>
        <v>2.4875234999999996</v>
      </c>
      <c r="F18" s="194">
        <f>G18-E18</f>
        <v>133.42247649999999</v>
      </c>
      <c r="G18" s="274">
        <f>[2]ProdDE_REF!$F17</f>
        <v>135.91</v>
      </c>
      <c r="H18" s="182">
        <v>7200</v>
      </c>
    </row>
    <row r="19" spans="1:17" x14ac:dyDescent="0.25">
      <c r="A19" s="178"/>
      <c r="B19" s="175">
        <f t="shared" si="5"/>
        <v>2025</v>
      </c>
      <c r="C19" s="194">
        <f t="shared" ref="C19:C24" si="8">C9*$H19/1000000</f>
        <v>18.143999999999998</v>
      </c>
      <c r="D19" s="194">
        <f t="shared" si="6"/>
        <v>20.631523499999997</v>
      </c>
      <c r="E19" s="194">
        <f t="shared" si="7"/>
        <v>20.631523499999997</v>
      </c>
      <c r="F19" s="194">
        <f t="shared" ref="F19:F24" si="9">G19-E19</f>
        <v>122.57847650000001</v>
      </c>
      <c r="G19" s="274">
        <f>[2]ProdDE_REF!$F18</f>
        <v>143.21</v>
      </c>
      <c r="H19" s="182">
        <v>7200</v>
      </c>
      <c r="Q19" s="187">
        <f>MAX(J3,J4)</f>
        <v>6795</v>
      </c>
    </row>
    <row r="20" spans="1:17" x14ac:dyDescent="0.25">
      <c r="A20" s="178"/>
      <c r="B20" s="175">
        <f t="shared" si="5"/>
        <v>2030</v>
      </c>
      <c r="C20" s="194">
        <f t="shared" si="8"/>
        <v>12.96</v>
      </c>
      <c r="D20" s="194">
        <f t="shared" si="6"/>
        <v>33.591523499999994</v>
      </c>
      <c r="E20" s="194">
        <f t="shared" si="7"/>
        <v>33.591523499999994</v>
      </c>
      <c r="F20" s="194">
        <f t="shared" si="9"/>
        <v>96.718476500000008</v>
      </c>
      <c r="G20" s="274">
        <f>[2]ProdDE_REF!$F19</f>
        <v>130.31</v>
      </c>
      <c r="H20" s="182">
        <v>7200</v>
      </c>
      <c r="I20" s="293" t="s">
        <v>105</v>
      </c>
    </row>
    <row r="21" spans="1:17" x14ac:dyDescent="0.25">
      <c r="A21" s="178"/>
      <c r="B21" s="175">
        <f t="shared" si="5"/>
        <v>2035</v>
      </c>
      <c r="C21" s="194">
        <f t="shared" si="8"/>
        <v>0</v>
      </c>
      <c r="D21" s="194">
        <f t="shared" si="6"/>
        <v>33.591523499999994</v>
      </c>
      <c r="E21" s="194">
        <f t="shared" si="7"/>
        <v>33.591523499999994</v>
      </c>
      <c r="F21" s="194">
        <f t="shared" si="9"/>
        <v>52.24847650000001</v>
      </c>
      <c r="G21" s="274">
        <f>[2]ProdDE_REF!$F20+I21</f>
        <v>85.84</v>
      </c>
      <c r="H21" s="182">
        <v>7200</v>
      </c>
      <c r="I21" s="293">
        <v>7</v>
      </c>
    </row>
    <row r="22" spans="1:17" x14ac:dyDescent="0.25">
      <c r="A22" s="178"/>
      <c r="B22" s="175">
        <f t="shared" si="5"/>
        <v>2040</v>
      </c>
      <c r="C22" s="194">
        <f t="shared" si="8"/>
        <v>0</v>
      </c>
      <c r="D22" s="194">
        <f t="shared" si="6"/>
        <v>33.591523499999994</v>
      </c>
      <c r="E22" s="194">
        <f t="shared" si="7"/>
        <v>31.103999999999999</v>
      </c>
      <c r="F22" s="194">
        <f t="shared" si="9"/>
        <v>50.396000000000001</v>
      </c>
      <c r="G22" s="274">
        <f>[2]ProdDE_REF!$F21</f>
        <v>81.5</v>
      </c>
      <c r="H22" s="182">
        <v>7200</v>
      </c>
    </row>
    <row r="23" spans="1:17" x14ac:dyDescent="0.25">
      <c r="A23" s="178"/>
      <c r="B23" s="175">
        <f t="shared" si="5"/>
        <v>2045</v>
      </c>
      <c r="C23" s="194">
        <f t="shared" si="8"/>
        <v>0</v>
      </c>
      <c r="D23" s="194">
        <f t="shared" si="6"/>
        <v>33.591523499999994</v>
      </c>
      <c r="E23" s="194">
        <f t="shared" si="7"/>
        <v>12.96</v>
      </c>
      <c r="F23" s="194">
        <f t="shared" si="9"/>
        <v>44.29</v>
      </c>
      <c r="G23" s="274">
        <f>[2]ProdDE_REF!$F22</f>
        <v>57.25</v>
      </c>
      <c r="H23" s="182">
        <v>7200</v>
      </c>
    </row>
    <row r="24" spans="1:17" x14ac:dyDescent="0.25">
      <c r="A24" s="178"/>
      <c r="B24" s="175">
        <f t="shared" si="5"/>
        <v>2050</v>
      </c>
      <c r="C24" s="194">
        <f t="shared" si="8"/>
        <v>0</v>
      </c>
      <c r="D24" s="194">
        <f t="shared" si="6"/>
        <v>33.591523499999994</v>
      </c>
      <c r="E24" s="206">
        <f>$E$28</f>
        <v>2.4875234999999996</v>
      </c>
      <c r="F24" s="194">
        <f t="shared" si="9"/>
        <v>19.132476500000003</v>
      </c>
      <c r="G24" s="274">
        <f>[2]ProdDE_REF!$F23</f>
        <v>21.62</v>
      </c>
      <c r="H24" s="182">
        <v>7200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ht="15.75" thickBot="1" x14ac:dyDescent="0.3">
      <c r="A26" s="178"/>
    </row>
    <row r="27" spans="1:17" x14ac:dyDescent="0.25">
      <c r="A27" s="178"/>
      <c r="B27" s="196" t="s">
        <v>77</v>
      </c>
      <c r="C27" s="197"/>
      <c r="D27" s="198" t="s">
        <v>78</v>
      </c>
      <c r="E27" s="199">
        <v>20</v>
      </c>
      <c r="F27" s="197"/>
      <c r="G27" s="197" t="s">
        <v>79</v>
      </c>
      <c r="H27" s="200"/>
    </row>
    <row r="28" spans="1:17" ht="15" customHeight="1" x14ac:dyDescent="0.25">
      <c r="A28" s="201"/>
      <c r="B28" s="202">
        <v>2007</v>
      </c>
      <c r="C28" s="203">
        <f>0.015*G28</f>
        <v>2.4875234999999996</v>
      </c>
      <c r="D28" s="203">
        <f>C28</f>
        <v>2.4875234999999996</v>
      </c>
      <c r="E28" s="203">
        <f>D28</f>
        <v>2.4875234999999996</v>
      </c>
      <c r="F28" s="204">
        <f>G28-E28</f>
        <v>163.34737649999997</v>
      </c>
      <c r="G28" s="205">
        <f>[3]ele_prod_bw!$C$11</f>
        <v>165.83489999999998</v>
      </c>
      <c r="H28" s="299" t="s">
        <v>80</v>
      </c>
    </row>
    <row r="29" spans="1:17" x14ac:dyDescent="0.25">
      <c r="A29" s="201"/>
      <c r="B29" s="202">
        <v>2010</v>
      </c>
      <c r="C29" s="206">
        <f>C28+C$28</f>
        <v>4.9750469999999991</v>
      </c>
      <c r="D29" s="206">
        <f>D28+D$28</f>
        <v>4.9750469999999991</v>
      </c>
      <c r="E29" s="206">
        <f>E28+E$28</f>
        <v>4.9750469999999991</v>
      </c>
      <c r="F29" s="207">
        <f>G29-E29</f>
        <v>144.98240300000001</v>
      </c>
      <c r="G29" s="208">
        <f>(G28+G31)/2</f>
        <v>149.95744999999999</v>
      </c>
      <c r="H29" s="299"/>
    </row>
    <row r="30" spans="1:17" x14ac:dyDescent="0.25">
      <c r="A30" s="178"/>
      <c r="B30" s="175">
        <v>2011</v>
      </c>
      <c r="C30" s="186">
        <f>C29+(C31-C29)*($B$30-$B$29)/($B$31-$B$29)</f>
        <v>5.4725516999999986</v>
      </c>
      <c r="D30" s="186">
        <f>D29+(D31-D29)*($B$30-$B$29)/($B$31-$B$29)</f>
        <v>5.4725516999999986</v>
      </c>
      <c r="E30" s="186">
        <f>E29+(E31-E29)*($B$30-$B$29)/($B$31-$B$29)</f>
        <v>4.9750469999999991</v>
      </c>
      <c r="F30" s="186">
        <f>F29+(F31-F29)*($B$30-$B$29)/($B$31-$B$29)</f>
        <v>142.79834036616001</v>
      </c>
      <c r="G30" s="186">
        <f>G29+(G31-G29)*($B$30-$B$29)/($B$31-$B$29)</f>
        <v>146.78196</v>
      </c>
    </row>
    <row r="31" spans="1:17" x14ac:dyDescent="0.25">
      <c r="A31" s="178"/>
      <c r="B31" s="209">
        <f t="shared" ref="B31:B38" si="10">B17</f>
        <v>2015</v>
      </c>
      <c r="C31" s="206">
        <f>C29+C$28</f>
        <v>7.4625704999999982</v>
      </c>
      <c r="D31" s="206">
        <f>D29+D$28</f>
        <v>7.4625704999999982</v>
      </c>
      <c r="E31" s="206">
        <f>E29</f>
        <v>4.9750469999999991</v>
      </c>
      <c r="F31" s="210">
        <f t="shared" ref="F31:G39" si="11">F17</f>
        <v>134.06208983080001</v>
      </c>
      <c r="G31" s="210">
        <f t="shared" si="11"/>
        <v>134.08000000000001</v>
      </c>
      <c r="H31" s="211"/>
    </row>
    <row r="32" spans="1:17" x14ac:dyDescent="0.25">
      <c r="A32" s="178"/>
      <c r="B32" s="209">
        <f t="shared" si="10"/>
        <v>2020</v>
      </c>
      <c r="C32" s="206">
        <f>C31+C$28</f>
        <v>9.9500939999999982</v>
      </c>
      <c r="D32" s="206">
        <f>D31+D$28</f>
        <v>9.9500939999999982</v>
      </c>
      <c r="E32" s="206">
        <f>E31</f>
        <v>4.9750469999999991</v>
      </c>
      <c r="F32" s="210">
        <f t="shared" si="11"/>
        <v>133.42247649999999</v>
      </c>
      <c r="G32" s="210">
        <f t="shared" si="11"/>
        <v>135.91</v>
      </c>
      <c r="H32" s="211"/>
    </row>
    <row r="33" spans="1:14" x14ac:dyDescent="0.25">
      <c r="A33" s="178"/>
      <c r="B33" s="209">
        <f t="shared" si="10"/>
        <v>2025</v>
      </c>
      <c r="C33" s="210">
        <f t="shared" ref="C33:E37" si="12">C19</f>
        <v>18.143999999999998</v>
      </c>
      <c r="D33" s="210">
        <f t="shared" si="12"/>
        <v>20.631523499999997</v>
      </c>
      <c r="E33" s="210">
        <f t="shared" si="12"/>
        <v>20.631523499999997</v>
      </c>
      <c r="F33" s="210">
        <f t="shared" si="11"/>
        <v>122.57847650000001</v>
      </c>
      <c r="G33" s="210">
        <f t="shared" si="11"/>
        <v>143.21</v>
      </c>
      <c r="H33" s="211"/>
    </row>
    <row r="34" spans="1:14" x14ac:dyDescent="0.25">
      <c r="A34" s="178"/>
      <c r="B34" s="209">
        <f t="shared" si="10"/>
        <v>2030</v>
      </c>
      <c r="C34" s="210">
        <f t="shared" si="12"/>
        <v>12.96</v>
      </c>
      <c r="D34" s="210">
        <f t="shared" si="12"/>
        <v>33.591523499999994</v>
      </c>
      <c r="E34" s="210">
        <f t="shared" si="12"/>
        <v>33.591523499999994</v>
      </c>
      <c r="F34" s="210">
        <f t="shared" si="11"/>
        <v>96.718476500000008</v>
      </c>
      <c r="G34" s="210">
        <f t="shared" si="11"/>
        <v>130.31</v>
      </c>
      <c r="H34" s="211"/>
    </row>
    <row r="35" spans="1:14" x14ac:dyDescent="0.25">
      <c r="A35" s="178"/>
      <c r="B35" s="209">
        <f t="shared" si="10"/>
        <v>2035</v>
      </c>
      <c r="C35" s="210">
        <f t="shared" si="12"/>
        <v>0</v>
      </c>
      <c r="D35" s="210">
        <f t="shared" si="12"/>
        <v>33.591523499999994</v>
      </c>
      <c r="E35" s="210">
        <f t="shared" si="12"/>
        <v>33.591523499999994</v>
      </c>
      <c r="F35" s="210">
        <f t="shared" si="11"/>
        <v>52.24847650000001</v>
      </c>
      <c r="G35" s="210">
        <f t="shared" si="11"/>
        <v>85.84</v>
      </c>
      <c r="H35" s="211"/>
    </row>
    <row r="36" spans="1:14" x14ac:dyDescent="0.25">
      <c r="A36" s="178"/>
      <c r="B36" s="209">
        <f t="shared" si="10"/>
        <v>2040</v>
      </c>
      <c r="C36" s="210">
        <f t="shared" si="12"/>
        <v>0</v>
      </c>
      <c r="D36" s="210">
        <f t="shared" si="12"/>
        <v>33.591523499999994</v>
      </c>
      <c r="E36" s="210">
        <f t="shared" si="12"/>
        <v>31.103999999999999</v>
      </c>
      <c r="F36" s="210">
        <f t="shared" si="11"/>
        <v>50.396000000000001</v>
      </c>
      <c r="G36" s="210">
        <f t="shared" si="11"/>
        <v>81.5</v>
      </c>
      <c r="H36" s="211"/>
    </row>
    <row r="37" spans="1:14" x14ac:dyDescent="0.25">
      <c r="A37" s="178"/>
      <c r="B37" s="209">
        <f t="shared" si="10"/>
        <v>2045</v>
      </c>
      <c r="C37" s="210">
        <f t="shared" si="12"/>
        <v>0</v>
      </c>
      <c r="D37" s="210">
        <f t="shared" si="12"/>
        <v>33.591523499999994</v>
      </c>
      <c r="E37" s="210">
        <f t="shared" si="12"/>
        <v>12.96</v>
      </c>
      <c r="F37" s="210">
        <f t="shared" si="11"/>
        <v>44.29</v>
      </c>
      <c r="G37" s="210">
        <f t="shared" si="11"/>
        <v>57.25</v>
      </c>
      <c r="H37" s="211"/>
    </row>
    <row r="38" spans="1:14" x14ac:dyDescent="0.25">
      <c r="A38" s="178"/>
      <c r="B38" s="209">
        <f t="shared" si="10"/>
        <v>2050</v>
      </c>
      <c r="C38" s="210">
        <f>C24</f>
        <v>0</v>
      </c>
      <c r="D38" s="210">
        <f>D24</f>
        <v>33.591523499999994</v>
      </c>
      <c r="E38" s="206">
        <f>E28</f>
        <v>2.4875234999999996</v>
      </c>
      <c r="F38" s="210">
        <f t="shared" si="11"/>
        <v>19.132476500000003</v>
      </c>
      <c r="G38" s="210">
        <f t="shared" si="11"/>
        <v>21.62</v>
      </c>
      <c r="H38" s="211"/>
    </row>
    <row r="39" spans="1:14" x14ac:dyDescent="0.25">
      <c r="A39" s="178"/>
      <c r="B39" s="209"/>
      <c r="C39" s="210" t="str">
        <f>C25</f>
        <v>Retrofit_p.a.</v>
      </c>
      <c r="D39" s="210" t="str">
        <f>D25</f>
        <v>Retrofit_kum</v>
      </c>
      <c r="E39" s="210" t="str">
        <f>E25</f>
        <v>Retrofit_kum15</v>
      </c>
      <c r="F39" s="210" t="str">
        <f t="shared" si="11"/>
        <v>Bestand</v>
      </c>
      <c r="G39" s="212" t="str">
        <f t="shared" si="11"/>
        <v>ALL</v>
      </c>
      <c r="H39" s="211"/>
    </row>
    <row r="40" spans="1:14" ht="15.75" thickBot="1" x14ac:dyDescent="0.3">
      <c r="A40" s="178"/>
      <c r="B40" s="213"/>
      <c r="C40" s="214" t="s">
        <v>81</v>
      </c>
      <c r="D40" s="214"/>
      <c r="E40" s="214"/>
      <c r="F40" s="214"/>
      <c r="G40" s="215"/>
      <c r="H40" s="216"/>
    </row>
    <row r="41" spans="1:14" x14ac:dyDescent="0.25">
      <c r="A41" s="178"/>
    </row>
    <row r="42" spans="1:14" x14ac:dyDescent="0.25">
      <c r="A42" s="178"/>
    </row>
    <row r="43" spans="1:14" x14ac:dyDescent="0.25">
      <c r="A43" s="178"/>
    </row>
    <row r="44" spans="1:14" x14ac:dyDescent="0.25">
      <c r="A44" s="178"/>
    </row>
    <row r="45" spans="1:14" ht="15.75" thickBot="1" x14ac:dyDescent="0.3">
      <c r="A45" s="178"/>
      <c r="B45" s="184" t="s">
        <v>82</v>
      </c>
      <c r="D45" s="175" t="s">
        <v>83</v>
      </c>
    </row>
    <row r="46" spans="1:14" x14ac:dyDescent="0.25">
      <c r="A46" s="178"/>
      <c r="B46" s="217"/>
      <c r="C46" s="218"/>
      <c r="D46" s="219">
        <f t="array" ref="D46:N46">TRANSPOSE(B28:B38)</f>
        <v>2007</v>
      </c>
      <c r="E46" s="219">
        <v>2010</v>
      </c>
      <c r="F46" s="219">
        <v>2011</v>
      </c>
      <c r="G46" s="219">
        <v>2015</v>
      </c>
      <c r="H46" s="219">
        <v>2020</v>
      </c>
      <c r="I46" s="219">
        <v>2025</v>
      </c>
      <c r="J46" s="219">
        <v>2030</v>
      </c>
      <c r="K46" s="219">
        <v>2035</v>
      </c>
      <c r="L46" s="219">
        <v>2040</v>
      </c>
      <c r="M46" s="220">
        <v>2045</v>
      </c>
      <c r="N46" s="175">
        <v>2050</v>
      </c>
    </row>
    <row r="47" spans="1:14" x14ac:dyDescent="0.25">
      <c r="A47" s="178"/>
      <c r="B47" s="221" t="s">
        <v>84</v>
      </c>
      <c r="C47" s="222" t="s">
        <v>52</v>
      </c>
      <c r="D47" s="223">
        <f t="array" ref="D47:N49">TRANSPOSE(E28:G38)</f>
        <v>2.4875234999999996</v>
      </c>
      <c r="E47" s="223">
        <v>4.9750469999999991</v>
      </c>
      <c r="F47" s="223">
        <v>4.9750469999999991</v>
      </c>
      <c r="G47" s="223">
        <v>4.9750469999999991</v>
      </c>
      <c r="H47" s="223">
        <v>4.9750469999999991</v>
      </c>
      <c r="I47" s="223">
        <v>20.631523499999997</v>
      </c>
      <c r="J47" s="223">
        <v>33.591523499999994</v>
      </c>
      <c r="K47" s="223">
        <v>33.591523499999994</v>
      </c>
      <c r="L47" s="223">
        <v>31.103999999999999</v>
      </c>
      <c r="M47" s="224">
        <v>12.96</v>
      </c>
      <c r="N47" s="224">
        <v>2.4875234999999996</v>
      </c>
    </row>
    <row r="48" spans="1:14" x14ac:dyDescent="0.25">
      <c r="A48" s="178"/>
      <c r="B48" s="229" t="s">
        <v>85</v>
      </c>
      <c r="C48" s="230" t="s">
        <v>52</v>
      </c>
      <c r="D48" s="225">
        <v>163.34737649999997</v>
      </c>
      <c r="E48" s="225">
        <v>144.98240300000001</v>
      </c>
      <c r="F48" s="225">
        <v>142.79834036616001</v>
      </c>
      <c r="G48" s="225">
        <v>134.06208983080001</v>
      </c>
      <c r="H48" s="225">
        <v>133.42247649999999</v>
      </c>
      <c r="I48" s="225">
        <v>122.57847650000001</v>
      </c>
      <c r="J48" s="225">
        <v>96.718476500000008</v>
      </c>
      <c r="K48" s="225">
        <v>52.24847650000001</v>
      </c>
      <c r="L48" s="225">
        <v>50.396000000000001</v>
      </c>
      <c r="M48" s="226">
        <v>44.29</v>
      </c>
      <c r="N48" s="226">
        <v>19.132476500000003</v>
      </c>
    </row>
    <row r="49" spans="1:14" ht="15.75" thickBot="1" x14ac:dyDescent="0.3">
      <c r="A49" s="178"/>
      <c r="B49" s="231" t="s">
        <v>86</v>
      </c>
      <c r="C49" s="232" t="s">
        <v>52</v>
      </c>
      <c r="D49" s="227">
        <v>165.83489999999998</v>
      </c>
      <c r="E49" s="227">
        <v>149.95744999999999</v>
      </c>
      <c r="F49" s="227">
        <v>146.78196</v>
      </c>
      <c r="G49" s="227">
        <v>134.08000000000001</v>
      </c>
      <c r="H49" s="227">
        <v>135.91</v>
      </c>
      <c r="I49" s="227">
        <v>143.21</v>
      </c>
      <c r="J49" s="227">
        <v>130.31</v>
      </c>
      <c r="K49" s="227">
        <v>85.84</v>
      </c>
      <c r="L49" s="227">
        <v>81.5</v>
      </c>
      <c r="M49" s="228">
        <v>57.25</v>
      </c>
      <c r="N49" s="228">
        <v>21.62</v>
      </c>
    </row>
    <row r="50" spans="1:14" x14ac:dyDescent="0.25">
      <c r="A50" s="178"/>
      <c r="B50" s="217"/>
      <c r="C50" s="218"/>
      <c r="D50" s="219">
        <f>D46</f>
        <v>2007</v>
      </c>
      <c r="E50" s="219">
        <f t="shared" ref="E50:M50" si="13">E46</f>
        <v>2010</v>
      </c>
      <c r="F50" s="219">
        <f t="shared" si="13"/>
        <v>2011</v>
      </c>
      <c r="G50" s="219">
        <f t="shared" si="13"/>
        <v>2015</v>
      </c>
      <c r="H50" s="219">
        <f t="shared" si="13"/>
        <v>2020</v>
      </c>
      <c r="I50" s="219">
        <f t="shared" si="13"/>
        <v>2025</v>
      </c>
      <c r="J50" s="219">
        <f t="shared" si="13"/>
        <v>2030</v>
      </c>
      <c r="K50" s="219">
        <f t="shared" si="13"/>
        <v>2035</v>
      </c>
      <c r="L50" s="219">
        <f t="shared" si="13"/>
        <v>2040</v>
      </c>
      <c r="M50" s="220">
        <f t="shared" si="13"/>
        <v>2045</v>
      </c>
    </row>
    <row r="51" spans="1:14" x14ac:dyDescent="0.25">
      <c r="A51" s="178"/>
      <c r="B51" s="221" t="s">
        <v>87</v>
      </c>
      <c r="C51" s="222" t="s">
        <v>52</v>
      </c>
      <c r="D51" s="223">
        <f>D47/$D47</f>
        <v>1</v>
      </c>
      <c r="E51" s="233">
        <f>E47/$D47</f>
        <v>2</v>
      </c>
      <c r="F51" s="233">
        <f>F47/$F47</f>
        <v>1</v>
      </c>
      <c r="G51" s="233">
        <f t="shared" ref="G51:N51" si="14">G47/$F47</f>
        <v>1</v>
      </c>
      <c r="H51" s="233">
        <f t="shared" si="14"/>
        <v>1</v>
      </c>
      <c r="I51" s="233">
        <f t="shared" si="14"/>
        <v>4.1470007218022262</v>
      </c>
      <c r="J51" s="233">
        <f t="shared" si="14"/>
        <v>6.7520012373752447</v>
      </c>
      <c r="K51" s="233">
        <f t="shared" si="14"/>
        <v>6.7520012373752447</v>
      </c>
      <c r="L51" s="233">
        <f t="shared" si="14"/>
        <v>6.2520012373752456</v>
      </c>
      <c r="M51" s="233">
        <f t="shared" si="14"/>
        <v>2.6050005155730194</v>
      </c>
      <c r="N51" s="233">
        <f t="shared" si="14"/>
        <v>0.5</v>
      </c>
    </row>
    <row r="52" spans="1:14" x14ac:dyDescent="0.25">
      <c r="A52" s="178"/>
      <c r="B52" s="229" t="s">
        <v>88</v>
      </c>
      <c r="C52" s="230" t="s">
        <v>52</v>
      </c>
      <c r="D52" s="225">
        <f t="shared" ref="D52:E53" si="15">D48/$D48</f>
        <v>1</v>
      </c>
      <c r="E52" s="234">
        <f>E48/$D48</f>
        <v>0.88757105321492591</v>
      </c>
      <c r="F52" s="234">
        <f>F48/$F48</f>
        <v>1</v>
      </c>
      <c r="G52" s="234">
        <f t="shared" ref="G52:N52" si="16">G48/$F48</f>
        <v>0.93882106393562614</v>
      </c>
      <c r="H52" s="234">
        <f t="shared" si="16"/>
        <v>0.93434192692913198</v>
      </c>
      <c r="I52" s="234">
        <f t="shared" si="16"/>
        <v>0.85840266900642737</v>
      </c>
      <c r="J52" s="234">
        <f t="shared" si="16"/>
        <v>0.67730812733535184</v>
      </c>
      <c r="K52" s="234">
        <f t="shared" si="16"/>
        <v>0.36588994218018045</v>
      </c>
      <c r="L52" s="234">
        <f t="shared" si="16"/>
        <v>0.35291726690083242</v>
      </c>
      <c r="M52" s="234">
        <f t="shared" si="16"/>
        <v>0.31015766630363256</v>
      </c>
      <c r="N52" s="234">
        <f t="shared" si="16"/>
        <v>0.13398248502707366</v>
      </c>
    </row>
    <row r="53" spans="1:14" ht="15.75" thickBot="1" x14ac:dyDescent="0.3">
      <c r="A53" s="178"/>
      <c r="B53" s="231" t="s">
        <v>89</v>
      </c>
      <c r="C53" s="232" t="s">
        <v>52</v>
      </c>
      <c r="D53" s="227">
        <f t="shared" si="15"/>
        <v>1</v>
      </c>
      <c r="E53" s="235">
        <f t="shared" si="15"/>
        <v>0.90425748741670187</v>
      </c>
      <c r="F53" s="235">
        <f>F49/$F49</f>
        <v>1</v>
      </c>
      <c r="G53" s="235">
        <f t="shared" ref="G53:N53" si="17">G49/$F49</f>
        <v>0.91346375263009172</v>
      </c>
      <c r="H53" s="235">
        <f t="shared" si="17"/>
        <v>0.92593122479083945</v>
      </c>
      <c r="I53" s="235">
        <f t="shared" si="17"/>
        <v>0.97566485690748384</v>
      </c>
      <c r="J53" s="235">
        <f t="shared" si="17"/>
        <v>0.88777939741368761</v>
      </c>
      <c r="K53" s="235">
        <f t="shared" si="17"/>
        <v>0.58481301108119832</v>
      </c>
      <c r="L53" s="235">
        <f t="shared" si="17"/>
        <v>0.55524534486390564</v>
      </c>
      <c r="M53" s="235">
        <f t="shared" si="17"/>
        <v>0.39003430666820366</v>
      </c>
      <c r="N53" s="235">
        <f t="shared" si="17"/>
        <v>0.14729330498107535</v>
      </c>
    </row>
    <row r="54" spans="1:14" x14ac:dyDescent="0.25">
      <c r="A54" s="178"/>
      <c r="B54" s="236" t="s">
        <v>90</v>
      </c>
      <c r="C54" s="237" t="s">
        <v>52</v>
      </c>
      <c r="D54" s="238">
        <f>D53</f>
        <v>1</v>
      </c>
      <c r="E54" s="239">
        <f>E52</f>
        <v>0.88757105321492591</v>
      </c>
      <c r="F54" s="239">
        <f>F52</f>
        <v>1</v>
      </c>
      <c r="G54" s="239">
        <f>G52*0.9</f>
        <v>0.8449389575420635</v>
      </c>
      <c r="H54" s="239">
        <f t="shared" ref="H54:M54" si="18">G54*0.5</f>
        <v>0.42246947877103175</v>
      </c>
      <c r="I54" s="239">
        <f t="shared" si="18"/>
        <v>0.21123473938551587</v>
      </c>
      <c r="J54" s="239">
        <f t="shared" si="18"/>
        <v>0.10561736969275794</v>
      </c>
      <c r="K54" s="239">
        <f t="shared" si="18"/>
        <v>5.2808684846378968E-2</v>
      </c>
      <c r="L54" s="239">
        <f t="shared" si="18"/>
        <v>2.6404342423189484E-2</v>
      </c>
      <c r="M54" s="240">
        <f t="shared" si="18"/>
        <v>1.3202171211594742E-2</v>
      </c>
    </row>
    <row r="55" spans="1:14" x14ac:dyDescent="0.25">
      <c r="A55" s="178"/>
      <c r="B55" s="241" t="s">
        <v>91</v>
      </c>
      <c r="C55" s="242"/>
      <c r="D55" s="243">
        <f>D50</f>
        <v>2007</v>
      </c>
      <c r="E55" s="243">
        <f t="shared" ref="E55:M55" si="19">E50</f>
        <v>2010</v>
      </c>
      <c r="F55" s="243">
        <f t="shared" si="19"/>
        <v>2011</v>
      </c>
      <c r="G55" s="243">
        <f t="shared" si="19"/>
        <v>2015</v>
      </c>
      <c r="H55" s="243">
        <f t="shared" si="19"/>
        <v>2020</v>
      </c>
      <c r="I55" s="243">
        <f t="shared" si="19"/>
        <v>2025</v>
      </c>
      <c r="J55" s="243">
        <f t="shared" si="19"/>
        <v>2030</v>
      </c>
      <c r="K55" s="243">
        <f t="shared" si="19"/>
        <v>2035</v>
      </c>
      <c r="L55" s="243">
        <f t="shared" si="19"/>
        <v>2040</v>
      </c>
      <c r="M55" s="244">
        <f t="shared" si="19"/>
        <v>2045</v>
      </c>
    </row>
    <row r="56" spans="1:14" x14ac:dyDescent="0.25">
      <c r="A56" s="178"/>
      <c r="B56" s="245" t="s">
        <v>92</v>
      </c>
      <c r="C56" s="246" t="s">
        <v>52</v>
      </c>
      <c r="D56" s="210">
        <f t="array" ref="D56:M56">TRANSPOSE([4]eletwhyr.p!$E$7:$E$16)</f>
        <v>165.83490053021612</v>
      </c>
      <c r="E56" s="210">
        <v>162.0263768231174</v>
      </c>
      <c r="F56" s="210">
        <v>145.42847455484562</v>
      </c>
      <c r="G56" s="210">
        <v>130.37793627089818</v>
      </c>
      <c r="H56" s="210">
        <v>98.647151652917202</v>
      </c>
      <c r="I56" s="210">
        <v>70.792443720797579</v>
      </c>
      <c r="J56" s="210">
        <v>41.325581308533799</v>
      </c>
      <c r="K56" s="210">
        <v>21.402625742028384</v>
      </c>
      <c r="L56" s="210">
        <v>11.681478548349375</v>
      </c>
      <c r="M56" s="247">
        <v>5.3653401247276138</v>
      </c>
      <c r="N56" s="247"/>
    </row>
    <row r="57" spans="1:14" x14ac:dyDescent="0.25">
      <c r="A57" s="178"/>
      <c r="B57" s="248" t="s">
        <v>93</v>
      </c>
      <c r="C57" s="249" t="s">
        <v>52</v>
      </c>
      <c r="D57" s="250">
        <f>D56/$D56</f>
        <v>1</v>
      </c>
      <c r="E57" s="251">
        <f>E56/$D56</f>
        <v>0.97703424493323243</v>
      </c>
      <c r="F57" s="251">
        <f t="shared" ref="F57:L57" si="20">F56/$D56</f>
        <v>0.87694733792388702</v>
      </c>
      <c r="G57" s="251">
        <f t="shared" si="20"/>
        <v>0.78619118083133854</v>
      </c>
      <c r="H57" s="251">
        <f t="shared" si="20"/>
        <v>0.59485157429176438</v>
      </c>
      <c r="I57" s="251">
        <f t="shared" si="20"/>
        <v>0.42688507361512101</v>
      </c>
      <c r="J57" s="251">
        <f t="shared" si="20"/>
        <v>0.24919713025669182</v>
      </c>
      <c r="K57" s="251">
        <f t="shared" si="20"/>
        <v>0.12905984007949339</v>
      </c>
      <c r="L57" s="251">
        <f t="shared" si="20"/>
        <v>7.044041098104642E-2</v>
      </c>
      <c r="M57" s="252">
        <f>M56/$D56</f>
        <v>3.2353504042715163E-2</v>
      </c>
      <c r="N57" s="252"/>
    </row>
    <row r="58" spans="1:14" x14ac:dyDescent="0.25">
      <c r="A58" s="178"/>
      <c r="B58" s="245" t="s">
        <v>94</v>
      </c>
      <c r="C58" s="246" t="s">
        <v>52</v>
      </c>
      <c r="D58" s="253">
        <f>D57</f>
        <v>1</v>
      </c>
      <c r="E58" s="210">
        <f>E57</f>
        <v>0.97703424493323243</v>
      </c>
      <c r="F58" s="210">
        <f>F57</f>
        <v>0.87694733792388702</v>
      </c>
      <c r="G58" s="210">
        <f>G57*0.9</f>
        <v>0.70757206274820472</v>
      </c>
      <c r="H58" s="210">
        <f t="shared" ref="H58:M58" si="21">G58*0.5</f>
        <v>0.35378603137410236</v>
      </c>
      <c r="I58" s="210">
        <f t="shared" si="21"/>
        <v>0.17689301568705118</v>
      </c>
      <c r="J58" s="210">
        <f t="shared" si="21"/>
        <v>8.844650784352559E-2</v>
      </c>
      <c r="K58" s="210">
        <f t="shared" si="21"/>
        <v>4.4223253921762795E-2</v>
      </c>
      <c r="L58" s="210">
        <f t="shared" si="21"/>
        <v>2.2111626960881398E-2</v>
      </c>
      <c r="M58" s="247">
        <f t="shared" si="21"/>
        <v>1.1055813480440699E-2</v>
      </c>
      <c r="N58" s="247"/>
    </row>
    <row r="59" spans="1:14" x14ac:dyDescent="0.25">
      <c r="A59" s="178"/>
      <c r="B59" s="254" t="s">
        <v>95</v>
      </c>
      <c r="C59" s="255" t="s">
        <v>52</v>
      </c>
      <c r="D59" s="256">
        <f>D58</f>
        <v>1</v>
      </c>
      <c r="E59" s="257">
        <f>E53</f>
        <v>0.90425748741670187</v>
      </c>
      <c r="F59" s="257">
        <f>F57*1.1</f>
        <v>0.96464207171627581</v>
      </c>
      <c r="G59" s="257">
        <f>G57*1.12</f>
        <v>0.88053412253109931</v>
      </c>
      <c r="H59" s="257">
        <f t="shared" ref="H59:M59" si="22">H57*1.25</f>
        <v>0.74356446786470554</v>
      </c>
      <c r="I59" s="257">
        <f t="shared" si="22"/>
        <v>0.53360634201890123</v>
      </c>
      <c r="J59" s="257">
        <f t="shared" si="22"/>
        <v>0.31149641282086477</v>
      </c>
      <c r="K59" s="257">
        <f t="shared" si="22"/>
        <v>0.16132480009936673</v>
      </c>
      <c r="L59" s="257">
        <f t="shared" si="22"/>
        <v>8.8050513726308025E-2</v>
      </c>
      <c r="M59" s="258">
        <f t="shared" si="22"/>
        <v>4.0441880053393955E-2</v>
      </c>
      <c r="N59" s="258"/>
    </row>
    <row r="60" spans="1:14" x14ac:dyDescent="0.25">
      <c r="A60" s="178"/>
    </row>
    <row r="61" spans="1:14" x14ac:dyDescent="0.25">
      <c r="A61" s="178"/>
      <c r="B61" s="245" t="s">
        <v>96</v>
      </c>
      <c r="C61" s="246" t="s">
        <v>52</v>
      </c>
      <c r="D61" s="210">
        <f t="array" ref="D61:M61">TRANSPOSE([4]eletwhyr.p!$B$7:$B$16)</f>
        <v>163.34737703021611</v>
      </c>
      <c r="E61" s="210">
        <v>153.84744996116908</v>
      </c>
      <c r="F61" s="210">
        <v>145.42847455484562</v>
      </c>
      <c r="G61" s="210">
        <v>130.37793627089818</v>
      </c>
      <c r="H61" s="210">
        <v>98.647151652917202</v>
      </c>
      <c r="I61" s="210">
        <v>70.792443720797579</v>
      </c>
      <c r="J61" s="210">
        <v>41.325581308533799</v>
      </c>
      <c r="K61" s="210">
        <v>21.402625742028384</v>
      </c>
      <c r="L61" s="210">
        <v>11.681478548349375</v>
      </c>
      <c r="M61" s="247">
        <v>5.3653401247276138</v>
      </c>
    </row>
    <row r="62" spans="1:14" x14ac:dyDescent="0.25">
      <c r="A62" s="178"/>
      <c r="B62" s="248" t="s">
        <v>97</v>
      </c>
      <c r="C62" s="249" t="s">
        <v>52</v>
      </c>
      <c r="D62" s="250">
        <f t="shared" ref="D62:M62" si="23">D61/$D61</f>
        <v>1</v>
      </c>
      <c r="E62" s="259">
        <f t="shared" si="23"/>
        <v>0.94184218172484191</v>
      </c>
      <c r="F62" s="259">
        <f t="shared" si="23"/>
        <v>0.89030186586922766</v>
      </c>
      <c r="G62" s="259">
        <f t="shared" si="23"/>
        <v>0.79816363532290313</v>
      </c>
      <c r="H62" s="259">
        <f t="shared" si="23"/>
        <v>0.60391022767797109</v>
      </c>
      <c r="I62" s="259">
        <f t="shared" si="23"/>
        <v>0.43338586151709274</v>
      </c>
      <c r="J62" s="259">
        <f t="shared" si="23"/>
        <v>0.25299201040056718</v>
      </c>
      <c r="K62" s="259">
        <f t="shared" si="23"/>
        <v>0.13102521834843611</v>
      </c>
      <c r="L62" s="259">
        <f t="shared" si="23"/>
        <v>7.1513107591489072E-2</v>
      </c>
      <c r="M62" s="260">
        <f t="shared" si="23"/>
        <v>3.2846196996081115E-2</v>
      </c>
    </row>
    <row r="63" spans="1:14" x14ac:dyDescent="0.25">
      <c r="A63" s="178"/>
      <c r="B63" s="248" t="s">
        <v>97</v>
      </c>
      <c r="C63" s="249" t="s">
        <v>52</v>
      </c>
      <c r="D63" s="250">
        <f>D62/$D62</f>
        <v>1</v>
      </c>
      <c r="E63" s="259">
        <f>1.05*E62/$D62</f>
        <v>0.98893429081108408</v>
      </c>
      <c r="F63" s="259">
        <f t="shared" ref="F63:K63" si="24">1.05*F62/$D62</f>
        <v>0.93481695916268903</v>
      </c>
      <c r="G63" s="259">
        <f t="shared" si="24"/>
        <v>0.83807181708904832</v>
      </c>
      <c r="H63" s="259">
        <f t="shared" si="24"/>
        <v>0.63410573906186962</v>
      </c>
      <c r="I63" s="259">
        <f t="shared" si="24"/>
        <v>0.45505515459294738</v>
      </c>
      <c r="J63" s="259">
        <f t="shared" si="24"/>
        <v>0.26564161092059557</v>
      </c>
      <c r="K63" s="259">
        <f t="shared" si="24"/>
        <v>0.13757647926585792</v>
      </c>
      <c r="L63" s="259">
        <f>K63/2</f>
        <v>6.878823963292896E-2</v>
      </c>
      <c r="M63" s="259">
        <f>L63/2</f>
        <v>3.439411981646448E-2</v>
      </c>
    </row>
    <row r="64" spans="1:14" x14ac:dyDescent="0.25">
      <c r="A64" s="178"/>
      <c r="D64" s="187">
        <f>D62</f>
        <v>1</v>
      </c>
      <c r="E64" s="186">
        <f>E62</f>
        <v>0.94184218172484191</v>
      </c>
      <c r="F64" s="186">
        <f>F62*0.8</f>
        <v>0.71224149269538217</v>
      </c>
      <c r="G64" s="186">
        <f t="shared" ref="G64:M64" si="25">G62*0.8</f>
        <v>0.63853090825832259</v>
      </c>
      <c r="H64" s="186">
        <f t="shared" si="25"/>
        <v>0.48312818214237691</v>
      </c>
      <c r="I64" s="186">
        <f t="shared" si="25"/>
        <v>0.3467086892136742</v>
      </c>
      <c r="J64" s="186">
        <f t="shared" si="25"/>
        <v>0.20239360832045375</v>
      </c>
      <c r="K64" s="186">
        <f t="shared" si="25"/>
        <v>0.10482017467874889</v>
      </c>
      <c r="L64" s="186">
        <f t="shared" si="25"/>
        <v>5.7210486073191263E-2</v>
      </c>
      <c r="M64" s="186">
        <f t="shared" si="25"/>
        <v>2.6276957596864894E-2</v>
      </c>
    </row>
    <row r="65" spans="1:13" x14ac:dyDescent="0.25">
      <c r="A65" s="178"/>
      <c r="B65" s="261" t="s">
        <v>53</v>
      </c>
      <c r="C65" s="261"/>
      <c r="D65" s="261"/>
      <c r="E65" s="261"/>
    </row>
    <row r="66" spans="1:13" x14ac:dyDescent="0.25">
      <c r="A66" s="178"/>
      <c r="B66" s="261" t="s">
        <v>98</v>
      </c>
      <c r="C66" s="261"/>
      <c r="D66" s="261"/>
      <c r="E66" s="261"/>
    </row>
    <row r="67" spans="1:13" x14ac:dyDescent="0.25">
      <c r="A67" s="178"/>
      <c r="B67" s="262" t="s">
        <v>99</v>
      </c>
      <c r="C67" s="263"/>
      <c r="D67" s="263"/>
      <c r="E67" s="263"/>
    </row>
    <row r="68" spans="1:13" x14ac:dyDescent="0.25">
      <c r="A68" s="178"/>
      <c r="B68" s="264"/>
      <c r="C68" s="242"/>
      <c r="D68" s="243">
        <f t="shared" ref="D68:M68" si="26">D46</f>
        <v>2007</v>
      </c>
      <c r="E68" s="243">
        <f t="shared" si="26"/>
        <v>2010</v>
      </c>
      <c r="F68" s="243">
        <f t="shared" si="26"/>
        <v>2011</v>
      </c>
      <c r="G68" s="243">
        <f t="shared" si="26"/>
        <v>2015</v>
      </c>
      <c r="H68" s="243">
        <f t="shared" si="26"/>
        <v>2020</v>
      </c>
      <c r="I68" s="243">
        <f t="shared" si="26"/>
        <v>2025</v>
      </c>
      <c r="J68" s="243">
        <f t="shared" si="26"/>
        <v>2030</v>
      </c>
      <c r="K68" s="243">
        <f t="shared" si="26"/>
        <v>2035</v>
      </c>
      <c r="L68" s="243">
        <f t="shared" si="26"/>
        <v>2040</v>
      </c>
      <c r="M68" s="244">
        <f t="shared" si="26"/>
        <v>2045</v>
      </c>
    </row>
    <row r="69" spans="1:13" x14ac:dyDescent="0.25">
      <c r="A69" s="178"/>
      <c r="B69" s="265" t="s">
        <v>100</v>
      </c>
      <c r="C69" s="246" t="s">
        <v>52</v>
      </c>
      <c r="D69" s="266">
        <f>E69</f>
        <v>21885.299999999996</v>
      </c>
      <c r="E69" s="267">
        <f>[5]Res_Kap!E2</f>
        <v>21885.299999999996</v>
      </c>
      <c r="F69" s="212">
        <f>[5]Res_Kap!F2</f>
        <v>21635.299999999996</v>
      </c>
      <c r="G69" s="212">
        <f>[5]Res_Kap!G2</f>
        <v>20061.099999999999</v>
      </c>
      <c r="H69" s="212">
        <f>[5]Res_Kap!H2</f>
        <v>16441.099999999999</v>
      </c>
      <c r="I69" s="212">
        <f>[5]Res_Kap!I2</f>
        <v>14638.099999999999</v>
      </c>
      <c r="J69" s="212">
        <f>[5]Res_Kap!J2</f>
        <v>10909.4</v>
      </c>
      <c r="K69" s="212">
        <f>[5]Res_Kap!K2</f>
        <v>10457.1</v>
      </c>
      <c r="L69" s="212">
        <f>[5]Res_Kap!L2</f>
        <v>10043</v>
      </c>
      <c r="M69" s="268">
        <f>[5]Res_Kap!M2</f>
        <v>5641</v>
      </c>
    </row>
    <row r="70" spans="1:13" x14ac:dyDescent="0.25">
      <c r="A70" s="178"/>
      <c r="B70" s="245" t="s">
        <v>101</v>
      </c>
      <c r="C70" s="246" t="s">
        <v>52</v>
      </c>
      <c r="D70" s="269">
        <f t="shared" ref="D70:M70" si="27">D69/$D69</f>
        <v>1</v>
      </c>
      <c r="E70" s="210">
        <f t="shared" si="27"/>
        <v>1</v>
      </c>
      <c r="F70" s="210">
        <f t="shared" si="27"/>
        <v>0.98857680726332287</v>
      </c>
      <c r="G70" s="210">
        <f t="shared" si="27"/>
        <v>0.91664724723901447</v>
      </c>
      <c r="H70" s="210">
        <f t="shared" si="27"/>
        <v>0.75123941641192959</v>
      </c>
      <c r="I70" s="210">
        <f t="shared" si="27"/>
        <v>0.66885535039501409</v>
      </c>
      <c r="J70" s="210">
        <f t="shared" si="27"/>
        <v>0.49848071536602201</v>
      </c>
      <c r="K70" s="210">
        <f t="shared" si="27"/>
        <v>0.47781387506682577</v>
      </c>
      <c r="L70" s="210">
        <f t="shared" si="27"/>
        <v>0.4588924986177938</v>
      </c>
      <c r="M70" s="247">
        <f t="shared" si="27"/>
        <v>0.25775292091038282</v>
      </c>
    </row>
    <row r="71" spans="1:13" x14ac:dyDescent="0.25">
      <c r="A71" s="178"/>
      <c r="B71" s="270"/>
      <c r="C71" s="255"/>
      <c r="D71" s="271"/>
      <c r="E71" s="271"/>
      <c r="F71" s="271"/>
      <c r="G71" s="271"/>
      <c r="H71" s="271"/>
      <c r="I71" s="271"/>
      <c r="J71" s="271"/>
      <c r="K71" s="271"/>
      <c r="L71" s="271"/>
      <c r="M71" s="272"/>
    </row>
    <row r="72" spans="1:13" x14ac:dyDescent="0.25">
      <c r="A72" s="178"/>
    </row>
    <row r="73" spans="1:13" x14ac:dyDescent="0.25">
      <c r="A73" s="178"/>
    </row>
    <row r="74" spans="1:13" x14ac:dyDescent="0.25">
      <c r="A74" s="178"/>
    </row>
    <row r="75" spans="1:13" x14ac:dyDescent="0.25">
      <c r="A75" s="178"/>
    </row>
    <row r="76" spans="1:13" x14ac:dyDescent="0.25">
      <c r="A76" s="178"/>
    </row>
    <row r="77" spans="1:13" x14ac:dyDescent="0.25">
      <c r="A77" s="178"/>
    </row>
    <row r="78" spans="1:13" x14ac:dyDescent="0.25">
      <c r="A78" s="178"/>
    </row>
  </sheetData>
  <mergeCells count="2">
    <mergeCell ref="H28:H29"/>
    <mergeCell ref="A1:G2"/>
  </mergeCells>
  <conditionalFormatting sqref="D69:M70">
    <cfRule type="cellIs" dxfId="3" priority="1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85" zoomScaleNormal="85" workbookViewId="0">
      <selection activeCell="J10" sqref="J10"/>
    </sheetView>
  </sheetViews>
  <sheetFormatPr defaultColWidth="11.42578125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9" width="11.42578125" style="175"/>
    <col min="10" max="10" width="13.7109375" style="175" bestFit="1" customWidth="1"/>
    <col min="11" max="11" width="12.7109375" style="175" bestFit="1" customWidth="1"/>
    <col min="12" max="16384" width="11.42578125" style="175"/>
  </cols>
  <sheetData>
    <row r="1" spans="1:19" x14ac:dyDescent="0.25">
      <c r="A1" s="300" t="s">
        <v>108</v>
      </c>
      <c r="B1" s="300"/>
      <c r="C1" s="300"/>
      <c r="D1" s="300"/>
      <c r="E1" s="300"/>
      <c r="F1" s="300"/>
      <c r="G1" s="300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300"/>
      <c r="B2" s="300"/>
      <c r="C2" s="300"/>
      <c r="D2" s="300"/>
      <c r="E2" s="300"/>
      <c r="F2" s="300"/>
      <c r="G2" s="300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>
        <f>C28</f>
        <v>2.4875234999999996</v>
      </c>
      <c r="D6" s="186">
        <f>D28</f>
        <v>2.4875234999999996</v>
      </c>
      <c r="E6" s="186">
        <f>E28</f>
        <v>2.4875234999999996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SUM([2]PlantInv_REF!P3)</f>
        <v>0</v>
      </c>
      <c r="D7" s="189">
        <f>C7</f>
        <v>0</v>
      </c>
      <c r="E7" s="189">
        <f>SUM(C4:C7)</f>
        <v>2.4875234999999996</v>
      </c>
      <c r="F7" s="189"/>
      <c r="G7" s="188">
        <f>[2]Powerall_REF!$BD29*1000</f>
        <v>20508.900000000001</v>
      </c>
      <c r="J7" s="189">
        <f t="array" ref="J7:Q7">TRANSPOSE(F7:F14)</f>
        <v>0</v>
      </c>
      <c r="K7" s="189">
        <v>0</v>
      </c>
      <c r="L7" s="189">
        <v>0</v>
      </c>
      <c r="M7" s="189">
        <v>0</v>
      </c>
      <c r="N7" s="189">
        <v>0</v>
      </c>
      <c r="O7" s="189">
        <v>0</v>
      </c>
      <c r="P7" s="189">
        <v>0</v>
      </c>
      <c r="Q7" s="189">
        <v>0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SUM([2]PlantInv_REF!P4)</f>
        <v>0</v>
      </c>
      <c r="D8" s="189">
        <f t="shared" ref="D8:D14" si="2">C8+D7</f>
        <v>0</v>
      </c>
      <c r="E8" s="189">
        <f>SUM(C5:C8)</f>
        <v>2.4875234999999996</v>
      </c>
      <c r="F8" s="189"/>
      <c r="G8" s="188">
        <f>[2]Powerall_REF!$BD30*1000</f>
        <v>18934.7</v>
      </c>
    </row>
    <row r="9" spans="1:19" x14ac:dyDescent="0.25">
      <c r="A9" s="178"/>
      <c r="B9" s="175">
        <f t="shared" ref="B9:B14" si="3">B8+5</f>
        <v>2025</v>
      </c>
      <c r="C9" s="188">
        <f>SUM([2]PlantInv_REF!P5)</f>
        <v>0</v>
      </c>
      <c r="D9" s="189">
        <f t="shared" si="2"/>
        <v>0</v>
      </c>
      <c r="E9" s="189">
        <f>SUM(C5:C9)</f>
        <v>2.4875234999999996</v>
      </c>
      <c r="F9" s="189"/>
      <c r="G9" s="188">
        <f>[2]Powerall_REF!$BD31*1000</f>
        <v>18934.7</v>
      </c>
    </row>
    <row r="10" spans="1:19" x14ac:dyDescent="0.25">
      <c r="A10" s="178"/>
      <c r="B10" s="175">
        <f t="shared" si="3"/>
        <v>2030</v>
      </c>
      <c r="C10" s="188">
        <f>SUM([2]PlantInv_REF!P6)</f>
        <v>1940</v>
      </c>
      <c r="D10" s="189">
        <f t="shared" si="2"/>
        <v>1940</v>
      </c>
      <c r="E10" s="189">
        <f>SUM(C7:C10)</f>
        <v>1940</v>
      </c>
      <c r="F10" s="189"/>
      <c r="G10" s="188">
        <f>[2]Powerall_REF!$BD32*1000</f>
        <v>20871.7</v>
      </c>
    </row>
    <row r="11" spans="1:19" x14ac:dyDescent="0.25">
      <c r="A11" s="178"/>
      <c r="B11" s="175">
        <f t="shared" si="3"/>
        <v>2035</v>
      </c>
      <c r="C11" s="188">
        <f>SUM([2]PlantInv_REF!P7)</f>
        <v>3880</v>
      </c>
      <c r="D11" s="189">
        <f t="shared" si="2"/>
        <v>5820</v>
      </c>
      <c r="E11" s="189">
        <f>SUM(C8:C11)</f>
        <v>5820</v>
      </c>
      <c r="F11" s="189"/>
      <c r="G11" s="188">
        <f>[2]Powerall_REF!$BD33*1000</f>
        <v>21023</v>
      </c>
    </row>
    <row r="12" spans="1:19" x14ac:dyDescent="0.25">
      <c r="A12" s="178"/>
      <c r="B12" s="175">
        <f t="shared" si="3"/>
        <v>2040</v>
      </c>
      <c r="C12" s="188">
        <f>SUM([2]PlantInv_REF!P8)</f>
        <v>0</v>
      </c>
      <c r="D12" s="189">
        <f t="shared" si="2"/>
        <v>5820</v>
      </c>
      <c r="E12" s="189">
        <f>SUM(C9:C12)</f>
        <v>5820</v>
      </c>
      <c r="F12" s="189"/>
      <c r="G12" s="188">
        <f>[2]Powerall_REF!$BD34*1000</f>
        <v>18050.7</v>
      </c>
      <c r="K12" s="175" t="s">
        <v>102</v>
      </c>
    </row>
    <row r="13" spans="1:19" x14ac:dyDescent="0.25">
      <c r="A13" s="178"/>
      <c r="B13" s="175">
        <f t="shared" si="3"/>
        <v>2045</v>
      </c>
      <c r="C13" s="188">
        <f>SUM([2]PlantInv_REF!P9)</f>
        <v>2937.73</v>
      </c>
      <c r="D13" s="189">
        <f t="shared" si="2"/>
        <v>8757.73</v>
      </c>
      <c r="E13" s="189">
        <f>SUM(C10:C13)</f>
        <v>8757.73</v>
      </c>
      <c r="F13" s="189"/>
      <c r="G13" s="188">
        <f>[2]Powerall_REF!$BD35*1000</f>
        <v>18800.73</v>
      </c>
      <c r="K13" s="277">
        <f>[3]ele_prod_bw!$C$19</f>
        <v>1.6751000000000147</v>
      </c>
    </row>
    <row r="14" spans="1:19" x14ac:dyDescent="0.25">
      <c r="A14" s="178"/>
      <c r="B14" s="175">
        <f t="shared" si="3"/>
        <v>2050</v>
      </c>
      <c r="C14" s="188">
        <f>SUM([2]PlantInv_REF!P10)</f>
        <v>5080.59</v>
      </c>
      <c r="D14" s="189">
        <f t="shared" si="2"/>
        <v>13838.32</v>
      </c>
      <c r="E14" s="189">
        <f>SUM(C11:C14)</f>
        <v>11898.32</v>
      </c>
      <c r="F14" s="189"/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  <c r="K15" s="175">
        <f>K16</f>
        <v>1</v>
      </c>
      <c r="L15" s="175">
        <v>2007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  <c r="K16" s="175">
        <f>K17</f>
        <v>1</v>
      </c>
      <c r="L16" s="175">
        <v>2010</v>
      </c>
    </row>
    <row r="17" spans="1:17" x14ac:dyDescent="0.25">
      <c r="A17" s="178"/>
      <c r="B17" s="175">
        <f t="shared" ref="B17:B24" si="4">B7</f>
        <v>2015</v>
      </c>
      <c r="C17" s="194">
        <f t="shared" ref="C17:C24" si="5">C7*$H17/1000000</f>
        <v>0</v>
      </c>
      <c r="D17" s="194">
        <f>C17+D16</f>
        <v>0</v>
      </c>
      <c r="E17" s="194">
        <f>E7*$H17/1000000</f>
        <v>1.7910169199999996E-2</v>
      </c>
      <c r="F17" s="194"/>
      <c r="G17" s="274">
        <f>[2]ProdDE_REF!$G16</f>
        <v>0</v>
      </c>
      <c r="H17" s="182">
        <v>7200</v>
      </c>
      <c r="J17" s="277">
        <f t="shared" ref="J17:J24" si="6">$K$13+G17</f>
        <v>1.6751000000000147</v>
      </c>
      <c r="K17" s="175">
        <f>J17/$J$17</f>
        <v>1</v>
      </c>
      <c r="L17" s="175">
        <f>B17</f>
        <v>2015</v>
      </c>
    </row>
    <row r="18" spans="1:17" x14ac:dyDescent="0.25">
      <c r="A18" s="178"/>
      <c r="B18" s="175">
        <f t="shared" si="4"/>
        <v>2020</v>
      </c>
      <c r="C18" s="194">
        <f t="shared" si="5"/>
        <v>0</v>
      </c>
      <c r="D18" s="194">
        <f t="shared" ref="D18:D24" si="7">C18+D17</f>
        <v>0</v>
      </c>
      <c r="E18" s="273">
        <f t="shared" ref="E18:E23" si="8">SUM(C15:C18)</f>
        <v>0</v>
      </c>
      <c r="F18" s="194"/>
      <c r="G18" s="274">
        <f>[2]ProdDE_REF!$G17</f>
        <v>0</v>
      </c>
      <c r="H18" s="182">
        <v>7200</v>
      </c>
      <c r="J18" s="277">
        <f t="shared" si="6"/>
        <v>1.6751000000000147</v>
      </c>
      <c r="K18" s="175">
        <f t="shared" ref="K18:K24" si="9">J18/$J$17</f>
        <v>1</v>
      </c>
      <c r="L18" s="175">
        <f t="shared" ref="L18:L24" si="10">B18</f>
        <v>2020</v>
      </c>
    </row>
    <row r="19" spans="1:17" x14ac:dyDescent="0.25">
      <c r="A19" s="178"/>
      <c r="B19" s="175">
        <f t="shared" si="4"/>
        <v>2025</v>
      </c>
      <c r="C19" s="194">
        <f t="shared" si="5"/>
        <v>0</v>
      </c>
      <c r="D19" s="194">
        <f t="shared" si="7"/>
        <v>0</v>
      </c>
      <c r="E19" s="194">
        <f t="shared" si="8"/>
        <v>0</v>
      </c>
      <c r="F19" s="194"/>
      <c r="G19" s="274">
        <f>[2]ProdDE_REF!$G18</f>
        <v>0</v>
      </c>
      <c r="H19" s="182">
        <v>7200</v>
      </c>
      <c r="J19" s="277">
        <f t="shared" si="6"/>
        <v>1.6751000000000147</v>
      </c>
      <c r="K19" s="175">
        <f t="shared" si="9"/>
        <v>1</v>
      </c>
      <c r="L19" s="175">
        <f t="shared" si="10"/>
        <v>2025</v>
      </c>
      <c r="Q19" s="187">
        <f>MAX(J3,J4)</f>
        <v>6795</v>
      </c>
    </row>
    <row r="20" spans="1:17" x14ac:dyDescent="0.25">
      <c r="A20" s="178"/>
      <c r="B20" s="175">
        <f t="shared" si="4"/>
        <v>2030</v>
      </c>
      <c r="C20" s="194">
        <f t="shared" si="5"/>
        <v>13.968</v>
      </c>
      <c r="D20" s="194">
        <f t="shared" si="7"/>
        <v>13.968</v>
      </c>
      <c r="E20" s="194">
        <f t="shared" si="8"/>
        <v>13.968</v>
      </c>
      <c r="F20" s="194"/>
      <c r="G20" s="274">
        <f>[2]ProdDE_REF!$G19</f>
        <v>15.32</v>
      </c>
      <c r="H20" s="182">
        <v>7200</v>
      </c>
      <c r="J20" s="278">
        <f t="shared" si="6"/>
        <v>16.995100000000015</v>
      </c>
      <c r="K20" s="278">
        <f t="shared" si="9"/>
        <v>10.145722643424193</v>
      </c>
      <c r="L20" s="175">
        <f t="shared" si="10"/>
        <v>2030</v>
      </c>
    </row>
    <row r="21" spans="1:17" x14ac:dyDescent="0.25">
      <c r="A21" s="178"/>
      <c r="B21" s="175">
        <f t="shared" si="4"/>
        <v>2035</v>
      </c>
      <c r="C21" s="194">
        <f t="shared" si="5"/>
        <v>27.936</v>
      </c>
      <c r="D21" s="194">
        <f t="shared" si="7"/>
        <v>41.903999999999996</v>
      </c>
      <c r="E21" s="194">
        <f t="shared" si="8"/>
        <v>41.903999999999996</v>
      </c>
      <c r="F21" s="194"/>
      <c r="G21" s="274">
        <f>[2]ProdDE_REF!$G20</f>
        <v>45.9</v>
      </c>
      <c r="H21" s="182">
        <v>7200</v>
      </c>
      <c r="J21" s="278">
        <f t="shared" si="6"/>
        <v>47.575100000000013</v>
      </c>
      <c r="K21" s="278">
        <f t="shared" si="9"/>
        <v>28.401349173183448</v>
      </c>
      <c r="L21" s="175">
        <f t="shared" si="10"/>
        <v>2035</v>
      </c>
    </row>
    <row r="22" spans="1:17" x14ac:dyDescent="0.25">
      <c r="A22" s="178"/>
      <c r="B22" s="175">
        <f t="shared" si="4"/>
        <v>2040</v>
      </c>
      <c r="C22" s="194">
        <f t="shared" si="5"/>
        <v>0</v>
      </c>
      <c r="D22" s="194">
        <f t="shared" si="7"/>
        <v>41.903999999999996</v>
      </c>
      <c r="E22" s="194">
        <f t="shared" si="8"/>
        <v>41.903999999999996</v>
      </c>
      <c r="F22" s="194"/>
      <c r="G22" s="274">
        <f>[2]ProdDE_REF!$G21</f>
        <v>45.19</v>
      </c>
      <c r="H22" s="182">
        <v>7200</v>
      </c>
      <c r="J22" s="278">
        <f t="shared" si="6"/>
        <v>46.865100000000012</v>
      </c>
      <c r="K22" s="278">
        <f t="shared" si="9"/>
        <v>27.977493880962093</v>
      </c>
      <c r="L22" s="175">
        <f t="shared" si="10"/>
        <v>2040</v>
      </c>
    </row>
    <row r="23" spans="1:17" x14ac:dyDescent="0.25">
      <c r="A23" s="178"/>
      <c r="B23" s="175">
        <f t="shared" si="4"/>
        <v>2045</v>
      </c>
      <c r="C23" s="194">
        <f t="shared" si="5"/>
        <v>21.151655999999999</v>
      </c>
      <c r="D23" s="194">
        <f t="shared" si="7"/>
        <v>63.055655999999999</v>
      </c>
      <c r="E23" s="194">
        <f t="shared" si="8"/>
        <v>63.055655999999999</v>
      </c>
      <c r="F23" s="194"/>
      <c r="G23" s="274">
        <f>[2]ProdDE_REF!$G22</f>
        <v>66.87</v>
      </c>
      <c r="H23" s="182">
        <v>7200</v>
      </c>
      <c r="J23" s="278">
        <f t="shared" si="6"/>
        <v>68.545100000000019</v>
      </c>
      <c r="K23" s="278">
        <f t="shared" si="9"/>
        <v>40.920004775833931</v>
      </c>
      <c r="L23" s="175">
        <f t="shared" si="10"/>
        <v>2045</v>
      </c>
    </row>
    <row r="24" spans="1:17" x14ac:dyDescent="0.25">
      <c r="A24" s="178"/>
      <c r="B24" s="175">
        <f t="shared" si="4"/>
        <v>2050</v>
      </c>
      <c r="C24" s="194">
        <f t="shared" si="5"/>
        <v>36.580247999999997</v>
      </c>
      <c r="D24" s="194">
        <f t="shared" si="7"/>
        <v>99.635903999999996</v>
      </c>
      <c r="E24" s="206">
        <f>E28</f>
        <v>2.4875234999999996</v>
      </c>
      <c r="F24" s="194"/>
      <c r="G24" s="274">
        <f>[2]ProdDE_REF!$G23</f>
        <v>102.76</v>
      </c>
      <c r="H24" s="182">
        <v>7200</v>
      </c>
      <c r="J24" s="278">
        <f t="shared" si="6"/>
        <v>104.43510000000002</v>
      </c>
      <c r="K24" s="278">
        <f t="shared" si="9"/>
        <v>62.345591307981081</v>
      </c>
      <c r="L24" s="175">
        <f t="shared" si="10"/>
        <v>2050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x14ac:dyDescent="0.25">
      <c r="A26" s="178"/>
    </row>
    <row r="27" spans="1:17" x14ac:dyDescent="0.25">
      <c r="A27" s="178"/>
      <c r="B27" s="279" t="s">
        <v>77</v>
      </c>
      <c r="C27" s="246"/>
      <c r="D27" s="280" t="s">
        <v>78</v>
      </c>
      <c r="E27" s="281">
        <v>20</v>
      </c>
      <c r="F27" s="246"/>
      <c r="G27" s="246" t="s">
        <v>79</v>
      </c>
      <c r="H27" s="246"/>
    </row>
    <row r="28" spans="1:17" x14ac:dyDescent="0.25">
      <c r="A28" s="201"/>
      <c r="B28" s="282">
        <v>2007</v>
      </c>
      <c r="C28" s="203">
        <f>0.015*G28</f>
        <v>2.4875234999999996</v>
      </c>
      <c r="D28" s="203">
        <f>C28</f>
        <v>2.4875234999999996</v>
      </c>
      <c r="E28" s="203">
        <f>D28</f>
        <v>2.4875234999999996</v>
      </c>
      <c r="F28" s="204">
        <f>G28-E28</f>
        <v>163.34737649999997</v>
      </c>
      <c r="G28" s="205">
        <f>[3]ele_prod_bw!$C$11</f>
        <v>165.83489999999998</v>
      </c>
      <c r="H28" s="301" t="s">
        <v>80</v>
      </c>
    </row>
    <row r="29" spans="1:17" x14ac:dyDescent="0.25">
      <c r="A29" s="201"/>
      <c r="B29" s="282">
        <v>2010</v>
      </c>
      <c r="C29" s="206">
        <f>C28+C$28</f>
        <v>4.9750469999999991</v>
      </c>
      <c r="D29" s="206">
        <f t="shared" ref="D29:E31" si="11">D28+D$28</f>
        <v>4.9750469999999991</v>
      </c>
      <c r="E29" s="206">
        <f t="shared" si="11"/>
        <v>4.9750469999999991</v>
      </c>
      <c r="F29" s="207">
        <f>G29-E29</f>
        <v>77.942402999999985</v>
      </c>
      <c r="G29" s="208">
        <f>(G28+G30)/2</f>
        <v>82.917449999999988</v>
      </c>
      <c r="H29" s="301"/>
    </row>
    <row r="30" spans="1:17" x14ac:dyDescent="0.25">
      <c r="A30" s="178"/>
      <c r="B30" s="246">
        <f t="shared" ref="B30:G38" si="12">B17</f>
        <v>2015</v>
      </c>
      <c r="C30" s="206">
        <f>C29+C$28</f>
        <v>7.4625704999999982</v>
      </c>
      <c r="D30" s="206">
        <f t="shared" si="11"/>
        <v>7.4625704999999982</v>
      </c>
      <c r="E30" s="206">
        <f t="shared" si="11"/>
        <v>7.4625704999999982</v>
      </c>
      <c r="F30" s="210">
        <f>F17</f>
        <v>0</v>
      </c>
      <c r="G30" s="210">
        <f>G17</f>
        <v>0</v>
      </c>
      <c r="H30" s="246"/>
    </row>
    <row r="31" spans="1:17" x14ac:dyDescent="0.25">
      <c r="A31" s="178"/>
      <c r="B31" s="246">
        <f t="shared" si="12"/>
        <v>2020</v>
      </c>
      <c r="C31" s="206">
        <f>C30+C$28</f>
        <v>9.9500939999999982</v>
      </c>
      <c r="D31" s="206">
        <f t="shared" si="11"/>
        <v>9.9500939999999982</v>
      </c>
      <c r="E31" s="206">
        <f t="shared" si="11"/>
        <v>9.9500939999999982</v>
      </c>
      <c r="F31" s="210">
        <f t="shared" si="12"/>
        <v>0</v>
      </c>
      <c r="G31" s="210">
        <f t="shared" si="12"/>
        <v>0</v>
      </c>
      <c r="H31" s="246"/>
    </row>
    <row r="32" spans="1:17" x14ac:dyDescent="0.25">
      <c r="A32" s="178"/>
      <c r="B32" s="246">
        <f t="shared" si="12"/>
        <v>2025</v>
      </c>
      <c r="C32" s="210">
        <f>C19</f>
        <v>0</v>
      </c>
      <c r="D32" s="210">
        <f>D19</f>
        <v>0</v>
      </c>
      <c r="E32" s="210">
        <f>E19</f>
        <v>0</v>
      </c>
      <c r="F32" s="210">
        <f>F19</f>
        <v>0</v>
      </c>
      <c r="G32" s="210">
        <f t="shared" si="12"/>
        <v>0</v>
      </c>
      <c r="H32" s="246"/>
    </row>
    <row r="33" spans="1:12" x14ac:dyDescent="0.25">
      <c r="A33" s="178"/>
      <c r="B33" s="246">
        <f>B20</f>
        <v>2030</v>
      </c>
      <c r="C33" s="210">
        <f>C20</f>
        <v>13.968</v>
      </c>
      <c r="D33" s="210">
        <f t="shared" si="12"/>
        <v>13.968</v>
      </c>
      <c r="E33" s="210">
        <f>E20</f>
        <v>13.968</v>
      </c>
      <c r="F33" s="210">
        <f>F20</f>
        <v>0</v>
      </c>
      <c r="G33" s="210">
        <f t="shared" si="12"/>
        <v>15.32</v>
      </c>
      <c r="H33" s="246"/>
    </row>
    <row r="34" spans="1:12" x14ac:dyDescent="0.25">
      <c r="A34" s="178"/>
      <c r="B34" s="246">
        <f t="shared" si="12"/>
        <v>2035</v>
      </c>
      <c r="C34" s="210">
        <f t="shared" si="12"/>
        <v>27.936</v>
      </c>
      <c r="D34" s="210">
        <f t="shared" si="12"/>
        <v>41.903999999999996</v>
      </c>
      <c r="E34" s="210">
        <f>E21</f>
        <v>41.903999999999996</v>
      </c>
      <c r="F34" s="210">
        <f t="shared" si="12"/>
        <v>0</v>
      </c>
      <c r="G34" s="210">
        <f t="shared" si="12"/>
        <v>45.9</v>
      </c>
      <c r="H34" s="246"/>
    </row>
    <row r="35" spans="1:12" x14ac:dyDescent="0.25">
      <c r="A35" s="178"/>
      <c r="B35" s="246">
        <f t="shared" si="12"/>
        <v>2040</v>
      </c>
      <c r="C35" s="210">
        <f t="shared" si="12"/>
        <v>0</v>
      </c>
      <c r="D35" s="210">
        <f t="shared" si="12"/>
        <v>41.903999999999996</v>
      </c>
      <c r="E35" s="210">
        <f>E22</f>
        <v>41.903999999999996</v>
      </c>
      <c r="F35" s="210">
        <f t="shared" si="12"/>
        <v>0</v>
      </c>
      <c r="G35" s="210">
        <f t="shared" si="12"/>
        <v>45.19</v>
      </c>
      <c r="H35" s="246"/>
    </row>
    <row r="36" spans="1:12" x14ac:dyDescent="0.25">
      <c r="A36" s="178"/>
      <c r="B36" s="246">
        <f t="shared" si="12"/>
        <v>2045</v>
      </c>
      <c r="C36" s="210">
        <f t="shared" si="12"/>
        <v>21.151655999999999</v>
      </c>
      <c r="D36" s="210">
        <f t="shared" si="12"/>
        <v>63.055655999999999</v>
      </c>
      <c r="E36" s="210">
        <f t="shared" si="12"/>
        <v>63.055655999999999</v>
      </c>
      <c r="F36" s="210">
        <f t="shared" si="12"/>
        <v>0</v>
      </c>
      <c r="G36" s="210">
        <f t="shared" si="12"/>
        <v>66.87</v>
      </c>
      <c r="H36" s="246"/>
    </row>
    <row r="37" spans="1:12" x14ac:dyDescent="0.25">
      <c r="A37" s="178"/>
      <c r="B37" s="246">
        <f t="shared" si="12"/>
        <v>2050</v>
      </c>
      <c r="C37" s="210">
        <f>C24</f>
        <v>36.580247999999997</v>
      </c>
      <c r="D37" s="210">
        <f t="shared" si="12"/>
        <v>99.635903999999996</v>
      </c>
      <c r="E37" s="206">
        <f>E28</f>
        <v>2.4875234999999996</v>
      </c>
      <c r="F37" s="210">
        <f t="shared" si="12"/>
        <v>0</v>
      </c>
      <c r="G37" s="210">
        <f>G24</f>
        <v>102.76</v>
      </c>
      <c r="H37" s="246"/>
    </row>
    <row r="38" spans="1:12" x14ac:dyDescent="0.25">
      <c r="A38" s="178"/>
      <c r="B38" s="246"/>
      <c r="C38" s="210" t="str">
        <f>C25</f>
        <v>Retrofit_p.a.</v>
      </c>
      <c r="D38" s="210" t="str">
        <f>D25</f>
        <v>Retrofit_kum</v>
      </c>
      <c r="E38" s="210" t="str">
        <f>E25</f>
        <v>Retrofit_kum15</v>
      </c>
      <c r="F38" s="210" t="str">
        <f>F25</f>
        <v>Bestand</v>
      </c>
      <c r="G38" s="212" t="str">
        <f t="shared" si="12"/>
        <v>ALL</v>
      </c>
      <c r="H38" s="246"/>
    </row>
    <row r="39" spans="1:12" x14ac:dyDescent="0.25">
      <c r="A39" s="178"/>
      <c r="B39" s="246"/>
      <c r="C39" s="204" t="s">
        <v>81</v>
      </c>
      <c r="D39" s="204"/>
      <c r="E39" s="204"/>
      <c r="F39" s="204"/>
      <c r="G39" s="246"/>
      <c r="H39" s="246"/>
    </row>
    <row r="40" spans="1:12" x14ac:dyDescent="0.25">
      <c r="A40" s="178"/>
    </row>
    <row r="41" spans="1:12" x14ac:dyDescent="0.25">
      <c r="A41" s="178"/>
    </row>
    <row r="43" spans="1:12" ht="15.75" thickBot="1" x14ac:dyDescent="0.3"/>
    <row r="44" spans="1:12" x14ac:dyDescent="0.25">
      <c r="B44" s="283" t="s">
        <v>103</v>
      </c>
      <c r="C44" s="284"/>
      <c r="D44" s="284"/>
      <c r="E44" s="284"/>
      <c r="F44" s="284"/>
      <c r="G44" s="284"/>
      <c r="H44" s="284"/>
      <c r="I44" s="284"/>
      <c r="J44" s="284"/>
      <c r="K44" s="284"/>
      <c r="L44" s="285"/>
    </row>
    <row r="45" spans="1:12" x14ac:dyDescent="0.25">
      <c r="B45" s="286"/>
      <c r="C45" s="291">
        <f t="array" ref="C45:L45">TRANSPOSE(L15:L26)</f>
        <v>2007</v>
      </c>
      <c r="D45" s="291">
        <v>2010</v>
      </c>
      <c r="E45" s="291">
        <v>2015</v>
      </c>
      <c r="F45" s="291">
        <v>2020</v>
      </c>
      <c r="G45" s="291">
        <v>2025</v>
      </c>
      <c r="H45" s="291">
        <v>2030</v>
      </c>
      <c r="I45" s="291">
        <v>2035</v>
      </c>
      <c r="J45" s="291">
        <v>2040</v>
      </c>
      <c r="K45" s="291">
        <v>2045</v>
      </c>
      <c r="L45" s="292">
        <v>2050</v>
      </c>
    </row>
    <row r="46" spans="1:12" ht="15.75" thickBot="1" x14ac:dyDescent="0.3">
      <c r="B46" s="287" t="s">
        <v>104</v>
      </c>
      <c r="C46" s="288">
        <f t="array" ref="C46:L46">TRANSPOSE(K15:K24)</f>
        <v>1</v>
      </c>
      <c r="D46" s="288">
        <v>1</v>
      </c>
      <c r="E46" s="288">
        <v>1</v>
      </c>
      <c r="F46" s="288">
        <v>1</v>
      </c>
      <c r="G46" s="288">
        <v>1</v>
      </c>
      <c r="H46" s="289">
        <v>10.145722643424193</v>
      </c>
      <c r="I46" s="289">
        <v>28.401349173183448</v>
      </c>
      <c r="J46" s="289">
        <v>27.977493880962093</v>
      </c>
      <c r="K46" s="289">
        <v>40.920004775833931</v>
      </c>
      <c r="L46" s="290">
        <v>62.345591307981081</v>
      </c>
    </row>
  </sheetData>
  <mergeCells count="2">
    <mergeCell ref="H28:H29"/>
    <mergeCell ref="A1:G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85" zoomScaleNormal="85" workbookViewId="0">
      <selection activeCell="G9" sqref="G9"/>
    </sheetView>
  </sheetViews>
  <sheetFormatPr defaultColWidth="11.42578125" defaultRowHeight="12.75" x14ac:dyDescent="0.2"/>
  <cols>
    <col min="1" max="1" width="14" customWidth="1"/>
    <col min="2" max="2" width="5.7109375" customWidth="1"/>
  </cols>
  <sheetData>
    <row r="1" spans="1:12" x14ac:dyDescent="0.2">
      <c r="A1" s="145" t="s">
        <v>107</v>
      </c>
      <c r="B1" s="146"/>
      <c r="C1" s="146"/>
      <c r="D1" s="146"/>
      <c r="E1" s="146"/>
    </row>
    <row r="2" spans="1:12" x14ac:dyDescent="0.2">
      <c r="A2" s="145" t="s">
        <v>106</v>
      </c>
      <c r="B2" s="146"/>
      <c r="C2" s="146"/>
      <c r="D2" s="146"/>
      <c r="E2" s="146"/>
    </row>
    <row r="3" spans="1:12" x14ac:dyDescent="0.2">
      <c r="A3" s="140"/>
    </row>
    <row r="4" spans="1:12" ht="15" x14ac:dyDescent="0.25">
      <c r="A4" s="144" t="str">
        <f>[6]Lig_DE_path!S72</f>
        <v>Braunkohle in DEU</v>
      </c>
      <c r="B4" s="144"/>
      <c r="C4" s="141"/>
      <c r="D4" s="141"/>
      <c r="E4" s="141"/>
      <c r="F4" s="141"/>
      <c r="G4" s="141"/>
      <c r="H4" s="153"/>
      <c r="I4" s="141"/>
      <c r="J4" s="141"/>
      <c r="K4" s="141"/>
      <c r="L4" s="141"/>
    </row>
    <row r="5" spans="1:12" ht="15" x14ac:dyDescent="0.25">
      <c r="A5" s="141"/>
      <c r="B5" s="141"/>
      <c r="C5" s="136">
        <f>[6]Lig_DE_path!U73</f>
        <v>2007</v>
      </c>
      <c r="D5" s="136">
        <f>[6]Lig_DE_path!V73</f>
        <v>2010</v>
      </c>
      <c r="E5" s="136">
        <f>[6]Lig_DE_path!W73</f>
        <v>2015</v>
      </c>
      <c r="F5" s="136">
        <f>[6]Lig_DE_path!X73</f>
        <v>2020</v>
      </c>
      <c r="G5" s="136">
        <f>[6]Lig_DE_path!Y73</f>
        <v>2025</v>
      </c>
      <c r="H5" s="136">
        <f>[6]Lig_DE_path!Z73</f>
        <v>2030</v>
      </c>
      <c r="I5" s="136">
        <f>[6]Lig_DE_path!AA73</f>
        <v>2035</v>
      </c>
      <c r="J5" s="136">
        <f>[6]Lig_DE_path!AB73</f>
        <v>2040</v>
      </c>
      <c r="K5" s="136">
        <f>[6]Lig_DE_path!AC73</f>
        <v>2045</v>
      </c>
      <c r="L5" s="136">
        <f>[6]Lig_DE_path!AD73</f>
        <v>2050</v>
      </c>
    </row>
    <row r="6" spans="1:12" ht="15" x14ac:dyDescent="0.25">
      <c r="A6" s="141" t="str">
        <f>[7]Lig_DE_path!B47</f>
        <v>TWh_new</v>
      </c>
      <c r="B6" s="141" t="str">
        <f>[7]Lig_DE_path!C47</f>
        <v>bBC</v>
      </c>
      <c r="C6" s="275">
        <f>Lig_DE_path!D47</f>
        <v>2.4875234999999996</v>
      </c>
      <c r="D6" s="275">
        <f>Lig_DE_path!E47</f>
        <v>4.9750469999999991</v>
      </c>
      <c r="E6" s="275">
        <f>Lig_DE_path!F47</f>
        <v>4.9750469999999991</v>
      </c>
      <c r="F6" s="275">
        <f>Lig_DE_path!G47</f>
        <v>4.9750469999999991</v>
      </c>
      <c r="G6" s="275">
        <f>Lig_DE_path!H47</f>
        <v>4.9750469999999991</v>
      </c>
      <c r="H6" s="275">
        <f>Lig_DE_path!I47</f>
        <v>20.631523499999997</v>
      </c>
      <c r="I6" s="275">
        <f>Lig_DE_path!J47</f>
        <v>33.591523499999994</v>
      </c>
      <c r="J6" s="275">
        <f>Lig_DE_path!K47</f>
        <v>33.591523499999994</v>
      </c>
      <c r="K6" s="275">
        <f>Lig_DE_path!L47</f>
        <v>31.103999999999999</v>
      </c>
      <c r="L6" s="275">
        <f>Lig_DE_path!M47</f>
        <v>12.96</v>
      </c>
    </row>
    <row r="7" spans="1:12" ht="15" x14ac:dyDescent="0.25">
      <c r="A7" s="141" t="str">
        <f>[7]Lig_DE_path!B48</f>
        <v>TWh_xtant</v>
      </c>
      <c r="B7" s="141" t="str">
        <f>[7]Lig_DE_path!C48</f>
        <v>bBC</v>
      </c>
      <c r="C7" s="275">
        <f>Lig_DE_path!D48</f>
        <v>163.34737649999997</v>
      </c>
      <c r="D7" s="275">
        <f>Lig_DE_path!E48</f>
        <v>144.98240300000001</v>
      </c>
      <c r="E7" s="275">
        <f>Lig_DE_path!F48</f>
        <v>142.79834036616001</v>
      </c>
      <c r="F7" s="275">
        <f>Lig_DE_path!G48</f>
        <v>134.06208983080001</v>
      </c>
      <c r="G7" s="275">
        <f>Lig_DE_path!H48</f>
        <v>133.42247649999999</v>
      </c>
      <c r="H7" s="275">
        <f>Lig_DE_path!I48</f>
        <v>122.57847650000001</v>
      </c>
      <c r="I7" s="275">
        <f>Lig_DE_path!J48</f>
        <v>96.718476500000008</v>
      </c>
      <c r="J7" s="275">
        <f>Lig_DE_path!K48</f>
        <v>52.24847650000001</v>
      </c>
      <c r="K7" s="275">
        <f>Lig_DE_path!L48</f>
        <v>50.396000000000001</v>
      </c>
      <c r="L7" s="275">
        <f>Lig_DE_path!M48</f>
        <v>44.29</v>
      </c>
    </row>
    <row r="8" spans="1:12" ht="15.75" thickBot="1" x14ac:dyDescent="0.3">
      <c r="A8" s="137" t="str">
        <f>[7]Lig_DE_path!B49</f>
        <v>TWh_all</v>
      </c>
      <c r="B8" s="141" t="str">
        <f>[7]Lig_DE_path!C49</f>
        <v>bBC</v>
      </c>
      <c r="C8" s="276">
        <f>Lig_DE_path!D49</f>
        <v>165.83489999999998</v>
      </c>
      <c r="D8" s="276">
        <f>Lig_DE_path!E49</f>
        <v>149.95744999999999</v>
      </c>
      <c r="E8" s="276">
        <f>Lig_DE_path!F49</f>
        <v>146.78196</v>
      </c>
      <c r="F8" s="276">
        <f>Lig_DE_path!G49</f>
        <v>134.08000000000001</v>
      </c>
      <c r="G8" s="276">
        <f>Lig_DE_path!H49</f>
        <v>135.91</v>
      </c>
      <c r="H8" s="276">
        <f>Lig_DE_path!I49</f>
        <v>143.21</v>
      </c>
      <c r="I8" s="276">
        <f>Lig_DE_path!J49</f>
        <v>130.31</v>
      </c>
      <c r="J8" s="276">
        <f>Lig_DE_path!K49</f>
        <v>85.84</v>
      </c>
      <c r="K8" s="276">
        <f>Lig_DE_path!L49</f>
        <v>81.5</v>
      </c>
      <c r="L8" s="276">
        <f>Lig_DE_path!M49</f>
        <v>57.25</v>
      </c>
    </row>
    <row r="9" spans="1:12" ht="15" x14ac:dyDescent="0.25">
      <c r="A9" s="156"/>
      <c r="B9" s="157"/>
      <c r="C9" s="154">
        <f>[6]Lig_DE_path!U77</f>
        <v>2007</v>
      </c>
      <c r="D9" s="154">
        <f>[6]Lig_DE_path!V77</f>
        <v>2010</v>
      </c>
      <c r="E9" s="154">
        <f>[6]Lig_DE_path!W77</f>
        <v>2015</v>
      </c>
      <c r="F9" s="154">
        <f>[6]Lig_DE_path!X77</f>
        <v>2020</v>
      </c>
      <c r="G9" s="154">
        <f>[6]Lig_DE_path!Y77</f>
        <v>2025</v>
      </c>
      <c r="H9" s="154">
        <f>[6]Lig_DE_path!Z77</f>
        <v>2030</v>
      </c>
      <c r="I9" s="154">
        <f>[6]Lig_DE_path!AA77</f>
        <v>2035</v>
      </c>
      <c r="J9" s="154">
        <f>[6]Lig_DE_path!AB77</f>
        <v>2040</v>
      </c>
      <c r="K9" s="154">
        <f>[6]Lig_DE_path!AC77</f>
        <v>2045</v>
      </c>
      <c r="L9" s="155">
        <f>[6]Lig_DE_path!AD77</f>
        <v>2050</v>
      </c>
    </row>
    <row r="10" spans="1:12" ht="15.75" thickBot="1" x14ac:dyDescent="0.3">
      <c r="A10" s="158" t="str">
        <f>[6]Lig_DE_path!S78</f>
        <v>Path_new</v>
      </c>
      <c r="B10" s="159" t="str">
        <f>[6]Lig_DE_path!T78</f>
        <v>bBC</v>
      </c>
      <c r="C10" s="160">
        <f>C6/$C6</f>
        <v>1</v>
      </c>
      <c r="D10" s="161">
        <f>D6/$C6</f>
        <v>2</v>
      </c>
      <c r="E10" s="161">
        <f t="shared" ref="E10:L10" si="0">E6/$C6</f>
        <v>2</v>
      </c>
      <c r="F10" s="161">
        <f>F6/$C6</f>
        <v>2</v>
      </c>
      <c r="G10" s="161">
        <f t="shared" si="0"/>
        <v>2</v>
      </c>
      <c r="H10" s="161">
        <f>H6/$C6</f>
        <v>8.2940014436044525</v>
      </c>
      <c r="I10" s="161">
        <f t="shared" si="0"/>
        <v>13.504002474750489</v>
      </c>
      <c r="J10" s="161">
        <f t="shared" si="0"/>
        <v>13.504002474750489</v>
      </c>
      <c r="K10" s="161">
        <f t="shared" si="0"/>
        <v>12.504002474750491</v>
      </c>
      <c r="L10" s="162">
        <f t="shared" si="0"/>
        <v>5.2100010311460387</v>
      </c>
    </row>
    <row r="11" spans="1:12" ht="15" x14ac:dyDescent="0.25">
      <c r="A11" s="141" t="str">
        <f>[6]Lig_DE_path!S79</f>
        <v>Path_xtant</v>
      </c>
      <c r="B11" s="141" t="str">
        <f>[6]Lig_DE_path!T79</f>
        <v>bBC</v>
      </c>
      <c r="C11" s="142">
        <f t="shared" ref="C11:L11" si="1">C7/$C7</f>
        <v>1</v>
      </c>
      <c r="D11" s="143">
        <f>D7/$C7</f>
        <v>0.88757105321492591</v>
      </c>
      <c r="E11" s="294">
        <f t="shared" si="1"/>
        <v>0.87420039076146427</v>
      </c>
      <c r="F11" s="294">
        <f t="shared" si="1"/>
        <v>0.82071774094761807</v>
      </c>
      <c r="G11" s="143">
        <f t="shared" si="1"/>
        <v>0.81680207762626666</v>
      </c>
      <c r="H11" s="143">
        <f t="shared" si="1"/>
        <v>0.75041594867610273</v>
      </c>
      <c r="I11" s="143">
        <f t="shared" si="1"/>
        <v>0.59210302958248018</v>
      </c>
      <c r="J11" s="143">
        <f t="shared" si="1"/>
        <v>0.31986113042960329</v>
      </c>
      <c r="K11" s="143">
        <f t="shared" si="1"/>
        <v>0.30852041263117569</v>
      </c>
      <c r="L11" s="143">
        <f t="shared" si="1"/>
        <v>0.27113995308029942</v>
      </c>
    </row>
    <row r="12" spans="1:12" ht="15" x14ac:dyDescent="0.25">
      <c r="A12" s="137" t="str">
        <f>[6]Lig_DE_path!S80</f>
        <v>Path_all</v>
      </c>
      <c r="B12" s="141" t="str">
        <f>[6]Lig_DE_path!T80</f>
        <v>bBC</v>
      </c>
      <c r="C12" s="138">
        <f t="shared" ref="C12:L12" si="2">C8/$C8</f>
        <v>1</v>
      </c>
      <c r="D12" s="139">
        <f t="shared" si="2"/>
        <v>0.90425748741670187</v>
      </c>
      <c r="E12" s="139">
        <f t="shared" si="2"/>
        <v>0.88510898490004231</v>
      </c>
      <c r="F12" s="139">
        <f t="shared" si="2"/>
        <v>0.80851497483340373</v>
      </c>
      <c r="G12" s="139">
        <f t="shared" si="2"/>
        <v>0.81955004646187268</v>
      </c>
      <c r="H12" s="139">
        <f t="shared" si="2"/>
        <v>0.86356973110002799</v>
      </c>
      <c r="I12" s="139">
        <f t="shared" si="2"/>
        <v>0.78578152126000034</v>
      </c>
      <c r="J12" s="139">
        <f t="shared" si="2"/>
        <v>0.51762325059441661</v>
      </c>
      <c r="K12" s="139">
        <f t="shared" si="2"/>
        <v>0.49145264356296542</v>
      </c>
      <c r="L12" s="139">
        <f t="shared" si="2"/>
        <v>0.34522286925128554</v>
      </c>
    </row>
    <row r="16" spans="1:12" x14ac:dyDescent="0.2">
      <c r="A16" s="145" t="s">
        <v>107</v>
      </c>
      <c r="B16" s="146"/>
      <c r="C16" s="146"/>
      <c r="D16" s="146"/>
      <c r="E16" s="146"/>
    </row>
    <row r="17" spans="1:12" x14ac:dyDescent="0.2">
      <c r="A17" s="145" t="s">
        <v>106</v>
      </c>
      <c r="B17" s="146"/>
      <c r="C17" s="146"/>
      <c r="D17" s="146"/>
      <c r="E17" s="146"/>
    </row>
    <row r="18" spans="1:12" ht="15" x14ac:dyDescent="0.25">
      <c r="A18" s="141"/>
      <c r="B18" s="141"/>
      <c r="C18" s="136">
        <f t="shared" ref="C18:L18" si="3">C9</f>
        <v>2007</v>
      </c>
      <c r="D18" s="136">
        <f t="shared" si="3"/>
        <v>2010</v>
      </c>
      <c r="E18" s="136">
        <f t="shared" si="3"/>
        <v>2015</v>
      </c>
      <c r="F18" s="136">
        <f t="shared" si="3"/>
        <v>2020</v>
      </c>
      <c r="G18" s="136">
        <f t="shared" si="3"/>
        <v>2025</v>
      </c>
      <c r="H18" s="136">
        <f t="shared" si="3"/>
        <v>2030</v>
      </c>
      <c r="I18" s="136">
        <f t="shared" si="3"/>
        <v>2035</v>
      </c>
      <c r="J18" s="136">
        <f t="shared" si="3"/>
        <v>2040</v>
      </c>
      <c r="K18" s="136">
        <f t="shared" si="3"/>
        <v>2045</v>
      </c>
      <c r="L18" s="136">
        <f t="shared" si="3"/>
        <v>2050</v>
      </c>
    </row>
    <row r="19" spans="1:12" ht="15" x14ac:dyDescent="0.25">
      <c r="A19" s="150" t="s">
        <v>54</v>
      </c>
      <c r="B19" s="150" t="s">
        <v>52</v>
      </c>
      <c r="C19" s="151">
        <f>D19</f>
        <v>20.546299999999999</v>
      </c>
      <c r="D19" s="152">
        <f>E19</f>
        <v>20.546299999999999</v>
      </c>
      <c r="E19" s="152">
        <f>[8]Braunkohle_Resid!B10</f>
        <v>20.546299999999999</v>
      </c>
      <c r="F19" s="152">
        <f>[8]Braunkohle_Resid!C10</f>
        <v>18.972099999999998</v>
      </c>
      <c r="G19" s="152">
        <f>[8]Braunkohle_Resid!D10</f>
        <v>16.452100000000002</v>
      </c>
      <c r="H19" s="152">
        <f>[8]Braunkohle_Resid!E10</f>
        <v>14.649100000000001</v>
      </c>
      <c r="I19" s="152">
        <f>[8]Braunkohle_Resid!F10</f>
        <v>10.920399999999999</v>
      </c>
      <c r="J19" s="152">
        <f>[8]Braunkohle_Resid!G10</f>
        <v>10.4681</v>
      </c>
      <c r="K19" s="152">
        <f>[8]Braunkohle_Resid!H10</f>
        <v>10.042999999999999</v>
      </c>
      <c r="L19" s="152">
        <f>[8]Braunkohle_Resid!I10</f>
        <v>5.641</v>
      </c>
    </row>
    <row r="20" spans="1:12" ht="15" x14ac:dyDescent="0.25">
      <c r="A20" s="150" t="s">
        <v>51</v>
      </c>
      <c r="B20" s="150" t="s">
        <v>52</v>
      </c>
      <c r="C20" s="151">
        <f>D20</f>
        <v>0</v>
      </c>
      <c r="D20" s="152">
        <f>E20</f>
        <v>0</v>
      </c>
      <c r="E20" s="152">
        <f>[8]Braunkohle_Resid!B11</f>
        <v>0</v>
      </c>
      <c r="F20" s="152">
        <f>[8]Braunkohle_Resid!C11</f>
        <v>1.4909999999999997</v>
      </c>
      <c r="G20" s="152">
        <f>[8]Braunkohle_Resid!D11</f>
        <v>3.9259999999999993</v>
      </c>
      <c r="H20" s="152">
        <f>[8]Braunkohle_Resid!E11</f>
        <v>5.7289999999999983</v>
      </c>
      <c r="I20" s="152">
        <f>[8]Braunkohle_Resid!F11</f>
        <v>7.367</v>
      </c>
      <c r="J20" s="152">
        <f>[8]Braunkohle_Resid!G11</f>
        <v>5.2829999999999995</v>
      </c>
      <c r="K20" s="152">
        <f>[8]Braunkohle_Resid!H11</f>
        <v>4.0720000000000001</v>
      </c>
      <c r="L20" s="152">
        <f>[8]Braunkohle_Resid!I11</f>
        <v>4.5019999999999998</v>
      </c>
    </row>
    <row r="21" spans="1:12" ht="15" x14ac:dyDescent="0.25">
      <c r="C21" s="136">
        <f t="shared" ref="C21:L21" si="4">C18</f>
        <v>2007</v>
      </c>
      <c r="D21" s="136">
        <f t="shared" si="4"/>
        <v>2010</v>
      </c>
      <c r="E21" s="136">
        <f t="shared" si="4"/>
        <v>2015</v>
      </c>
      <c r="F21" s="136">
        <f t="shared" si="4"/>
        <v>2020</v>
      </c>
      <c r="G21" s="136">
        <f t="shared" si="4"/>
        <v>2025</v>
      </c>
      <c r="H21" s="136">
        <f t="shared" si="4"/>
        <v>2030</v>
      </c>
      <c r="I21" s="136">
        <f t="shared" si="4"/>
        <v>2035</v>
      </c>
      <c r="J21" s="136">
        <f t="shared" si="4"/>
        <v>2040</v>
      </c>
      <c r="K21" s="136">
        <f t="shared" si="4"/>
        <v>2045</v>
      </c>
      <c r="L21" s="136">
        <f t="shared" si="4"/>
        <v>2050</v>
      </c>
    </row>
    <row r="22" spans="1:12" ht="15" x14ac:dyDescent="0.25">
      <c r="A22" s="147" t="s">
        <v>55</v>
      </c>
      <c r="B22" s="147" t="s">
        <v>52</v>
      </c>
      <c r="C22" s="148">
        <f t="shared" ref="C22:L22" si="5">1+C20</f>
        <v>1</v>
      </c>
      <c r="D22" s="149">
        <f t="shared" si="5"/>
        <v>1</v>
      </c>
      <c r="E22" s="149">
        <f t="shared" si="5"/>
        <v>1</v>
      </c>
      <c r="F22" s="149">
        <f t="shared" si="5"/>
        <v>2.4909999999999997</v>
      </c>
      <c r="G22" s="149">
        <f t="shared" si="5"/>
        <v>4.9259999999999993</v>
      </c>
      <c r="H22" s="149">
        <f t="shared" si="5"/>
        <v>6.7289999999999983</v>
      </c>
      <c r="I22" s="149">
        <f t="shared" si="5"/>
        <v>8.3670000000000009</v>
      </c>
      <c r="J22" s="149">
        <f t="shared" si="5"/>
        <v>6.2829999999999995</v>
      </c>
      <c r="K22" s="149">
        <f t="shared" si="5"/>
        <v>5.0720000000000001</v>
      </c>
      <c r="L22" s="149">
        <f t="shared" si="5"/>
        <v>5.5019999999999998</v>
      </c>
    </row>
    <row r="23" spans="1:12" ht="15" x14ac:dyDescent="0.25">
      <c r="A23" s="150" t="s">
        <v>56</v>
      </c>
      <c r="B23" s="150" t="s">
        <v>52</v>
      </c>
      <c r="C23" s="151">
        <f>C19/$C19</f>
        <v>1</v>
      </c>
      <c r="D23" s="152">
        <f t="shared" ref="D23:L23" si="6">D19/$C19</f>
        <v>1</v>
      </c>
      <c r="E23" s="152">
        <f t="shared" si="6"/>
        <v>1</v>
      </c>
      <c r="F23" s="152">
        <f t="shared" si="6"/>
        <v>0.92338279884942787</v>
      </c>
      <c r="G23" s="152">
        <f t="shared" si="6"/>
        <v>0.80073297868716031</v>
      </c>
      <c r="H23" s="152">
        <f t="shared" si="6"/>
        <v>0.71297995259487112</v>
      </c>
      <c r="I23" s="152">
        <f t="shared" si="6"/>
        <v>0.53150202226191579</v>
      </c>
      <c r="J23" s="152">
        <f t="shared" si="6"/>
        <v>0.50948832636533103</v>
      </c>
      <c r="K23" s="152">
        <f t="shared" si="6"/>
        <v>0.48879846979748176</v>
      </c>
      <c r="L23" s="152">
        <f t="shared" si="6"/>
        <v>0.27455064902196502</v>
      </c>
    </row>
  </sheetData>
  <conditionalFormatting sqref="C21:L22">
    <cfRule type="cellIs" dxfId="2" priority="3" operator="equal">
      <formula>1</formula>
    </cfRule>
  </conditionalFormatting>
  <conditionalFormatting sqref="C19:L20">
    <cfRule type="cellIs" dxfId="1" priority="2" operator="equal">
      <formula>1</formula>
    </cfRule>
  </conditionalFormatting>
  <conditionalFormatting sqref="C23:L23">
    <cfRule type="cellIs" dxfId="0" priority="1" operator="equal">
      <formula>1</formula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I27"/>
  <sheetViews>
    <sheetView workbookViewId="0">
      <selection activeCell="B5" sqref="B5:D22"/>
    </sheetView>
  </sheetViews>
  <sheetFormatPr defaultColWidth="11.42578125" defaultRowHeight="15" x14ac:dyDescent="0.25"/>
  <cols>
    <col min="1" max="16384" width="11.42578125" style="163"/>
  </cols>
  <sheetData>
    <row r="1" spans="2:9" x14ac:dyDescent="0.25">
      <c r="B1" s="174" t="s">
        <v>60</v>
      </c>
      <c r="C1" s="174"/>
      <c r="D1" s="174"/>
      <c r="E1" s="174"/>
      <c r="F1" s="174"/>
      <c r="G1" s="174"/>
      <c r="H1" s="174"/>
    </row>
    <row r="3" spans="2:9" x14ac:dyDescent="0.25">
      <c r="D3" s="170" t="s">
        <v>61</v>
      </c>
      <c r="H3" s="167"/>
      <c r="I3" s="170" t="s">
        <v>62</v>
      </c>
    </row>
    <row r="4" spans="2:9" x14ac:dyDescent="0.25">
      <c r="C4" s="166">
        <v>2007</v>
      </c>
      <c r="D4" s="166">
        <v>2007</v>
      </c>
      <c r="H4" s="166">
        <v>2007</v>
      </c>
      <c r="I4" s="166">
        <v>2007</v>
      </c>
    </row>
    <row r="5" spans="2:9" x14ac:dyDescent="0.25">
      <c r="C5" s="165" t="s">
        <v>59</v>
      </c>
      <c r="D5" s="165" t="s">
        <v>58</v>
      </c>
      <c r="H5" s="165" t="s">
        <v>59</v>
      </c>
      <c r="I5" s="165" t="s">
        <v>58</v>
      </c>
    </row>
    <row r="6" spans="2:9" x14ac:dyDescent="0.25">
      <c r="B6" s="164" t="str">
        <f>[9]RESULTS!B3</f>
        <v>DEU</v>
      </c>
      <c r="C6" s="168">
        <f>[9]RESULTS!D3/$E$27</f>
        <v>13.805245312043265</v>
      </c>
      <c r="D6" s="168">
        <f>[9]RESULTS!E3/$E$27</f>
        <v>19.056241735070209</v>
      </c>
      <c r="G6" s="164" t="str">
        <f>[9]RESULTS!B3</f>
        <v>DEU</v>
      </c>
      <c r="H6" s="169">
        <f>[9]RESULTS!F3/$E$27</f>
        <v>0.7098446912775892</v>
      </c>
      <c r="I6" s="169">
        <f>[9]RESULTS!G3/$E$27</f>
        <v>2.6233553087224104</v>
      </c>
    </row>
    <row r="7" spans="2:9" x14ac:dyDescent="0.25">
      <c r="B7" s="164" t="str">
        <f>[9]RESULTS!B4</f>
        <v>FRA</v>
      </c>
      <c r="C7" s="168">
        <f>[9]RESULTS!D4/$E$27</f>
        <v>10.195427147209235</v>
      </c>
      <c r="D7" s="168">
        <f>[9]RESULTS!E4/$E$27</f>
        <v>15.369772852790764</v>
      </c>
      <c r="G7" s="164" t="str">
        <f>[9]RESULTS!B4</f>
        <v>FRA</v>
      </c>
      <c r="H7" s="169">
        <f>[9]RESULTS!F4/$E$27</f>
        <v>0.47320139926161142</v>
      </c>
      <c r="I7" s="169">
        <f>[9]RESULTS!G4/$E$27</f>
        <v>1.7487986007383884</v>
      </c>
    </row>
    <row r="8" spans="2:9" x14ac:dyDescent="0.25">
      <c r="B8" s="164" t="str">
        <f>[9]RESULTS!B5</f>
        <v>ITA</v>
      </c>
      <c r="C8" s="168">
        <f>[9]RESULTS!D5/$E$27</f>
        <v>9.3442469999999993</v>
      </c>
      <c r="D8" s="168">
        <f>[9]RESULTS!E5/$E$27</f>
        <v>13.877590999999999</v>
      </c>
      <c r="G8" s="164" t="str">
        <f>[9]RESULTS!B5</f>
        <v>ITA</v>
      </c>
      <c r="H8" s="169">
        <f>[9]RESULTS!F5/$E$27</f>
        <v>0.27443451355346921</v>
      </c>
      <c r="I8" s="169">
        <f>[9]RESULTS!G5/$E$27</f>
        <v>1.2316064864465306</v>
      </c>
    </row>
    <row r="9" spans="2:9" x14ac:dyDescent="0.25">
      <c r="B9" s="164" t="str">
        <f>[9]RESULTS!B6</f>
        <v>POL</v>
      </c>
      <c r="C9" s="168">
        <f>[9]RESULTS!D6/$E$27</f>
        <v>5.0096434759779465</v>
      </c>
      <c r="D9" s="168">
        <f>[9]RESULTS!E6/$E$27</f>
        <v>10.231356524022052</v>
      </c>
      <c r="G9" s="164" t="str">
        <f>[9]RESULTS!B6</f>
        <v>POL</v>
      </c>
      <c r="H9" s="169">
        <f>[9]RESULTS!F6/$E$27</f>
        <v>0.25036082474226801</v>
      </c>
      <c r="I9" s="169">
        <f>[9]RESULTS!G6/$E$27</f>
        <v>1.3602938144329897</v>
      </c>
    </row>
    <row r="10" spans="2:9" x14ac:dyDescent="0.25">
      <c r="B10" s="164" t="str">
        <f>[9]RESULTS!B7</f>
        <v>UKI</v>
      </c>
      <c r="C10" s="168">
        <f>[9]RESULTS!D7/$E$27</f>
        <v>13.01130553525884</v>
      </c>
      <c r="D10" s="168">
        <f>[9]RESULTS!E7/$E$27</f>
        <v>18.190194464741158</v>
      </c>
      <c r="G10" s="164" t="str">
        <f>[9]RESULTS!B7</f>
        <v>UKI</v>
      </c>
      <c r="H10" s="169">
        <f>[9]RESULTS!F7/$E$27</f>
        <v>0.34296566344990448</v>
      </c>
      <c r="I10" s="169">
        <f>[9]RESULTS!G7/$E$27</f>
        <v>1.3804650514662473</v>
      </c>
    </row>
    <row r="11" spans="2:9" x14ac:dyDescent="0.25">
      <c r="B11" s="164" t="str">
        <f>[9]RESULTS!B8</f>
        <v>ESP</v>
      </c>
      <c r="C11" s="168">
        <f>[9]RESULTS!D8/$E$27</f>
        <v>7.6896000000000004</v>
      </c>
      <c r="D11" s="168">
        <f>[9]RESULTS!E8/$E$27</f>
        <v>17.836400000000001</v>
      </c>
      <c r="G11" s="164" t="str">
        <f>[9]RESULTS!B8</f>
        <v>ESP</v>
      </c>
      <c r="H11" s="169">
        <f>[9]RESULTS!F8/$E$27</f>
        <v>0.30101877863231574</v>
      </c>
      <c r="I11" s="169">
        <f>[9]RESULTS!G8/$E$27</f>
        <v>1.9815971087352893</v>
      </c>
    </row>
    <row r="12" spans="2:9" x14ac:dyDescent="0.25">
      <c r="B12" s="164" t="str">
        <f>[9]RESULTS!B9</f>
        <v>BNL</v>
      </c>
      <c r="C12" s="168">
        <f>[9]RESULTS!D9/$E$27</f>
        <v>5.9544867408408164</v>
      </c>
      <c r="D12" s="168">
        <f>[9]RESULTS!E9/$E$27</f>
        <v>6.9386922591591835</v>
      </c>
      <c r="G12" s="164" t="str">
        <f>[9]RESULTS!B9</f>
        <v>BNL</v>
      </c>
      <c r="H12" s="169">
        <f>[9]RESULTS!F9/$E$27</f>
        <v>0.14455972577335835</v>
      </c>
      <c r="I12" s="169">
        <f>[9]RESULTS!G9/$E$27</f>
        <v>0.49583213847073121</v>
      </c>
    </row>
    <row r="13" spans="2:9" x14ac:dyDescent="0.25">
      <c r="B13" s="164" t="str">
        <f>[9]RESULTS!B10</f>
        <v>EUN</v>
      </c>
      <c r="C13" s="168">
        <f>[9]RESULTS!D10/$E$27</f>
        <v>5.5781730148223545</v>
      </c>
      <c r="D13" s="168">
        <f>[9]RESULTS!E10/$E$27</f>
        <v>7.5587760361833727</v>
      </c>
      <c r="G13" s="164" t="str">
        <f>[9]RESULTS!B10</f>
        <v>EUN</v>
      </c>
      <c r="H13" s="169">
        <f>[9]RESULTS!F10/$E$27</f>
        <v>0.17934847085732086</v>
      </c>
      <c r="I13" s="169">
        <f>[9]RESULTS!G10/$E$27</f>
        <v>0.58186575616139091</v>
      </c>
    </row>
    <row r="14" spans="2:9" x14ac:dyDescent="0.25">
      <c r="B14" s="164" t="str">
        <f>[9]RESULTS!B11</f>
        <v>EUS</v>
      </c>
      <c r="C14" s="168">
        <f>[9]RESULTS!D11/$E$27</f>
        <v>11.103520242299249</v>
      </c>
      <c r="D14" s="168">
        <f>[9]RESULTS!E11/$E$27</f>
        <v>24.39864171680777</v>
      </c>
      <c r="G14" s="164" t="str">
        <f>[9]RESULTS!B11</f>
        <v>EUS</v>
      </c>
      <c r="H14" s="169">
        <f>[9]RESULTS!F11/$E$27</f>
        <v>0.35061609664188337</v>
      </c>
      <c r="I14" s="169">
        <f>[9]RESULTS!G11/$E$27</f>
        <v>2.232893569194339</v>
      </c>
    </row>
    <row r="15" spans="2:9" x14ac:dyDescent="0.25">
      <c r="B15" s="164" t="str">
        <f>[9]RESULTS!B12</f>
        <v>USA</v>
      </c>
      <c r="C15" s="168">
        <f>[9]RESULTS!D12/$E$27</f>
        <v>51.786999999999999</v>
      </c>
      <c r="D15" s="168">
        <f>[9]RESULTS!E12/$E$27</f>
        <v>94.259</v>
      </c>
      <c r="G15" s="164" t="str">
        <f>[9]RESULTS!B12</f>
        <v>USA</v>
      </c>
      <c r="H15" s="169">
        <f>[9]RESULTS!F12/$E$27</f>
        <v>1.2007616233867204</v>
      </c>
      <c r="I15" s="169">
        <f>[9]RESULTS!G12/$E$27</f>
        <v>5.8772383766132785</v>
      </c>
    </row>
    <row r="16" spans="2:9" x14ac:dyDescent="0.25">
      <c r="B16" s="164" t="str">
        <f>[9]RESULTS!B13</f>
        <v>OEC</v>
      </c>
      <c r="C16" s="168">
        <f>[9]RESULTS!D13/$E$27</f>
        <v>62.69178058971471</v>
      </c>
      <c r="D16" s="168">
        <f>[9]RESULTS!E13/$E$27</f>
        <v>148.24165608772952</v>
      </c>
      <c r="G16" s="164" t="str">
        <f>[9]RESULTS!B13</f>
        <v>OEC</v>
      </c>
      <c r="H16" s="169">
        <f>[9]RESULTS!F13/$E$27</f>
        <v>2.4934421908507516</v>
      </c>
      <c r="I16" s="169">
        <f>[9]RESULTS!G13/$E$27</f>
        <v>8.9618707957738888</v>
      </c>
    </row>
    <row r="17" spans="2:9" x14ac:dyDescent="0.25">
      <c r="B17" s="164" t="str">
        <f>[9]RESULTS!B14</f>
        <v>BRZ</v>
      </c>
      <c r="C17" s="168">
        <f>[9]RESULTS!D14/$E$27</f>
        <v>17.536892244243383</v>
      </c>
      <c r="D17" s="168">
        <f>[9]RESULTS!E14/$E$27</f>
        <v>73.24912675575662</v>
      </c>
      <c r="G17" s="164" t="str">
        <f>[9]RESULTS!B14</f>
        <v>BRZ</v>
      </c>
      <c r="H17" s="169">
        <f>[9]RESULTS!F14/$E$27</f>
        <v>1.0879485154767261</v>
      </c>
      <c r="I17" s="169">
        <f>[9]RESULTS!G14/$E$27</f>
        <v>6.9720514845232726</v>
      </c>
    </row>
    <row r="18" spans="2:9" x14ac:dyDescent="0.25">
      <c r="B18" s="164" t="str">
        <f>[9]RESULTS!B15</f>
        <v>RUS</v>
      </c>
      <c r="C18" s="168">
        <f>[9]RESULTS!D15/$E$27</f>
        <v>28.093</v>
      </c>
      <c r="D18" s="168">
        <f>[9]RESULTS!E15/$E$27</f>
        <v>42.476999999999997</v>
      </c>
      <c r="G18" s="164" t="str">
        <f>[9]RESULTS!B15</f>
        <v>RUS</v>
      </c>
      <c r="H18" s="169">
        <f>[9]RESULTS!F15/$E$27</f>
        <v>0.90142435897435902</v>
      </c>
      <c r="I18" s="169">
        <f>[9]RESULTS!G15/$E$27</f>
        <v>3.6865756410256414</v>
      </c>
    </row>
    <row r="19" spans="2:9" x14ac:dyDescent="0.25">
      <c r="B19" s="164" t="str">
        <f>[9]RESULTS!B16</f>
        <v>IND</v>
      </c>
      <c r="C19" s="168">
        <f>[9]RESULTS!D16/$E$27</f>
        <v>103.66509763745977</v>
      </c>
      <c r="D19" s="168">
        <f>[9]RESULTS!E16/$E$27</f>
        <v>266.33490236254022</v>
      </c>
      <c r="G19" s="164" t="str">
        <f>[9]RESULTS!B16</f>
        <v>IND</v>
      </c>
      <c r="H19" s="169">
        <f>[9]RESULTS!F16/$E$27</f>
        <v>2.2452773705260376</v>
      </c>
      <c r="I19" s="169">
        <f>[9]RESULTS!G16/$E$27</f>
        <v>14.388722629473962</v>
      </c>
    </row>
    <row r="20" spans="2:9" x14ac:dyDescent="0.25">
      <c r="B20" s="164" t="str">
        <f>[9]RESULTS!B17</f>
        <v>CHI</v>
      </c>
      <c r="C20" s="168">
        <f>[9]RESULTS!D17/$E$27</f>
        <v>216.97195586778454</v>
      </c>
      <c r="D20" s="168">
        <f>[9]RESULTS!E17/$E$27</f>
        <v>556.41184413221561</v>
      </c>
      <c r="G20" s="164" t="str">
        <f>[9]RESULTS!B17</f>
        <v>CHI</v>
      </c>
      <c r="H20" s="169">
        <f>[9]RESULTS!F17/$E$27</f>
        <v>1.1471745409018546</v>
      </c>
      <c r="I20" s="169">
        <f>[9]RESULTS!G17/$E$27</f>
        <v>7.2984122500849358</v>
      </c>
    </row>
    <row r="21" spans="2:9" x14ac:dyDescent="0.25">
      <c r="B21" s="164" t="str">
        <f>[9]RESULTS!B18</f>
        <v>RSA</v>
      </c>
      <c r="C21" s="168">
        <f>[9]RESULTS!D18/$E$27</f>
        <v>2.997607305244014</v>
      </c>
      <c r="D21" s="168">
        <f>[9]RESULTS!E18/$E$27</f>
        <v>10.236392694755988</v>
      </c>
      <c r="G21" s="164" t="str">
        <f>[9]RESULTS!B18</f>
        <v>RSA</v>
      </c>
      <c r="H21" s="169">
        <f>[9]RESULTS!F18/$E$27</f>
        <v>0.24976823063877895</v>
      </c>
      <c r="I21" s="169">
        <f>[9]RESULTS!G18/$E$27</f>
        <v>3.6907716223855283</v>
      </c>
    </row>
    <row r="22" spans="2:9" x14ac:dyDescent="0.25">
      <c r="B22" s="164" t="str">
        <f>[9]RESULTS!B19</f>
        <v>OPA</v>
      </c>
      <c r="C22" s="168">
        <f>[9]RESULTS!D19/$E$27</f>
        <v>25.272385478220624</v>
      </c>
      <c r="D22" s="168">
        <f>[9]RESULTS!E19/$E$27</f>
        <v>159.02882926959862</v>
      </c>
      <c r="G22" s="164" t="str">
        <f>[9]RESULTS!B19</f>
        <v>OPA</v>
      </c>
      <c r="H22" s="169">
        <f>[9]RESULTS!F19/$E$27</f>
        <v>3.4671225648674788</v>
      </c>
      <c r="I22" s="169">
        <f>[9]RESULTS!G19/$E$27</f>
        <v>14.460992133557125</v>
      </c>
    </row>
    <row r="26" spans="2:9" x14ac:dyDescent="0.25">
      <c r="C26" s="172" t="s">
        <v>57</v>
      </c>
      <c r="H26" s="172" t="s">
        <v>57</v>
      </c>
    </row>
    <row r="27" spans="2:9" x14ac:dyDescent="0.25">
      <c r="C27" s="173">
        <f>SUM(C6:D6)</f>
        <v>32.861487047113471</v>
      </c>
      <c r="E27" s="171">
        <v>1000</v>
      </c>
      <c r="H27" s="173">
        <f>SUM(H6:I6)</f>
        <v>3.3331999999999997</v>
      </c>
      <c r="I27" s="295">
        <f>H27/C27</f>
        <v>0.10143180663800136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workbookViewId="0">
      <selection activeCell="H17" sqref="H17"/>
    </sheetView>
  </sheetViews>
  <sheetFormatPr defaultColWidth="11.42578125" defaultRowHeight="12.75" x14ac:dyDescent="0.2"/>
  <sheetData>
    <row r="1" spans="1:9" ht="15" x14ac:dyDescent="0.25">
      <c r="A1" s="163"/>
      <c r="B1" s="174" t="s">
        <v>60</v>
      </c>
      <c r="C1" s="174"/>
      <c r="D1" s="174"/>
      <c r="E1" s="174"/>
      <c r="F1" s="174"/>
      <c r="G1" s="174"/>
      <c r="H1" s="174"/>
      <c r="I1" s="163"/>
    </row>
    <row r="2" spans="1:9" ht="15" x14ac:dyDescent="0.25">
      <c r="A2" s="163"/>
      <c r="B2" s="163"/>
      <c r="C2" s="163"/>
      <c r="D2" s="163"/>
      <c r="E2" s="163"/>
      <c r="F2" s="163"/>
      <c r="G2" s="163"/>
      <c r="H2" s="163"/>
      <c r="I2" s="163"/>
    </row>
    <row r="3" spans="1:9" ht="15" x14ac:dyDescent="0.25">
      <c r="A3" s="163"/>
      <c r="B3" s="163"/>
      <c r="C3" s="163"/>
      <c r="D3" s="170" t="s">
        <v>61</v>
      </c>
      <c r="E3" s="163"/>
      <c r="F3" s="163"/>
      <c r="G3" s="163"/>
      <c r="H3" s="167"/>
      <c r="I3" s="170" t="s">
        <v>62</v>
      </c>
    </row>
    <row r="4" spans="1:9" ht="15" x14ac:dyDescent="0.25">
      <c r="A4" s="163"/>
      <c r="B4" s="163"/>
      <c r="C4" s="166">
        <v>2011</v>
      </c>
      <c r="D4" s="166">
        <v>2011</v>
      </c>
      <c r="E4" s="163"/>
      <c r="F4" s="163"/>
      <c r="G4" s="163"/>
      <c r="H4" s="166">
        <v>2011</v>
      </c>
      <c r="I4" s="166">
        <v>2011</v>
      </c>
    </row>
    <row r="5" spans="1:9" ht="15" x14ac:dyDescent="0.25">
      <c r="A5" s="163"/>
      <c r="B5" s="163"/>
      <c r="C5" s="165" t="s">
        <v>59</v>
      </c>
      <c r="D5" s="165" t="s">
        <v>58</v>
      </c>
      <c r="E5" s="163"/>
      <c r="F5" s="163"/>
      <c r="G5" s="163"/>
      <c r="H5" s="165" t="s">
        <v>59</v>
      </c>
      <c r="I5" s="165" t="s">
        <v>58</v>
      </c>
    </row>
    <row r="6" spans="1:9" ht="15" x14ac:dyDescent="0.25">
      <c r="A6" s="163"/>
      <c r="B6" s="164" t="str">
        <f>[9]RESULTS!B3</f>
        <v>DEU</v>
      </c>
      <c r="C6" s="168">
        <f>[9]RESULTS!O3/$E$27</f>
        <v>14.364118141550902</v>
      </c>
      <c r="D6" s="168">
        <f>[9]RESULTS!P3/$E$27</f>
        <v>19.217882111279277</v>
      </c>
      <c r="E6" s="163"/>
      <c r="F6" s="163"/>
      <c r="G6" s="164" t="str">
        <f>[9]RESULTS!B3</f>
        <v>DEU</v>
      </c>
      <c r="H6" s="169">
        <f>[9]RESULTS!Q3/$E$27</f>
        <v>0.33384398600125753</v>
      </c>
      <c r="I6" s="169">
        <f>[9]RESULTS!R3/$E$27</f>
        <v>2.3459560139987423</v>
      </c>
    </row>
    <row r="7" spans="1:9" ht="15" x14ac:dyDescent="0.25">
      <c r="A7" s="163"/>
      <c r="B7" s="164" t="str">
        <f>[9]RESULTS!B4</f>
        <v>FRA</v>
      </c>
      <c r="C7" s="168">
        <f>[9]RESULTS!O4/$E$27</f>
        <v>11.217626241526464</v>
      </c>
      <c r="D7" s="168">
        <f>[9]RESULTS!P4/$E$27</f>
        <v>14.474856759175086</v>
      </c>
      <c r="E7" s="163"/>
      <c r="F7" s="163"/>
      <c r="G7" s="164" t="str">
        <f>[9]RESULTS!B4</f>
        <v>FRA</v>
      </c>
      <c r="H7" s="169">
        <f>[9]RESULTS!Q4/$E$27</f>
        <v>0.32149532144853388</v>
      </c>
      <c r="I7" s="169">
        <f>[9]RESULTS!R4/$E$27</f>
        <v>2.2591806785514659</v>
      </c>
    </row>
    <row r="8" spans="1:9" ht="15" x14ac:dyDescent="0.25">
      <c r="A8" s="163"/>
      <c r="B8" s="164" t="str">
        <f>[9]RESULTS!B5</f>
        <v>ITA</v>
      </c>
      <c r="C8" s="168">
        <f>[9]RESULTS!O5/$E$27</f>
        <v>8.652177</v>
      </c>
      <c r="D8" s="168">
        <f>[9]RESULTS!P5/$E$27</f>
        <v>14.220150999999998</v>
      </c>
      <c r="E8" s="163"/>
      <c r="F8" s="163"/>
      <c r="G8" s="164" t="str">
        <f>[9]RESULTS!B5</f>
        <v>ITA</v>
      </c>
      <c r="H8" s="169">
        <f>[9]RESULTS!Q5/$E$27</f>
        <v>0.25454137608661048</v>
      </c>
      <c r="I8" s="169">
        <f>[9]RESULTS!R5/$E$27</f>
        <v>1.30646362391339</v>
      </c>
    </row>
    <row r="9" spans="1:9" ht="15" x14ac:dyDescent="0.25">
      <c r="A9" s="163"/>
      <c r="B9" s="164" t="str">
        <f>[9]RESULTS!B6</f>
        <v>POL</v>
      </c>
      <c r="C9" s="168">
        <f>[9]RESULTS!O6/$E$27</f>
        <v>5.645216357513732</v>
      </c>
      <c r="D9" s="168">
        <f>[9]RESULTS!P6/$E$27</f>
        <v>10.315583729651088</v>
      </c>
      <c r="E9" s="163"/>
      <c r="F9" s="163"/>
      <c r="G9" s="164" t="str">
        <f>[9]RESULTS!B6</f>
        <v>POL</v>
      </c>
      <c r="H9" s="169">
        <f>[9]RESULTS!Q6/$E$27</f>
        <v>0.18523840977068798</v>
      </c>
      <c r="I9" s="169">
        <f>[9]RESULTS!R6/$E$27</f>
        <v>1.0191615154536393</v>
      </c>
    </row>
    <row r="10" spans="1:9" ht="15" x14ac:dyDescent="0.25">
      <c r="A10" s="163"/>
      <c r="B10" s="164" t="str">
        <f>[9]RESULTS!B7</f>
        <v>UKI</v>
      </c>
      <c r="C10" s="168">
        <f>[9]RESULTS!O7/$E$27</f>
        <v>13.412452762082605</v>
      </c>
      <c r="D10" s="168">
        <f>[9]RESULTS!P7/$E$27</f>
        <v>17.353612792168313</v>
      </c>
      <c r="E10" s="163"/>
      <c r="F10" s="163"/>
      <c r="G10" s="164" t="str">
        <f>[9]RESULTS!B7</f>
        <v>UKI</v>
      </c>
      <c r="H10" s="169">
        <f>[9]RESULTS!Q7/$E$27</f>
        <v>0.53933436103126009</v>
      </c>
      <c r="I10" s="169">
        <f>[9]RESULTS!R7/$E$27</f>
        <v>2.1838717360816009</v>
      </c>
    </row>
    <row r="11" spans="1:9" ht="15" x14ac:dyDescent="0.25">
      <c r="A11" s="163"/>
      <c r="B11" s="164" t="str">
        <f>[9]RESULTS!B8</f>
        <v>ESP</v>
      </c>
      <c r="C11" s="168">
        <f>[9]RESULTS!O8/$E$27</f>
        <v>7.7330519999999998</v>
      </c>
      <c r="D11" s="168">
        <f>[9]RESULTS!P8/$E$27</f>
        <v>15.701533999999999</v>
      </c>
      <c r="E11" s="163"/>
      <c r="F11" s="163"/>
      <c r="G11" s="164" t="str">
        <f>[9]RESULTS!B8</f>
        <v>ESP</v>
      </c>
      <c r="H11" s="169">
        <f>[9]RESULTS!Q8/$E$27</f>
        <v>0.70815895700965426</v>
      </c>
      <c r="I11" s="169">
        <f>[9]RESULTS!R8/$E$27</f>
        <v>4.461141042990346</v>
      </c>
    </row>
    <row r="12" spans="1:9" ht="15" x14ac:dyDescent="0.25">
      <c r="A12" s="163"/>
      <c r="B12" s="164" t="str">
        <f>[9]RESULTS!B9</f>
        <v>BNL</v>
      </c>
      <c r="C12" s="168">
        <f>[9]RESULTS!O9/$E$27</f>
        <v>6.3334553565033449</v>
      </c>
      <c r="D12" s="168">
        <f>[9]RESULTS!P9/$E$27</f>
        <v>6.7443393906017963</v>
      </c>
      <c r="E12" s="163"/>
      <c r="F12" s="163"/>
      <c r="G12" s="164" t="str">
        <f>[9]RESULTS!B9</f>
        <v>BNL</v>
      </c>
      <c r="H12" s="169">
        <f>[9]RESULTS!Q9/$E$27</f>
        <v>0.21118877916059622</v>
      </c>
      <c r="I12" s="169">
        <f>[9]RESULTS!R9/$E$27</f>
        <v>0.6256844912981625</v>
      </c>
    </row>
    <row r="13" spans="1:9" ht="15" x14ac:dyDescent="0.25">
      <c r="A13" s="163"/>
      <c r="B13" s="164" t="str">
        <f>[9]RESULTS!B10</f>
        <v>EUN</v>
      </c>
      <c r="C13" s="168">
        <f>[9]RESULTS!O10/$E$27</f>
        <v>5.6838476024227313</v>
      </c>
      <c r="D13" s="168">
        <f>[9]RESULTS!P10/$E$27</f>
        <v>6.8667355098947525</v>
      </c>
      <c r="E13" s="163"/>
      <c r="F13" s="163"/>
      <c r="G13" s="164" t="str">
        <f>[9]RESULTS!B10</f>
        <v>EUN</v>
      </c>
      <c r="H13" s="169">
        <f>[9]RESULTS!Q10/$E$27</f>
        <v>0.3170136420220348</v>
      </c>
      <c r="I13" s="169">
        <f>[9]RESULTS!R10/$E$27</f>
        <v>1.1336434563623217</v>
      </c>
    </row>
    <row r="14" spans="1:9" ht="15" x14ac:dyDescent="0.25">
      <c r="A14" s="163"/>
      <c r="B14" s="164" t="str">
        <f>[9]RESULTS!B11</f>
        <v>EUS</v>
      </c>
      <c r="C14" s="168">
        <f>[9]RESULTS!O11/$E$27</f>
        <v>11.542181362447627</v>
      </c>
      <c r="D14" s="168">
        <f>[9]RESULTS!P11/$E$27</f>
        <v>23.312306792407934</v>
      </c>
      <c r="E14" s="163"/>
      <c r="F14" s="163"/>
      <c r="G14" s="164" t="str">
        <f>[9]RESULTS!B11</f>
        <v>EUS</v>
      </c>
      <c r="H14" s="169">
        <f>[9]RESULTS!Q11/$E$27</f>
        <v>0.40966755789246623</v>
      </c>
      <c r="I14" s="169">
        <f>[9]RESULTS!R11/$E$27</f>
        <v>2.375408148344389</v>
      </c>
    </row>
    <row r="15" spans="1:9" ht="15" x14ac:dyDescent="0.25">
      <c r="A15" s="163"/>
      <c r="B15" s="164" t="str">
        <f>[9]RESULTS!B12</f>
        <v>USA</v>
      </c>
      <c r="C15" s="168">
        <f>[9]RESULTS!O12/$E$27</f>
        <v>49.311226380729359</v>
      </c>
      <c r="D15" s="168">
        <f>[9]RESULTS!P12/$E$27</f>
        <v>89.752773619270641</v>
      </c>
      <c r="E15" s="163"/>
      <c r="F15" s="163"/>
      <c r="G15" s="164" t="str">
        <f>[9]RESULTS!B12</f>
        <v>USA</v>
      </c>
      <c r="H15" s="169">
        <f>[9]RESULTS!Q12/$E$27</f>
        <v>2.5150171046493548</v>
      </c>
      <c r="I15" s="169">
        <f>[9]RESULTS!R12/$E$27</f>
        <v>12.309982895350645</v>
      </c>
    </row>
    <row r="16" spans="1:9" ht="15" x14ac:dyDescent="0.25">
      <c r="A16" s="163"/>
      <c r="B16" s="164" t="str">
        <f>[9]RESULTS!B13</f>
        <v>OEC</v>
      </c>
      <c r="C16" s="168">
        <f>[9]RESULTS!O13/$E$27</f>
        <v>50.37487398913472</v>
      </c>
      <c r="D16" s="168">
        <f>[9]RESULTS!P13/$E$27</f>
        <v>161.02903206046039</v>
      </c>
      <c r="E16" s="163"/>
      <c r="F16" s="163"/>
      <c r="G16" s="164" t="str">
        <f>[9]RESULTS!B13</f>
        <v>OEC</v>
      </c>
      <c r="H16" s="169">
        <f>emplmtno_2007!H16</f>
        <v>2.4934421908507516</v>
      </c>
      <c r="I16" s="169">
        <f>emplmtno_2007!I16</f>
        <v>8.9618707957738888</v>
      </c>
    </row>
    <row r="17" spans="1:9" ht="15" x14ac:dyDescent="0.25">
      <c r="A17" s="163"/>
      <c r="B17" s="164" t="str">
        <f>[9]RESULTS!B14</f>
        <v>BRZ</v>
      </c>
      <c r="C17" s="297">
        <f>emplmtno_2007!C17</f>
        <v>17.536892244243383</v>
      </c>
      <c r="D17" s="297">
        <f>emplmtno_2007!D17</f>
        <v>73.24912675575662</v>
      </c>
      <c r="E17" s="163"/>
      <c r="F17" s="163"/>
      <c r="G17" s="164" t="str">
        <f>[9]RESULTS!B14</f>
        <v>BRZ</v>
      </c>
      <c r="H17" s="296">
        <f>emplmtno_2007!H17</f>
        <v>1.0879485154767261</v>
      </c>
      <c r="I17" s="296">
        <f>emplmtno_2007!I17</f>
        <v>6.9720514845232726</v>
      </c>
    </row>
    <row r="18" spans="1:9" ht="15" x14ac:dyDescent="0.25">
      <c r="A18" s="163"/>
      <c r="B18" s="164" t="str">
        <f>[9]RESULTS!B15</f>
        <v>RUS</v>
      </c>
      <c r="C18" s="168">
        <f>[9]RESULTS!O15/$E$27</f>
        <v>29.429684000000002</v>
      </c>
      <c r="D18" s="168">
        <f>[9]RESULTS!P15/$E$27</f>
        <v>40.373916000000001</v>
      </c>
      <c r="E18" s="163"/>
      <c r="F18" s="163"/>
      <c r="G18" s="164" t="str">
        <f>[9]RESULTS!B15</f>
        <v>RUS</v>
      </c>
      <c r="H18" s="169">
        <f>[9]RESULTS!Q15/$E$27</f>
        <v>0.94159500000000007</v>
      </c>
      <c r="I18" s="169">
        <f>[9]RESULTS!R15/$E$27</f>
        <v>3.2200579999999999</v>
      </c>
    </row>
    <row r="19" spans="1:9" ht="15" x14ac:dyDescent="0.25">
      <c r="A19" s="163"/>
      <c r="B19" s="164" t="str">
        <f>[9]RESULTS!B16</f>
        <v>IND</v>
      </c>
      <c r="C19" s="297">
        <f>emplmtno_2007!C19</f>
        <v>103.66509763745977</v>
      </c>
      <c r="D19" s="297">
        <f>emplmtno_2007!D19</f>
        <v>266.33490236254022</v>
      </c>
      <c r="E19" s="163"/>
      <c r="F19" s="163"/>
      <c r="G19" s="164" t="str">
        <f>[9]RESULTS!B16</f>
        <v>IND</v>
      </c>
      <c r="H19" s="296">
        <f>emplmtno_2007!H19</f>
        <v>2.2452773705260376</v>
      </c>
      <c r="I19" s="296">
        <f>emplmtno_2007!I19</f>
        <v>14.388722629473962</v>
      </c>
    </row>
    <row r="20" spans="1:9" ht="15" x14ac:dyDescent="0.25">
      <c r="A20" s="163"/>
      <c r="B20" s="164" t="str">
        <f>[9]RESULTS!B17</f>
        <v>CHI</v>
      </c>
      <c r="C20" s="168">
        <f>[9]RESULTS!O17/$E$27</f>
        <v>304.44052231266511</v>
      </c>
      <c r="D20" s="168">
        <f>[9]RESULTS!P17/$E$27</f>
        <v>460.08367768733484</v>
      </c>
      <c r="E20" s="163"/>
      <c r="F20" s="163"/>
      <c r="G20" s="164" t="str">
        <f>[9]RESULTS!B17</f>
        <v>CHI</v>
      </c>
      <c r="H20" s="296">
        <f>emplmtno_2007!H20</f>
        <v>1.1471745409018546</v>
      </c>
      <c r="I20" s="296">
        <f>emplmtno_2007!I20</f>
        <v>7.2984122500849358</v>
      </c>
    </row>
    <row r="21" spans="1:9" ht="15" x14ac:dyDescent="0.25">
      <c r="A21" s="163"/>
      <c r="B21" s="164" t="str">
        <f>[9]RESULTS!B18</f>
        <v>RSA</v>
      </c>
      <c r="C21" s="296">
        <f>emplmtno_2007!C21</f>
        <v>2.997607305244014</v>
      </c>
      <c r="D21" s="296">
        <f>emplmtno_2007!D21</f>
        <v>10.236392694755988</v>
      </c>
      <c r="E21" s="163"/>
      <c r="F21" s="163"/>
      <c r="G21" s="164" t="str">
        <f>[9]RESULTS!B18</f>
        <v>RSA</v>
      </c>
      <c r="H21" s="296">
        <f>emplmtno_2007!H21</f>
        <v>0.24976823063877895</v>
      </c>
      <c r="I21" s="296">
        <f>emplmtno_2007!I21</f>
        <v>3.6907716223855283</v>
      </c>
    </row>
    <row r="22" spans="1:9" ht="15" x14ac:dyDescent="0.25">
      <c r="A22" s="163"/>
      <c r="B22" s="164" t="str">
        <f>[9]RESULTS!B19</f>
        <v>OPA</v>
      </c>
      <c r="C22" s="168">
        <f>[9]RESULTS!O19/$E$27</f>
        <v>19.58687199152612</v>
      </c>
      <c r="D22" s="168">
        <f>[9]RESULTS!P19/$E$27</f>
        <v>130.73020785758982</v>
      </c>
      <c r="E22" s="163"/>
      <c r="F22" s="163"/>
      <c r="G22" s="164" t="str">
        <f>[9]RESULTS!B19</f>
        <v>OPA</v>
      </c>
      <c r="H22" s="169">
        <f>[9]RESULTS!Q19/$E$27</f>
        <v>0.53384970613090166</v>
      </c>
      <c r="I22" s="169">
        <f>[9]RESULTS!R19/$E$27</f>
        <v>2.5889572291445586</v>
      </c>
    </row>
    <row r="23" spans="1:9" ht="15" x14ac:dyDescent="0.25">
      <c r="A23" s="163"/>
      <c r="B23" s="164" t="str">
        <f>[9]RESULTS!B20</f>
        <v>ROW</v>
      </c>
      <c r="C23" s="168">
        <f>[9]RESULTS!O20/$E$27</f>
        <v>33.798601457146567</v>
      </c>
      <c r="D23" s="168">
        <f>[9]RESULTS!P20/$E$27</f>
        <v>121.26701907720339</v>
      </c>
      <c r="E23" s="163"/>
      <c r="F23" s="163"/>
      <c r="G23" s="164" t="str">
        <f>[9]RESULTS!B20</f>
        <v>ROW</v>
      </c>
      <c r="H23" s="169">
        <f>[9]RESULTS!Q20/$E$27</f>
        <v>0.7851121488328322</v>
      </c>
      <c r="I23" s="169">
        <f>[9]RESULTS!R20/$E$27</f>
        <v>4.6812196575282528</v>
      </c>
    </row>
    <row r="24" spans="1:9" ht="15" x14ac:dyDescent="0.25">
      <c r="A24" s="163"/>
      <c r="B24" s="163"/>
      <c r="C24" s="163"/>
      <c r="D24" s="163"/>
      <c r="E24" s="163"/>
      <c r="F24" s="163"/>
      <c r="G24" s="163"/>
      <c r="H24" s="163"/>
      <c r="I24" s="163"/>
    </row>
    <row r="25" spans="1:9" ht="15" x14ac:dyDescent="0.25">
      <c r="A25" s="163"/>
      <c r="B25" s="163"/>
      <c r="C25" s="163"/>
      <c r="D25" s="163"/>
      <c r="E25" s="163"/>
      <c r="F25" s="163"/>
      <c r="G25" s="163"/>
      <c r="H25" s="163"/>
      <c r="I25" s="163"/>
    </row>
    <row r="26" spans="1:9" ht="15" x14ac:dyDescent="0.25">
      <c r="A26" s="163"/>
      <c r="B26" s="163"/>
      <c r="C26" s="172" t="s">
        <v>57</v>
      </c>
      <c r="D26" s="163"/>
      <c r="E26" s="163"/>
      <c r="F26" s="163"/>
      <c r="G26" s="163"/>
      <c r="H26" s="172" t="s">
        <v>57</v>
      </c>
      <c r="I26" s="163"/>
    </row>
    <row r="27" spans="1:9" ht="15" x14ac:dyDescent="0.25">
      <c r="A27" s="163"/>
      <c r="B27" s="163"/>
      <c r="C27" s="173">
        <f>SUM(C6:D6)</f>
        <v>33.582000252830177</v>
      </c>
      <c r="D27" s="163"/>
      <c r="E27" s="171">
        <v>1000</v>
      </c>
      <c r="F27" s="163"/>
      <c r="G27" s="163"/>
      <c r="H27" s="173">
        <f>SUM(H6:I6)</f>
        <v>2.6797999999999997</v>
      </c>
      <c r="I27" s="295">
        <f>H27/C27</f>
        <v>7.9798701084642959E-2</v>
      </c>
    </row>
    <row r="32" spans="1:9" x14ac:dyDescent="0.2">
      <c r="C32" s="298" t="s">
        <v>109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Reg_Strom BW</vt:lpstr>
      <vt:lpstr>EE_data</vt:lpstr>
      <vt:lpstr>Lig_DE_path</vt:lpstr>
      <vt:lpstr>Lig_DE_path_CCS</vt:lpstr>
      <vt:lpstr>bBC_data</vt:lpstr>
      <vt:lpstr>emplmtno_2007</vt:lpstr>
      <vt:lpstr>emplmtno_2011</vt:lpstr>
      <vt:lpstr>'Reg_Strom BW'!Print_Area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Blesl</dc:creator>
  <cp:lastModifiedBy>Roland</cp:lastModifiedBy>
  <dcterms:created xsi:type="dcterms:W3CDTF">2014-07-31T14:12:43Z</dcterms:created>
  <dcterms:modified xsi:type="dcterms:W3CDTF">2020-10-01T09:31:54Z</dcterms:modified>
</cp:coreProperties>
</file>